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15" windowWidth="14940" windowHeight="9090"/>
  </bookViews>
  <sheets>
    <sheet name="2021-2022 Parameters" sheetId="1" r:id="rId1"/>
    <sheet name="Net CONE" sheetId="12" r:id="rId2"/>
    <sheet name="Key Transmission Upgrades" sheetId="3" r:id="rId3"/>
  </sheets>
  <definedNames>
    <definedName name="_xlnm.Print_Area" localSheetId="0">'2021-2022 Parameters'!$A$1:$P$94</definedName>
    <definedName name="_xlnm.Print_Area" localSheetId="2">'Key Transmission Upgrades'!$A$1:$C$39</definedName>
    <definedName name="_xlnm.Print_Area" localSheetId="1">'Net CONE'!$A$1:$K$38</definedName>
  </definedNames>
  <calcPr calcId="145621"/>
</workbook>
</file>

<file path=xl/calcChain.xml><?xml version="1.0" encoding="utf-8"?>
<calcChain xmlns="http://schemas.openxmlformats.org/spreadsheetml/2006/main">
  <c r="B35" i="1" l="1"/>
  <c r="B23" i="1" l="1"/>
  <c r="I45" i="1" l="1"/>
  <c r="F45" i="1"/>
  <c r="E45" i="1"/>
  <c r="F73" i="1"/>
  <c r="G61" i="1" l="1"/>
  <c r="J38" i="12" l="1"/>
  <c r="I38" i="12"/>
  <c r="D26" i="1" l="1"/>
  <c r="C26" i="1" s="1"/>
  <c r="B26" i="1" s="1"/>
  <c r="E26" i="1"/>
  <c r="B32" i="1" l="1"/>
  <c r="J37" i="12" l="1"/>
  <c r="J36" i="12"/>
  <c r="J35" i="12"/>
  <c r="J34" i="12"/>
  <c r="J33" i="12"/>
  <c r="J32" i="12"/>
  <c r="J31" i="12"/>
  <c r="J30" i="12"/>
  <c r="J29" i="12"/>
  <c r="I37" i="12"/>
  <c r="I36" i="12"/>
  <c r="I35" i="12"/>
  <c r="I34" i="12"/>
  <c r="I33" i="12"/>
  <c r="I32" i="12"/>
  <c r="I31" i="12"/>
  <c r="I30" i="12"/>
  <c r="I29" i="12"/>
  <c r="I27" i="12"/>
  <c r="J27" i="12"/>
  <c r="J26" i="12"/>
  <c r="J25" i="12"/>
  <c r="J24" i="12"/>
  <c r="I26" i="12"/>
  <c r="I25" i="12"/>
  <c r="I24" i="12"/>
  <c r="I22" i="12"/>
  <c r="J22" i="12"/>
  <c r="J21" i="12"/>
  <c r="J20" i="12"/>
  <c r="I21" i="12"/>
  <c r="I20" i="12"/>
  <c r="I18" i="12"/>
  <c r="J18" i="12"/>
  <c r="J17" i="12"/>
  <c r="J16" i="12"/>
  <c r="J15" i="12"/>
  <c r="J14" i="12"/>
  <c r="J13" i="12"/>
  <c r="J12" i="12"/>
  <c r="I17" i="12"/>
  <c r="I16" i="12"/>
  <c r="I15" i="12"/>
  <c r="I14" i="12"/>
  <c r="I13" i="12"/>
  <c r="I12" i="12"/>
  <c r="H38" i="12"/>
  <c r="H37" i="12"/>
  <c r="H36" i="12"/>
  <c r="H35" i="12"/>
  <c r="H34" i="12"/>
  <c r="H33" i="12"/>
  <c r="H32" i="12"/>
  <c r="H31" i="12"/>
  <c r="H30" i="12"/>
  <c r="H29" i="12"/>
  <c r="H26" i="12"/>
  <c r="H25" i="12"/>
  <c r="H24" i="12"/>
  <c r="H21" i="12"/>
  <c r="H20" i="12"/>
  <c r="H17" i="12"/>
  <c r="H16" i="12"/>
  <c r="H15" i="12"/>
  <c r="H14" i="12"/>
  <c r="H13" i="12"/>
  <c r="H12" i="12"/>
  <c r="F70" i="1" l="1"/>
  <c r="F69" i="1"/>
  <c r="F65" i="1"/>
  <c r="F71" i="1" s="1"/>
  <c r="E65" i="1"/>
  <c r="F72" i="1" l="1"/>
  <c r="B7" i="1"/>
  <c r="B12" i="1" s="1"/>
  <c r="M32" i="1"/>
  <c r="I32" i="1"/>
  <c r="H32" i="1"/>
  <c r="E32" i="1"/>
  <c r="D32" i="1"/>
  <c r="C32" i="1"/>
  <c r="D54" i="1" l="1"/>
  <c r="D53" i="1"/>
  <c r="D51" i="1"/>
  <c r="P13" i="1"/>
  <c r="P14" i="1" s="1"/>
  <c r="O13" i="1"/>
  <c r="O14" i="1" s="1"/>
  <c r="O15" i="1" s="1"/>
  <c r="O23" i="1" s="1"/>
  <c r="N13" i="1"/>
  <c r="P11" i="1"/>
  <c r="P41" i="1" s="1"/>
  <c r="O11" i="1"/>
  <c r="P10" i="1"/>
  <c r="O10" i="1"/>
  <c r="P15" i="1" l="1"/>
  <c r="P24" i="1" s="1"/>
  <c r="O24" i="1"/>
  <c r="P23" i="1"/>
  <c r="O25" i="1"/>
  <c r="P25" i="1" l="1"/>
  <c r="G59" i="1"/>
  <c r="B38" i="12" l="1"/>
  <c r="M13" i="1" l="1"/>
  <c r="L13" i="1"/>
  <c r="K13" i="1"/>
  <c r="J13" i="1"/>
  <c r="I13" i="1"/>
  <c r="H13" i="1"/>
  <c r="G13" i="1"/>
  <c r="F13" i="1"/>
  <c r="H73" i="1"/>
  <c r="D28" i="12" l="1"/>
  <c r="D23" i="12"/>
  <c r="D19" i="12"/>
  <c r="D11" i="12"/>
  <c r="E19" i="12" l="1"/>
  <c r="E11" i="12"/>
  <c r="D38" i="12"/>
  <c r="E23" i="12"/>
  <c r="E28" i="12"/>
  <c r="E36" i="12" l="1"/>
  <c r="E32" i="12"/>
  <c r="L16" i="1" s="1"/>
  <c r="E35" i="12"/>
  <c r="E31" i="12"/>
  <c r="E34" i="12"/>
  <c r="P16" i="1" s="1"/>
  <c r="E30" i="12"/>
  <c r="E37" i="12"/>
  <c r="E33" i="12"/>
  <c r="O16" i="1" s="1"/>
  <c r="E29" i="12"/>
  <c r="E14" i="12"/>
  <c r="E18" i="12"/>
  <c r="D16" i="1" s="1"/>
  <c r="E15" i="12"/>
  <c r="E12" i="12"/>
  <c r="E16" i="12"/>
  <c r="E13" i="12"/>
  <c r="H16" i="1" s="1"/>
  <c r="E17" i="12"/>
  <c r="E38" i="12"/>
  <c r="B16" i="1" s="1"/>
  <c r="E26" i="12"/>
  <c r="N16" i="1" s="1"/>
  <c r="E25" i="12"/>
  <c r="E24" i="12"/>
  <c r="E22" i="12"/>
  <c r="E16" i="1" s="1"/>
  <c r="E21" i="12"/>
  <c r="I16" i="1" s="1"/>
  <c r="E20" i="12"/>
  <c r="M16" i="1" s="1"/>
  <c r="E27" i="12" l="1"/>
  <c r="C16" i="1" s="1"/>
  <c r="K16" i="1"/>
  <c r="J16" i="1"/>
  <c r="F16" i="1"/>
  <c r="G16" i="1"/>
  <c r="H45" i="1"/>
  <c r="B13" i="1" s="1"/>
  <c r="B14" i="1" s="1"/>
  <c r="B15" i="1" s="1"/>
  <c r="P17" i="1" l="1"/>
  <c r="O17" i="1"/>
  <c r="O21" i="1" l="1"/>
  <c r="O38" i="1"/>
  <c r="O20" i="1"/>
  <c r="P21" i="1"/>
  <c r="P20" i="1"/>
  <c r="P38" i="1"/>
  <c r="G38" i="12"/>
  <c r="L17" i="1" l="1"/>
  <c r="N17" i="1"/>
  <c r="H17" i="1"/>
  <c r="K17" i="1"/>
  <c r="J17" i="1"/>
  <c r="G17" i="1"/>
  <c r="F17" i="1"/>
  <c r="I17" i="1"/>
  <c r="M17" i="1"/>
  <c r="H38" i="1" l="1"/>
  <c r="H20" i="1"/>
  <c r="H28" i="1" s="1"/>
  <c r="N21" i="1"/>
  <c r="N38" i="1"/>
  <c r="G20" i="1"/>
  <c r="G38" i="1"/>
  <c r="I20" i="1"/>
  <c r="I28" i="1" s="1"/>
  <c r="I38" i="1"/>
  <c r="K20" i="1"/>
  <c r="K38" i="1"/>
  <c r="L20" i="1"/>
  <c r="L38" i="1"/>
  <c r="F20" i="1"/>
  <c r="F38" i="1"/>
  <c r="M20" i="1"/>
  <c r="M28" i="1" s="1"/>
  <c r="M38" i="1"/>
  <c r="J20" i="1"/>
  <c r="J38" i="1"/>
  <c r="N20" i="1"/>
  <c r="H21" i="1"/>
  <c r="L21" i="1"/>
  <c r="B17" i="1"/>
  <c r="I21" i="1"/>
  <c r="E17" i="1"/>
  <c r="D17" i="1"/>
  <c r="K21" i="1"/>
  <c r="G21" i="1"/>
  <c r="J21" i="1"/>
  <c r="M21" i="1"/>
  <c r="F21" i="1"/>
  <c r="C17" i="1"/>
  <c r="B20" i="1" l="1"/>
  <c r="B28" i="1" s="1"/>
  <c r="B38" i="1"/>
  <c r="I29" i="1"/>
  <c r="H29" i="1"/>
  <c r="M29" i="1"/>
  <c r="D20" i="1"/>
  <c r="D28" i="1" s="1"/>
  <c r="D38" i="1"/>
  <c r="C20" i="1"/>
  <c r="C28" i="1" s="1"/>
  <c r="C38" i="1"/>
  <c r="B21" i="1"/>
  <c r="E20" i="1"/>
  <c r="E28" i="1" s="1"/>
  <c r="E38" i="1"/>
  <c r="B33" i="1"/>
  <c r="E21" i="1"/>
  <c r="D21" i="1"/>
  <c r="C21" i="1"/>
  <c r="N11" i="1"/>
  <c r="N10" i="1"/>
  <c r="N14" i="1"/>
  <c r="I58" i="1"/>
  <c r="D49" i="1"/>
  <c r="M11" i="1"/>
  <c r="M41" i="1" s="1"/>
  <c r="L11" i="1"/>
  <c r="L41" i="1" s="1"/>
  <c r="M10" i="1"/>
  <c r="L10" i="1"/>
  <c r="M14" i="1"/>
  <c r="M15" i="1" s="1"/>
  <c r="L14" i="1"/>
  <c r="L15" i="1" s="1"/>
  <c r="G65" i="1"/>
  <c r="G54" i="1"/>
  <c r="K14" i="1"/>
  <c r="K15" i="1" s="1"/>
  <c r="K11" i="1"/>
  <c r="D50" i="1"/>
  <c r="K10" i="1"/>
  <c r="I59" i="1"/>
  <c r="I47" i="1"/>
  <c r="D70" i="1"/>
  <c r="J14" i="1"/>
  <c r="D58" i="1"/>
  <c r="J11" i="1"/>
  <c r="J10" i="1"/>
  <c r="H71" i="1"/>
  <c r="H70" i="1"/>
  <c r="E13" i="1" s="1"/>
  <c r="H69" i="1"/>
  <c r="D13" i="1" s="1"/>
  <c r="I46" i="1"/>
  <c r="G68" i="1"/>
  <c r="G66" i="1"/>
  <c r="G64" i="1"/>
  <c r="G63" i="1"/>
  <c r="G62" i="1"/>
  <c r="G60" i="1"/>
  <c r="G57" i="1"/>
  <c r="G56" i="1"/>
  <c r="G55" i="1"/>
  <c r="G53" i="1"/>
  <c r="G52" i="1"/>
  <c r="G51" i="1"/>
  <c r="G49" i="1"/>
  <c r="G48" i="1"/>
  <c r="G47" i="1"/>
  <c r="G46" i="1"/>
  <c r="G14" i="1"/>
  <c r="I68" i="1"/>
  <c r="I66" i="1"/>
  <c r="I64" i="1"/>
  <c r="I63" i="1"/>
  <c r="I62" i="1"/>
  <c r="I61" i="1"/>
  <c r="I60" i="1"/>
  <c r="I57" i="1"/>
  <c r="I56" i="1"/>
  <c r="I55" i="1"/>
  <c r="I53" i="1"/>
  <c r="I52" i="1"/>
  <c r="I51" i="1"/>
  <c r="I49" i="1"/>
  <c r="I48" i="1"/>
  <c r="D69" i="1"/>
  <c r="D67" i="1"/>
  <c r="D66" i="1"/>
  <c r="D64" i="1"/>
  <c r="I11" i="1"/>
  <c r="H11" i="1"/>
  <c r="G10" i="1"/>
  <c r="H10" i="1"/>
  <c r="I10" i="1"/>
  <c r="G11" i="1"/>
  <c r="F11" i="1"/>
  <c r="F10" i="1"/>
  <c r="E11" i="1"/>
  <c r="E41" i="1" s="1"/>
  <c r="E10" i="1"/>
  <c r="D11" i="1"/>
  <c r="D41" i="1" s="1"/>
  <c r="D10" i="1"/>
  <c r="C10" i="1"/>
  <c r="C11" i="1"/>
  <c r="I54" i="1"/>
  <c r="I67" i="1"/>
  <c r="I65" i="1"/>
  <c r="I50" i="1"/>
  <c r="B29" i="1" l="1"/>
  <c r="C29" i="1"/>
  <c r="E29" i="1"/>
  <c r="D29" i="1"/>
  <c r="B24" i="1"/>
  <c r="B34" i="1" s="1"/>
  <c r="B25" i="1"/>
  <c r="J15" i="1"/>
  <c r="G15" i="1"/>
  <c r="N15" i="1"/>
  <c r="I14" i="1"/>
  <c r="D14" i="1"/>
  <c r="D15" i="1" s="1"/>
  <c r="H72" i="1"/>
  <c r="C13" i="1" s="1"/>
  <c r="F14" i="1"/>
  <c r="H14" i="1"/>
  <c r="B37" i="1" l="1"/>
  <c r="B36" i="1"/>
  <c r="G25" i="1"/>
  <c r="G24" i="1"/>
  <c r="G23" i="1"/>
  <c r="J25" i="1"/>
  <c r="J24" i="1"/>
  <c r="J23" i="1"/>
  <c r="L25" i="1"/>
  <c r="L24" i="1"/>
  <c r="L23" i="1"/>
  <c r="M25" i="1"/>
  <c r="M24" i="1"/>
  <c r="M34" i="1" s="1"/>
  <c r="M23" i="1"/>
  <c r="M33" i="1" s="1"/>
  <c r="N25" i="1"/>
  <c r="N24" i="1"/>
  <c r="N23" i="1"/>
  <c r="K25" i="1"/>
  <c r="K24" i="1"/>
  <c r="K23" i="1"/>
  <c r="F15" i="1"/>
  <c r="I15" i="1"/>
  <c r="H15" i="1"/>
  <c r="E14" i="1"/>
  <c r="E15" i="1" s="1"/>
  <c r="M37" i="1" l="1"/>
  <c r="M36" i="1"/>
  <c r="M35" i="1" s="1"/>
  <c r="F25" i="1"/>
  <c r="F24" i="1"/>
  <c r="F23" i="1"/>
  <c r="I25" i="1"/>
  <c r="I24" i="1"/>
  <c r="I34" i="1" s="1"/>
  <c r="I23" i="1"/>
  <c r="I33" i="1" s="1"/>
  <c r="D25" i="1"/>
  <c r="D24" i="1"/>
  <c r="D34" i="1" s="1"/>
  <c r="D23" i="1"/>
  <c r="D33" i="1" s="1"/>
  <c r="H25" i="1"/>
  <c r="H24" i="1"/>
  <c r="H34" i="1" s="1"/>
  <c r="H23" i="1"/>
  <c r="H33" i="1" s="1"/>
  <c r="C14" i="1"/>
  <c r="C15" i="1" s="1"/>
  <c r="H37" i="1" l="1"/>
  <c r="H36" i="1"/>
  <c r="H35" i="1" s="1"/>
  <c r="I37" i="1"/>
  <c r="I36" i="1"/>
  <c r="I35" i="1" s="1"/>
  <c r="D37" i="1"/>
  <c r="D36" i="1"/>
  <c r="D35" i="1" s="1"/>
  <c r="E25" i="1"/>
  <c r="E24" i="1"/>
  <c r="E34" i="1" s="1"/>
  <c r="E23" i="1"/>
  <c r="E33" i="1" s="1"/>
  <c r="E37" i="1" l="1"/>
  <c r="E36" i="1"/>
  <c r="E35" i="1" s="1"/>
  <c r="C25" i="1"/>
  <c r="C24" i="1"/>
  <c r="C34" i="1" s="1"/>
  <c r="C23" i="1"/>
  <c r="C33" i="1" s="1"/>
  <c r="C37" i="1" l="1"/>
  <c r="C36" i="1"/>
  <c r="C35" i="1" s="1"/>
</calcChain>
</file>

<file path=xl/sharedStrings.xml><?xml version="1.0" encoding="utf-8"?>
<sst xmlns="http://schemas.openxmlformats.org/spreadsheetml/2006/main" count="603" uniqueCount="217">
  <si>
    <t>APS</t>
  </si>
  <si>
    <t>DPL</t>
  </si>
  <si>
    <t>AE</t>
  </si>
  <si>
    <t>BGE</t>
  </si>
  <si>
    <t>DLCO</t>
  </si>
  <si>
    <t>JCPL</t>
  </si>
  <si>
    <t>PECO</t>
  </si>
  <si>
    <t>PEPCO</t>
  </si>
  <si>
    <t>PS</t>
  </si>
  <si>
    <t>CETO</t>
  </si>
  <si>
    <t>Reliability Requirement</t>
  </si>
  <si>
    <t>CETL</t>
  </si>
  <si>
    <t xml:space="preserve"> </t>
  </si>
  <si>
    <t>RTO</t>
  </si>
  <si>
    <t>SWMAAC</t>
  </si>
  <si>
    <t>Western MAAC</t>
  </si>
  <si>
    <t>EMAAC</t>
  </si>
  <si>
    <t>MAAC</t>
  </si>
  <si>
    <t>COMED</t>
  </si>
  <si>
    <t>DAYTON</t>
  </si>
  <si>
    <t>DOM</t>
  </si>
  <si>
    <t>METED</t>
  </si>
  <si>
    <t>PENLC</t>
  </si>
  <si>
    <t>DPLSOUTH</t>
  </si>
  <si>
    <t>NA</t>
  </si>
  <si>
    <t>Point (a) UCAP Price, $/MW-Day</t>
  </si>
  <si>
    <t>Point (b) UCAP Price, $/MW-Day</t>
  </si>
  <si>
    <t>Point (c) UCAP Price, $/MW-Day</t>
  </si>
  <si>
    <t>Point (a) UCAP Level, MW</t>
  </si>
  <si>
    <t>Point (b) UCAP Level, MW</t>
  </si>
  <si>
    <t>Point (c) UCAP Level, MW</t>
  </si>
  <si>
    <t>Preliminary Zonal Peak Load Forecast</t>
  </si>
  <si>
    <t>Base Zonal FRR Scaling Factor</t>
  </si>
  <si>
    <t>PL (incl. UGI)</t>
  </si>
  <si>
    <t>Western PJM</t>
  </si>
  <si>
    <t xml:space="preserve">Installed Reserve Margin (IRM) </t>
  </si>
  <si>
    <t>Pool-Wide Average EFORd</t>
  </si>
  <si>
    <t>Forecast Pool Requirement (FPR)</t>
  </si>
  <si>
    <t>Preliminary Forecast Peak Load</t>
  </si>
  <si>
    <t>LDA/Zone</t>
  </si>
  <si>
    <t>RECO</t>
  </si>
  <si>
    <t>Notes:</t>
  </si>
  <si>
    <t>PS NORTH</t>
  </si>
  <si>
    <t>DPL SOUTH</t>
  </si>
  <si>
    <t>Preliminary FRR Obligation</t>
  </si>
  <si>
    <t>Reliability Requirement adjusted for FRR</t>
  </si>
  <si>
    <t>Net CONE, $/MW-Day (UCAP Price)</t>
  </si>
  <si>
    <t>Variable Resource Requirement Curve:</t>
  </si>
  <si>
    <t>&gt; 115%</t>
  </si>
  <si>
    <t>Participant-Funded ICTRs Awarded</t>
  </si>
  <si>
    <t>ATSI</t>
  </si>
  <si>
    <t>CONE Area 1</t>
  </si>
  <si>
    <t>CONE Area 2</t>
  </si>
  <si>
    <t>CONE Area 3</t>
  </si>
  <si>
    <t>CONE Area 4</t>
  </si>
  <si>
    <t>CONE Area 1: AE, DPL, JCPL, PECO, PS, RECO</t>
  </si>
  <si>
    <t>CONE Area 2: BGE, PEPCO</t>
  </si>
  <si>
    <t>CONE Area 4: MetEd, Penelec, PPL</t>
  </si>
  <si>
    <t>ICAP to UCAP Conversion Factor:</t>
  </si>
  <si>
    <t>Upgrade ID</t>
  </si>
  <si>
    <t>Description</t>
  </si>
  <si>
    <t>Transmission Owner</t>
  </si>
  <si>
    <t xml:space="preserve">FRR Portion of the Preliminary Peak Load Forecast       </t>
  </si>
  <si>
    <t>AEP</t>
  </si>
  <si>
    <t>DEOK</t>
  </si>
  <si>
    <t>PPL</t>
  </si>
  <si>
    <t>PSEG</t>
  </si>
  <si>
    <t>PENELEC</t>
  </si>
  <si>
    <t>Limiting conditions at the CETL for modeled LDAs:</t>
  </si>
  <si>
    <t>PSNORTH</t>
  </si>
  <si>
    <t>ATSI-CLEVELAND</t>
  </si>
  <si>
    <t>EKPC</t>
  </si>
  <si>
    <t>ATSI-Cleveland</t>
  </si>
  <si>
    <t>*</t>
  </si>
  <si>
    <t>Gross CONE, $/MW-Day, UCAP Price</t>
  </si>
  <si>
    <t>CETL to CETO Ratio %</t>
  </si>
  <si>
    <t>PL</t>
  </si>
  <si>
    <t>FRR Load Requirement (% Obligation):</t>
  </si>
  <si>
    <t xml:space="preserve">LDA      </t>
  </si>
  <si>
    <t>* LDA has adequate internal resources to meet the reliability criterion.</t>
  </si>
  <si>
    <t>CONE Area 3: AEP, APS, ATSI, ComEd, Dayton, DEOK, Dominion, Duquesne (DLCo), EKPC</t>
  </si>
  <si>
    <t>Zone/LDA</t>
  </si>
  <si>
    <t>PE</t>
  </si>
  <si>
    <t>Net CONE,   $/MW-Day,  UCAP Price</t>
  </si>
  <si>
    <t>Ancillary Services Offset,          $/MW-Year        per Tariff</t>
  </si>
  <si>
    <t>Net CONE,         $/MW-Day,    ICAP Price</t>
  </si>
  <si>
    <t>UCAP Price = ICAP Price / (1 - Pool-Wide Average EFORd)</t>
  </si>
  <si>
    <t>LDA CETO/CETL Data; Zonal Peak Loads, Base Zonal FRR Scaling Factors, and FRR load.</t>
  </si>
  <si>
    <t>Preliminary Zonal Peak Load Forecast less FRR load</t>
  </si>
  <si>
    <t>LDA Modeled with VRR Curve</t>
  </si>
  <si>
    <t>PS, PSEG NORTH</t>
  </si>
  <si>
    <t>ATSI, ATSI CLEVELAND</t>
  </si>
  <si>
    <t>Locational Deliverability Area</t>
  </si>
  <si>
    <t xml:space="preserve">   </t>
  </si>
  <si>
    <t xml:space="preserve">2020/2021 BRA CONE: Levelized Revenue Requirement,     $/MW-Year </t>
  </si>
  <si>
    <t>Gross CONE, $/MW-Day (UCAP Price)</t>
  </si>
  <si>
    <t>Nominated PRD Value, MW</t>
  </si>
  <si>
    <t>Dominion</t>
  </si>
  <si>
    <t>ComEd</t>
  </si>
  <si>
    <t>Point (b1) UCAP Level, MW</t>
  </si>
  <si>
    <t>Point (b1) UCAP Price, $/MW-Day</t>
  </si>
  <si>
    <t>Point (a1) UCAP Price, $/MW-Day</t>
  </si>
  <si>
    <t>Point (a1) UCAP Level, MW</t>
  </si>
  <si>
    <t>Point (prd1) UCAP Price, $/MW-Day</t>
  </si>
  <si>
    <t>Point (prd2) UCAP Price, $/MW-Day</t>
  </si>
  <si>
    <t>Point (prd1) UCAP Level, MW</t>
  </si>
  <si>
    <t>Point (prd2) UCAP Level, MW</t>
  </si>
  <si>
    <t>VRR Curve adjusted for PRD:</t>
  </si>
  <si>
    <t>Pre-Auction Credit Rate, $/MW</t>
  </si>
  <si>
    <t>Minimum Internal Resource Requirement</t>
  </si>
  <si>
    <t>2021-2022 RPM Base Residual Auction Planning Parameters</t>
  </si>
  <si>
    <t>RPM CONE and E&amp;AS Values for 2021/2022 Base Residual Auction</t>
  </si>
  <si>
    <t>Load data: from 2018 Load Report with adjustments due to load served outside PJM.</t>
  </si>
  <si>
    <t>2017 IRM Study</t>
  </si>
  <si>
    <t>2017 Zonal W/N Coincident Peak Loads</t>
  </si>
  <si>
    <t>BLS Composite Index: 2016/2015 Escalation</t>
  </si>
  <si>
    <t xml:space="preserve">2021/2022 BRA CONE: Levelized Revenue Requirement,     $/MW-Year </t>
  </si>
  <si>
    <t>Historic (2015-2017) Net Energy Revenue Offset, $/MW-Year</t>
  </si>
  <si>
    <t>Net E&amp;AS Revenue Offset, $/MW-Year</t>
  </si>
  <si>
    <t>New Key Transmission Upgrades included for 2021/2022 model</t>
  </si>
  <si>
    <t>b2766.1</t>
  </si>
  <si>
    <t>Upgrade substation equipment at Conastone 500 kV (on the Peach Bottom – Conastone 500 kV circuit) to increase facility rating to 2826 MVA normal and 3525 MVA emergency</t>
  </si>
  <si>
    <t>b2766.2</t>
  </si>
  <si>
    <t>Upgrade substation equipment at Peach Bottom 500 kV (on the Peach Bottom – Conastone 500 kV circuit) to increase facility rating to 2826 MVA normal and 3525 MVA emergency</t>
  </si>
  <si>
    <t>b2777</t>
  </si>
  <si>
    <t>Reconductor the entire Dequine - Eugene 345 kV circuit #1</t>
  </si>
  <si>
    <t>b2828</t>
  </si>
  <si>
    <t>Install 10% reactors at Miami Fort 138 kV to limit current</t>
  </si>
  <si>
    <t>b2831.1</t>
  </si>
  <si>
    <t>Upgrade the Tanner Creek - Miami Fort 345 kV circuit (AEP portion)</t>
  </si>
  <si>
    <t>b2832</t>
  </si>
  <si>
    <t>Six wire the Kyger Creek - Sporn 345 kV circuits #1 and #2 and convert them to one circuit</t>
  </si>
  <si>
    <t>b2879.1</t>
  </si>
  <si>
    <t>Replace wavetrap at the Stuart 345 kV substation</t>
  </si>
  <si>
    <t>Dayton</t>
  </si>
  <si>
    <t>b2930</t>
  </si>
  <si>
    <t>Upgrade capacity on E. Frankfort-University Park 345kV</t>
  </si>
  <si>
    <t>b2931</t>
  </si>
  <si>
    <t>Upgrade substation equipment at Pontiac Midpoint station to increase capacity on Pontiac-Brokaw 345 kV line.</t>
  </si>
  <si>
    <t>b2976</t>
  </si>
  <si>
    <t>Upgrade terminal equipment at Tanners Creek 345kV station. Upgrade 345kV Bus and Risers at Tanners Creek for the Dearborn circuit.</t>
  </si>
  <si>
    <t>b2977.5</t>
  </si>
  <si>
    <t>Replace breaker 822 at Beckjord 138kV substation to increase the rating from Pierce to Beckjord 138kV to 603MVA.</t>
  </si>
  <si>
    <t>Y3-064</t>
  </si>
  <si>
    <t xml:space="preserve">upgrade the Pierce – Beckjord 138kV circuit (Duke Feeder 1887), conductor and/or associated equipment as required to increase the emergency rating from the existing 440MVA to 600MVA (160MW increase). </t>
  </si>
  <si>
    <t>b2972</t>
  </si>
  <si>
    <t>Reconductor limiting span of Lallendorf - Monroe 345kV (crossing of Maumee river)</t>
  </si>
  <si>
    <t>b2921</t>
  </si>
  <si>
    <t>New TVA 161kV Interconnection to TVA's East Glasgow Tap-East Glasgow 161 KV line section (~1 mile due West of Fox Hollow).  Add Fox Hollow 161/69 KV 150 MVA transformer.  Construct new Fox Hollow-Fox Hollow Jct 161 KV line section using 795 MCM ACSR (~1 m</t>
  </si>
  <si>
    <t>b2879.2</t>
  </si>
  <si>
    <t>Reconductor EKPC portion of the Stuart - Spurlock 345 kV line</t>
  </si>
  <si>
    <t>b2878</t>
  </si>
  <si>
    <t>Upgrade the Clifty Creek 345 kV risers</t>
  </si>
  <si>
    <t>b2830</t>
  </si>
  <si>
    <t>Expand Garver 345 kV sub to include 138 kV. Install 1-345 kV breaker, 1-345/138 kV 400 MVA transformer, 6-138 kV Breakers and bus work. Connect local 138 kV circuits from Todhunter, Rockies Express, and Union.</t>
  </si>
  <si>
    <t>b2778</t>
  </si>
  <si>
    <t>Add 2nd 345/138 kV transformer at Chamberlin substation</t>
  </si>
  <si>
    <t>b2776</t>
  </si>
  <si>
    <t>Reconductor the entire Dequine - Meadow Lake 345 kV circuit #2</t>
  </si>
  <si>
    <t>b2633.1</t>
  </si>
  <si>
    <t>Build a new 230 kV transmission line between Hope Creek and Silver Run</t>
  </si>
  <si>
    <t>LS POWER</t>
  </si>
  <si>
    <t>b2633.5</t>
  </si>
  <si>
    <t>Add a new 500/230 kV autotransformer at Hope Creek and a new Hope Creek 230 kV substation</t>
  </si>
  <si>
    <t>b2633.10</t>
  </si>
  <si>
    <t>Interconnect the new Silver Run 230 kV substation with existing Red Lion - Cartanza and Red Lion - Cedar Creek 230 kV lines</t>
  </si>
  <si>
    <t>b2633.2</t>
  </si>
  <si>
    <t>Construct a new Silver Run 230 kV substation</t>
  </si>
  <si>
    <t>b2633.4</t>
  </si>
  <si>
    <t>Add a new 500 kV bay at Hope Creek (Expansion of Hope Creek substation)</t>
  </si>
  <si>
    <t>b2835</t>
  </si>
  <si>
    <t>Convert the R-1318 and Q1317 (Edison – Metuchen) 138 kV circuits to one 230 kV circuit</t>
  </si>
  <si>
    <t>s1455</t>
  </si>
  <si>
    <t>Rebuild line 23070 circuit between Cool Spring and Indian River 230 kV substations. All structures, conductor, and static wire will be replaced with new steel poles, conductor, and OPGW</t>
  </si>
  <si>
    <t>Key Transmission Upgrades included for 2020/2021 model but not included for 2021/2022 model</t>
  </si>
  <si>
    <t>b2443</t>
  </si>
  <si>
    <t>Construct new underground 230kV line from Gelebe to Station C.</t>
  </si>
  <si>
    <t>b2443.3</t>
  </si>
  <si>
    <t>New 230kV Potomac River Substation Project (include PARs)</t>
  </si>
  <si>
    <t>b2443.4</t>
  </si>
  <si>
    <t>Rebuild Glebe substation</t>
  </si>
  <si>
    <t>n4301</t>
  </si>
  <si>
    <t>Construct new bay at Deans substation and install 2 500 kV breakers for a new position to connect the X1-078 converter station.</t>
  </si>
  <si>
    <t>b2414</t>
  </si>
  <si>
    <t>Build the 2nd Summer Shade EKPC - Summer Shade TVA 161 kV circuit</t>
  </si>
  <si>
    <t>320 MW Firm Transmission Withdrawal Rights for HVDC line connecting Bergen (PJM) to West 49th Street (NYISO)</t>
  </si>
  <si>
    <t>HTP</t>
  </si>
  <si>
    <t>&gt;805</t>
  </si>
  <si>
    <t>&gt;610</t>
  </si>
  <si>
    <t>&gt;3910</t>
  </si>
  <si>
    <t>&gt;1392</t>
  </si>
  <si>
    <t>&gt;2829</t>
  </si>
  <si>
    <t>Violation/Limiting Facility</t>
  </si>
  <si>
    <t>Thermal / Cedar Creek - Sliver Run 230 kV for loss of Cartanza - Milford 230 kV circuit</t>
  </si>
  <si>
    <t>Thermal / South Canton - Harmon 345 kV for loss of the Sammis - Star 345 kV circuit</t>
  </si>
  <si>
    <t>Thermal / Wescosville 500/138 kV transformer pre-contingency</t>
  </si>
  <si>
    <t>Thermal / O.H. Hutchings - Sugarcreek 138 kV line for the loss of Sugarcreek - Centerville and Sugarcreek - Normandy 138 kV line</t>
  </si>
  <si>
    <t>Voltage / Voltage drop at multiple BES buses for the loss of the Burchess Hill - Possum Point 500 kV circuit</t>
  </si>
  <si>
    <t>Voltage / Voltage drop at Cochranville 230 kV for loss of Keeney - Rock Springs 500 kV circuit</t>
  </si>
  <si>
    <t>Thermal / Roseland - Cedar Grove 230 kV for the loss of the Roseland - Williams Pipeline 230 kV circuit; McCarter - Essex 230 kV pre-   contingency</t>
  </si>
  <si>
    <t xml:space="preserve">Voltage / Voltage drop at multiple BES buses for the loss of the Waugh Chapel 230 kV capacitor </t>
  </si>
  <si>
    <t>Thermal / High Ridge - Sandy Springs 230 kV for the loss of the parallel High Ridge - Sandy Springs - Burtonsville 230 kV circuit</t>
  </si>
  <si>
    <t>Thermal / Dumont - Stillwell 345kV line for the loss of Dumont - Wilton 765 kV circuit</t>
  </si>
  <si>
    <t>Thermal / Pierce 345/138 kV transformer for loss of the Pierce - Foster 345 kV circuit; Greendale - Miami Forte 138 kV for loss of the Tanners Creek - Miami Forte 345 kV circuit</t>
  </si>
  <si>
    <t>b2831.2</t>
  </si>
  <si>
    <t>Upgrade the Tanner Creek - Miami Fort 345 kV circuit (DEOK portion)</t>
  </si>
  <si>
    <t>Pool-Wide Average EFORd for 2021/2022</t>
  </si>
  <si>
    <t>&gt;920</t>
  </si>
  <si>
    <t>&gt;2772</t>
  </si>
  <si>
    <t>&gt;3002</t>
  </si>
  <si>
    <t>&gt;4439</t>
  </si>
  <si>
    <t>Total Peak Load of FRR Entities</t>
  </si>
  <si>
    <t>Original 2/1/2018: Reliability Requirement not adjusted for FRR load.</t>
  </si>
  <si>
    <t xml:space="preserve">Revision 4/13/2018: Reliability Requirement adjusted for FRR load.  Revisions made in CETO, CETL, and Reliability Requirement values as shown in red. </t>
  </si>
  <si>
    <t xml:space="preserve">Revision 4/18/2018: Corrected DEOK Reliability Requirement adjusted for FRR load. OVEC zone removed as its integration is delayed. EMAAC CETO, CETL changes shown in red. </t>
  </si>
  <si>
    <t>EE Addback (UCAP)</t>
  </si>
  <si>
    <t>Revision 5/3/2018: VRR Curve updated to reflect adjustments for total quantity of EE Resources for which PJM accepted an EE M&amp;V Plan submitted for the auction.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</si>
</sst>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%"/>
    <numFmt numFmtId="166" formatCode="0.0"/>
    <numFmt numFmtId="167" formatCode="&quot;$&quot;#,##0.00"/>
    <numFmt numFmtId="168" formatCode="#,##0.0"/>
    <numFmt numFmtId="169" formatCode="0.00000"/>
    <numFmt numFmtId="170" formatCode="&quot;$&quot;#,##0"/>
    <numFmt numFmtId="175" formatCode="0.0000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sz val="11"/>
      <color rgb="FF1F497D"/>
      <name val="Calibri"/>
      <family val="2"/>
    </font>
    <font>
      <b/>
      <sz val="10"/>
      <color rgb="FFFF0000"/>
      <name val="Arial"/>
      <family val="2"/>
    </font>
    <font>
      <sz val="12"/>
      <color theme="1"/>
      <name val="Arial"/>
      <family val="2"/>
    </font>
    <font>
      <sz val="9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0" fillId="0" borderId="0"/>
    <xf numFmtId="0" fontId="9" fillId="0" borderId="0">
      <alignment wrapText="1"/>
    </xf>
    <xf numFmtId="0" fontId="9" fillId="0" borderId="0"/>
    <xf numFmtId="0" fontId="13" fillId="0" borderId="0"/>
    <xf numFmtId="9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2" fillId="0" borderId="0"/>
    <xf numFmtId="9" fontId="9" fillId="0" borderId="0" applyFont="0" applyFill="0" applyBorder="0" applyAlignment="0" applyProtection="0"/>
    <xf numFmtId="0" fontId="17" fillId="0" borderId="0"/>
    <xf numFmtId="0" fontId="3" fillId="0" borderId="0"/>
    <xf numFmtId="0" fontId="17" fillId="0" borderId="0"/>
    <xf numFmtId="0" fontId="1" fillId="0" borderId="0"/>
    <xf numFmtId="0" fontId="3" fillId="0" borderId="0"/>
    <xf numFmtId="0" fontId="3" fillId="0" borderId="0">
      <alignment wrapText="1"/>
    </xf>
  </cellStyleXfs>
  <cellXfs count="228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 applyBorder="1"/>
    <xf numFmtId="0" fontId="5" fillId="0" borderId="0" xfId="0" applyFont="1" applyAlignment="1">
      <alignment wrapText="1"/>
    </xf>
    <xf numFmtId="0" fontId="9" fillId="0" borderId="0" xfId="0" applyFont="1"/>
    <xf numFmtId="170" fontId="8" fillId="0" borderId="1" xfId="0" applyNumberFormat="1" applyFont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6" fontId="8" fillId="0" borderId="1" xfId="0" applyNumberFormat="1" applyFont="1" applyBorder="1" applyAlignment="1">
      <alignment horizontal="center" vertical="center" wrapText="1"/>
    </xf>
    <xf numFmtId="165" fontId="8" fillId="0" borderId="1" xfId="7" applyNumberFormat="1" applyFont="1" applyBorder="1" applyAlignment="1">
      <alignment horizontal="right" vertical="center"/>
    </xf>
    <xf numFmtId="167" fontId="8" fillId="0" borderId="1" xfId="0" applyNumberFormat="1" applyFont="1" applyBorder="1" applyAlignment="1">
      <alignment horizontal="right" vertical="center" wrapText="1"/>
    </xf>
    <xf numFmtId="168" fontId="8" fillId="0" borderId="1" xfId="0" applyNumberFormat="1" applyFont="1" applyBorder="1" applyAlignment="1">
      <alignment horizontal="right" vertical="center" wrapText="1"/>
    </xf>
    <xf numFmtId="166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167" fontId="7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1" fontId="8" fillId="0" borderId="3" xfId="0" applyNumberFormat="1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/>
    </xf>
    <xf numFmtId="168" fontId="8" fillId="0" borderId="1" xfId="7" applyNumberFormat="1" applyFont="1" applyBorder="1" applyAlignment="1">
      <alignment horizontal="right" vertical="center"/>
    </xf>
    <xf numFmtId="0" fontId="14" fillId="0" borderId="0" xfId="0" applyFont="1"/>
    <xf numFmtId="8" fontId="0" fillId="0" borderId="0" xfId="0" applyNumberFormat="1"/>
    <xf numFmtId="166" fontId="8" fillId="0" borderId="1" xfId="0" applyNumberFormat="1" applyFont="1" applyBorder="1" applyAlignment="1">
      <alignment horizontal="right" vertical="center" wrapText="1"/>
    </xf>
    <xf numFmtId="169" fontId="8" fillId="0" borderId="1" xfId="7" applyNumberFormat="1" applyFont="1" applyBorder="1" applyAlignment="1">
      <alignment horizontal="right" vertical="center"/>
    </xf>
    <xf numFmtId="168" fontId="8" fillId="0" borderId="1" xfId="7" applyNumberFormat="1" applyFont="1" applyFill="1" applyBorder="1" applyAlignment="1">
      <alignment horizontal="right" vertical="center"/>
    </xf>
    <xf numFmtId="166" fontId="8" fillId="0" borderId="1" xfId="7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15" fillId="0" borderId="0" xfId="0" applyFont="1" applyBorder="1"/>
    <xf numFmtId="168" fontId="7" fillId="0" borderId="1" xfId="0" applyNumberFormat="1" applyFont="1" applyBorder="1" applyAlignment="1">
      <alignment horizontal="right" vertical="center" wrapText="1"/>
    </xf>
    <xf numFmtId="168" fontId="8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5" fontId="8" fillId="0" borderId="0" xfId="7" applyNumberFormat="1" applyFont="1" applyBorder="1"/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67" fontId="8" fillId="0" borderId="1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8" fillId="0" borderId="0" xfId="5" applyFont="1" applyFill="1" applyBorder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3" fontId="0" fillId="0" borderId="0" xfId="0" applyNumberFormat="1"/>
    <xf numFmtId="168" fontId="8" fillId="0" borderId="1" xfId="0" applyNumberFormat="1" applyFont="1" applyBorder="1" applyAlignment="1">
      <alignment horizontal="right" vertical="center"/>
    </xf>
    <xf numFmtId="0" fontId="3" fillId="0" borderId="0" xfId="0" applyFont="1"/>
    <xf numFmtId="0" fontId="0" fillId="0" borderId="0" xfId="0" applyBorder="1"/>
    <xf numFmtId="0" fontId="14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12" fillId="0" borderId="5" xfId="4" applyFont="1" applyBorder="1" applyAlignment="1">
      <alignment vertical="center"/>
    </xf>
    <xf numFmtId="0" fontId="12" fillId="0" borderId="6" xfId="4" applyFont="1" applyBorder="1" applyAlignment="1">
      <alignment horizontal="center" vertical="center"/>
    </xf>
    <xf numFmtId="0" fontId="12" fillId="0" borderId="17" xfId="4" applyFont="1" applyBorder="1" applyAlignment="1">
      <alignment horizontal="center" vertical="center" wrapText="1"/>
    </xf>
    <xf numFmtId="0" fontId="3" fillId="0" borderId="3" xfId="16" applyFont="1" applyFill="1" applyBorder="1" applyAlignment="1">
      <alignment vertical="center"/>
    </xf>
    <xf numFmtId="0" fontId="3" fillId="0" borderId="1" xfId="16" applyFont="1" applyFill="1" applyBorder="1" applyAlignment="1">
      <alignment vertical="center" wrapText="1"/>
    </xf>
    <xf numFmtId="0" fontId="3" fillId="0" borderId="14" xfId="16" applyFont="1" applyFill="1" applyBorder="1" applyAlignment="1">
      <alignment horizontal="center" vertical="center"/>
    </xf>
    <xf numFmtId="1" fontId="8" fillId="0" borderId="16" xfId="0" applyNumberFormat="1" applyFont="1" applyBorder="1" applyAlignment="1">
      <alignment horizontal="left" vertical="center"/>
    </xf>
    <xf numFmtId="1" fontId="8" fillId="0" borderId="3" xfId="0" applyNumberFormat="1" applyFont="1" applyBorder="1" applyAlignment="1">
      <alignment horizontal="left" vertical="center"/>
    </xf>
    <xf numFmtId="14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0" fontId="8" fillId="0" borderId="1" xfId="1" applyNumberFormat="1" applyFont="1" applyBorder="1" applyAlignment="1">
      <alignment horizontal="center"/>
    </xf>
    <xf numFmtId="10" fontId="7" fillId="3" borderId="1" xfId="7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7" fillId="2" borderId="25" xfId="0" applyFont="1" applyFill="1" applyBorder="1" applyAlignment="1">
      <alignment wrapText="1"/>
    </xf>
    <xf numFmtId="170" fontId="8" fillId="0" borderId="20" xfId="1" applyNumberFormat="1" applyFont="1" applyBorder="1" applyAlignment="1">
      <alignment horizontal="center"/>
    </xf>
    <xf numFmtId="6" fontId="8" fillId="0" borderId="20" xfId="0" applyNumberFormat="1" applyFont="1" applyBorder="1" applyAlignment="1">
      <alignment horizontal="center" vertical="center" wrapText="1"/>
    </xf>
    <xf numFmtId="167" fontId="8" fillId="0" borderId="20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170" fontId="8" fillId="0" borderId="12" xfId="1" applyNumberFormat="1" applyFont="1" applyBorder="1" applyAlignment="1">
      <alignment horizontal="center"/>
    </xf>
    <xf numFmtId="6" fontId="8" fillId="0" borderId="12" xfId="0" applyNumberFormat="1" applyFont="1" applyBorder="1" applyAlignment="1">
      <alignment horizontal="center" vertical="center" wrapText="1"/>
    </xf>
    <xf numFmtId="167" fontId="8" fillId="0" borderId="12" xfId="0" applyNumberFormat="1" applyFont="1" applyBorder="1" applyAlignment="1">
      <alignment horizontal="center" vertical="center" wrapText="1"/>
    </xf>
    <xf numFmtId="170" fontId="8" fillId="0" borderId="12" xfId="0" applyNumberFormat="1" applyFont="1" applyFill="1" applyBorder="1" applyAlignment="1">
      <alignment horizontal="center" vertical="center" wrapText="1"/>
    </xf>
    <xf numFmtId="170" fontId="8" fillId="0" borderId="12" xfId="0" applyNumberFormat="1" applyFont="1" applyBorder="1" applyAlignment="1">
      <alignment horizontal="center" vertical="center" wrapText="1"/>
    </xf>
    <xf numFmtId="170" fontId="8" fillId="0" borderId="20" xfId="0" applyNumberFormat="1" applyFont="1" applyFill="1" applyBorder="1" applyAlignment="1">
      <alignment horizontal="center" vertical="center" wrapText="1"/>
    </xf>
    <xf numFmtId="170" fontId="8" fillId="0" borderId="20" xfId="0" applyNumberFormat="1" applyFont="1" applyBorder="1" applyAlignment="1">
      <alignment horizontal="center" vertical="center" wrapText="1"/>
    </xf>
    <xf numFmtId="167" fontId="7" fillId="0" borderId="20" xfId="0" applyNumberFormat="1" applyFont="1" applyBorder="1" applyAlignment="1">
      <alignment horizontal="center" vertical="center" wrapText="1"/>
    </xf>
    <xf numFmtId="0" fontId="8" fillId="2" borderId="3" xfId="0" applyFont="1" applyFill="1" applyBorder="1" applyAlignment="1">
      <alignment wrapText="1"/>
    </xf>
    <xf numFmtId="0" fontId="8" fillId="2" borderId="11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center"/>
    </xf>
    <xf numFmtId="0" fontId="7" fillId="2" borderId="5" xfId="0" applyFont="1" applyFill="1" applyBorder="1" applyAlignment="1">
      <alignment horizontal="left" vertical="center" wrapText="1"/>
    </xf>
    <xf numFmtId="6" fontId="8" fillId="0" borderId="6" xfId="0" applyNumberFormat="1" applyFont="1" applyBorder="1" applyAlignment="1">
      <alignment horizontal="center" vertical="center" wrapText="1"/>
    </xf>
    <xf numFmtId="167" fontId="8" fillId="0" borderId="6" xfId="0" applyNumberFormat="1" applyFont="1" applyBorder="1" applyAlignment="1">
      <alignment horizontal="center" vertical="center" wrapText="1"/>
    </xf>
    <xf numFmtId="170" fontId="8" fillId="0" borderId="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6" fillId="0" borderId="9" xfId="0" applyFont="1" applyBorder="1" applyAlignment="1">
      <alignment horizontal="center"/>
    </xf>
    <xf numFmtId="0" fontId="14" fillId="0" borderId="0" xfId="0" applyFont="1" applyFill="1" applyAlignment="1">
      <alignment vertical="top" wrapText="1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Border="1"/>
    <xf numFmtId="0" fontId="8" fillId="0" borderId="0" xfId="0" applyFont="1" applyBorder="1" applyAlignment="1">
      <alignment horizontal="left" vertical="center"/>
    </xf>
    <xf numFmtId="167" fontId="8" fillId="4" borderId="1" xfId="0" applyNumberFormat="1" applyFont="1" applyFill="1" applyBorder="1" applyAlignment="1">
      <alignment horizontal="righ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168" fontId="8" fillId="3" borderId="1" xfId="0" applyNumberFormat="1" applyFont="1" applyFill="1" applyBorder="1" applyAlignment="1">
      <alignment horizontal="right" vertical="center" wrapText="1"/>
    </xf>
    <xf numFmtId="167" fontId="8" fillId="5" borderId="1" xfId="0" applyNumberFormat="1" applyFont="1" applyFill="1" applyBorder="1" applyAlignment="1">
      <alignment horizontal="right" vertical="center" wrapText="1"/>
    </xf>
    <xf numFmtId="0" fontId="8" fillId="5" borderId="3" xfId="0" applyFont="1" applyFill="1" applyBorder="1" applyAlignment="1">
      <alignment horizontal="left" vertical="center" wrapText="1"/>
    </xf>
    <xf numFmtId="168" fontId="8" fillId="5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168" fontId="8" fillId="0" borderId="0" xfId="0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5" borderId="25" xfId="0" applyFont="1" applyFill="1" applyBorder="1" applyAlignment="1">
      <alignment horizontal="left" vertical="center" wrapText="1"/>
    </xf>
    <xf numFmtId="167" fontId="8" fillId="5" borderId="20" xfId="0" applyNumberFormat="1" applyFont="1" applyFill="1" applyBorder="1" applyAlignment="1">
      <alignment horizontal="right" vertical="center" wrapText="1"/>
    </xf>
    <xf numFmtId="167" fontId="8" fillId="5" borderId="21" xfId="0" applyNumberFormat="1" applyFont="1" applyFill="1" applyBorder="1" applyAlignment="1">
      <alignment horizontal="right" vertical="center" wrapText="1"/>
    </xf>
    <xf numFmtId="167" fontId="8" fillId="5" borderId="14" xfId="0" applyNumberFormat="1" applyFont="1" applyFill="1" applyBorder="1" applyAlignment="1">
      <alignment horizontal="right" vertical="center" wrapText="1"/>
    </xf>
    <xf numFmtId="168" fontId="8" fillId="5" borderId="14" xfId="0" applyNumberFormat="1" applyFont="1" applyFill="1" applyBorder="1" applyAlignment="1">
      <alignment horizontal="right" vertical="center" wrapText="1"/>
    </xf>
    <xf numFmtId="0" fontId="8" fillId="5" borderId="11" xfId="0" applyFont="1" applyFill="1" applyBorder="1" applyAlignment="1">
      <alignment horizontal="left" vertical="center" wrapText="1"/>
    </xf>
    <xf numFmtId="168" fontId="8" fillId="5" borderId="12" xfId="0" applyNumberFormat="1" applyFont="1" applyFill="1" applyBorder="1" applyAlignment="1">
      <alignment horizontal="right" vertical="center" wrapText="1"/>
    </xf>
    <xf numFmtId="168" fontId="8" fillId="5" borderId="15" xfId="0" applyNumberFormat="1" applyFont="1" applyFill="1" applyBorder="1" applyAlignment="1">
      <alignment horizontal="right" vertical="center" wrapText="1"/>
    </xf>
    <xf numFmtId="0" fontId="8" fillId="4" borderId="25" xfId="0" applyFont="1" applyFill="1" applyBorder="1" applyAlignment="1">
      <alignment horizontal="left" vertical="center" wrapText="1"/>
    </xf>
    <xf numFmtId="167" fontId="8" fillId="4" borderId="20" xfId="0" applyNumberFormat="1" applyFont="1" applyFill="1" applyBorder="1" applyAlignment="1">
      <alignment horizontal="right" vertical="center" wrapText="1"/>
    </xf>
    <xf numFmtId="167" fontId="8" fillId="4" borderId="21" xfId="0" applyNumberFormat="1" applyFont="1" applyFill="1" applyBorder="1" applyAlignment="1">
      <alignment horizontal="right" vertical="center" wrapText="1"/>
    </xf>
    <xf numFmtId="167" fontId="8" fillId="4" borderId="14" xfId="0" applyNumberFormat="1" applyFont="1" applyFill="1" applyBorder="1" applyAlignment="1">
      <alignment horizontal="right" vertical="center" wrapText="1"/>
    </xf>
    <xf numFmtId="0" fontId="8" fillId="4" borderId="11" xfId="0" applyFont="1" applyFill="1" applyBorder="1" applyAlignment="1">
      <alignment horizontal="left" vertical="center" wrapText="1"/>
    </xf>
    <xf numFmtId="167" fontId="8" fillId="4" borderId="12" xfId="0" applyNumberFormat="1" applyFont="1" applyFill="1" applyBorder="1" applyAlignment="1">
      <alignment horizontal="right" vertical="center" wrapText="1"/>
    </xf>
    <xf numFmtId="167" fontId="8" fillId="4" borderId="15" xfId="0" applyNumberFormat="1" applyFont="1" applyFill="1" applyBorder="1" applyAlignment="1">
      <alignment horizontal="right" vertical="center" wrapText="1"/>
    </xf>
    <xf numFmtId="167" fontId="20" fillId="0" borderId="2" xfId="0" applyNumberFormat="1" applyFont="1" applyFill="1" applyBorder="1" applyAlignment="1">
      <alignment horizontal="right" vertical="center"/>
    </xf>
    <xf numFmtId="0" fontId="8" fillId="3" borderId="25" xfId="0" applyFont="1" applyFill="1" applyBorder="1" applyAlignment="1">
      <alignment horizontal="left" vertical="center" wrapText="1"/>
    </xf>
    <xf numFmtId="168" fontId="8" fillId="3" borderId="20" xfId="0" applyNumberFormat="1" applyFont="1" applyFill="1" applyBorder="1" applyAlignment="1">
      <alignment horizontal="right" vertical="center" wrapText="1"/>
    </xf>
    <xf numFmtId="0" fontId="8" fillId="3" borderId="11" xfId="0" applyFont="1" applyFill="1" applyBorder="1" applyAlignment="1">
      <alignment horizontal="left" vertical="center" wrapText="1"/>
    </xf>
    <xf numFmtId="168" fontId="8" fillId="3" borderId="12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/>
    <xf numFmtId="0" fontId="5" fillId="0" borderId="0" xfId="0" applyFont="1" applyFill="1" applyBorder="1" applyAlignment="1">
      <alignment horizontal="right" wrapText="1"/>
    </xf>
    <xf numFmtId="0" fontId="18" fillId="0" borderId="0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16" fillId="0" borderId="18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170" fontId="8" fillId="0" borderId="1" xfId="0" applyNumberFormat="1" applyFont="1" applyBorder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175" fontId="8" fillId="0" borderId="20" xfId="0" applyNumberFormat="1" applyFont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170" fontId="8" fillId="0" borderId="12" xfId="0" applyNumberFormat="1" applyFont="1" applyBorder="1" applyAlignment="1">
      <alignment horizontal="center"/>
    </xf>
    <xf numFmtId="170" fontId="8" fillId="0" borderId="6" xfId="0" applyNumberFormat="1" applyFont="1" applyBorder="1" applyAlignment="1">
      <alignment horizontal="center"/>
    </xf>
    <xf numFmtId="0" fontId="22" fillId="0" borderId="0" xfId="0" applyFont="1" applyBorder="1" applyAlignment="1">
      <alignment horizontal="left" vertical="center"/>
    </xf>
    <xf numFmtId="0" fontId="7" fillId="6" borderId="4" xfId="0" applyFont="1" applyFill="1" applyBorder="1" applyAlignment="1">
      <alignment horizontal="left" vertical="center" wrapText="1"/>
    </xf>
    <xf numFmtId="168" fontId="8" fillId="6" borderId="2" xfId="0" applyNumberFormat="1" applyFont="1" applyFill="1" applyBorder="1" applyAlignment="1">
      <alignment horizontal="right" vertical="center" wrapText="1"/>
    </xf>
    <xf numFmtId="0" fontId="3" fillId="0" borderId="0" xfId="16" applyFont="1" applyFill="1" applyBorder="1" applyAlignment="1">
      <alignment horizontal="center" vertical="center"/>
    </xf>
    <xf numFmtId="0" fontId="3" fillId="0" borderId="11" xfId="16" applyFont="1" applyFill="1" applyBorder="1" applyAlignment="1">
      <alignment vertical="center"/>
    </xf>
    <xf numFmtId="0" fontId="3" fillId="0" borderId="12" xfId="16" applyFont="1" applyFill="1" applyBorder="1" applyAlignment="1">
      <alignment vertical="center" wrapText="1"/>
    </xf>
    <xf numFmtId="0" fontId="3" fillId="0" borderId="15" xfId="16" applyFont="1" applyFill="1" applyBorder="1" applyAlignment="1">
      <alignment horizontal="center" vertical="center"/>
    </xf>
    <xf numFmtId="0" fontId="14" fillId="0" borderId="0" xfId="16" applyFont="1" applyFill="1" applyBorder="1" applyAlignment="1">
      <alignment vertical="center"/>
    </xf>
    <xf numFmtId="0" fontId="14" fillId="0" borderId="0" xfId="16" applyFont="1" applyFill="1" applyBorder="1" applyAlignment="1">
      <alignment vertical="center" wrapText="1"/>
    </xf>
    <xf numFmtId="0" fontId="3" fillId="0" borderId="0" xfId="18" applyFill="1"/>
    <xf numFmtId="0" fontId="7" fillId="0" borderId="1" xfId="0" applyFont="1" applyFill="1" applyBorder="1" applyAlignment="1">
      <alignment horizontal="center" vertical="center" wrapText="1"/>
    </xf>
    <xf numFmtId="168" fontId="8" fillId="0" borderId="1" xfId="0" applyNumberFormat="1" applyFont="1" applyFill="1" applyBorder="1" applyAlignment="1">
      <alignment horizontal="right" vertical="center" wrapText="1"/>
    </xf>
    <xf numFmtId="168" fontId="8" fillId="0" borderId="1" xfId="0" applyNumberFormat="1" applyFont="1" applyFill="1" applyBorder="1" applyAlignment="1">
      <alignment horizontal="center" vertical="center" wrapText="1"/>
    </xf>
    <xf numFmtId="168" fontId="7" fillId="0" borderId="1" xfId="1" applyNumberFormat="1" applyFont="1" applyFill="1" applyBorder="1" applyAlignment="1">
      <alignment horizontal="right" vertical="center"/>
    </xf>
    <xf numFmtId="9" fontId="8" fillId="0" borderId="1" xfId="7" applyFont="1" applyFill="1" applyBorder="1" applyAlignment="1">
      <alignment horizontal="right" vertical="center"/>
    </xf>
    <xf numFmtId="168" fontId="7" fillId="0" borderId="1" xfId="0" applyNumberFormat="1" applyFont="1" applyFill="1" applyBorder="1" applyAlignment="1">
      <alignment horizontal="right" vertical="center"/>
    </xf>
    <xf numFmtId="9" fontId="8" fillId="0" borderId="1" xfId="7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horizontal="right" wrapText="1"/>
    </xf>
    <xf numFmtId="0" fontId="23" fillId="0" borderId="0" xfId="0" applyFont="1" applyFill="1" applyAlignment="1">
      <alignment vertical="center"/>
    </xf>
    <xf numFmtId="1" fontId="14" fillId="0" borderId="0" xfId="0" applyNumberFormat="1" applyFont="1" applyFill="1" applyBorder="1" applyAlignment="1">
      <alignment vertical="center"/>
    </xf>
    <xf numFmtId="168" fontId="16" fillId="0" borderId="0" xfId="0" applyNumberFormat="1" applyFont="1" applyBorder="1" applyAlignment="1">
      <alignment horizontal="left" vertical="center"/>
    </xf>
    <xf numFmtId="1" fontId="16" fillId="0" borderId="0" xfId="0" applyNumberFormat="1" applyFont="1" applyBorder="1" applyAlignment="1">
      <alignment horizontal="left" vertical="center"/>
    </xf>
    <xf numFmtId="0" fontId="3" fillId="0" borderId="4" xfId="16" applyFont="1" applyFill="1" applyBorder="1" applyAlignment="1">
      <alignment vertical="center"/>
    </xf>
    <xf numFmtId="0" fontId="3" fillId="0" borderId="2" xfId="16" applyFont="1" applyFill="1" applyBorder="1" applyAlignment="1">
      <alignment vertical="center" wrapText="1"/>
    </xf>
    <xf numFmtId="0" fontId="3" fillId="0" borderId="19" xfId="16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5" xfId="16" applyFont="1" applyFill="1" applyBorder="1" applyAlignment="1">
      <alignment vertical="center"/>
    </xf>
    <xf numFmtId="0" fontId="3" fillId="0" borderId="20" xfId="16" applyFont="1" applyFill="1" applyBorder="1" applyAlignment="1">
      <alignment vertical="center" wrapText="1"/>
    </xf>
    <xf numFmtId="0" fontId="3" fillId="0" borderId="21" xfId="16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65" fontId="8" fillId="0" borderId="9" xfId="0" applyNumberFormat="1" applyFont="1" applyBorder="1" applyAlignment="1">
      <alignment horizontal="right" vertical="center"/>
    </xf>
    <xf numFmtId="10" fontId="8" fillId="0" borderId="9" xfId="0" applyNumberFormat="1" applyFont="1" applyBorder="1" applyAlignment="1">
      <alignment horizontal="right" vertical="center"/>
    </xf>
    <xf numFmtId="164" fontId="8" fillId="0" borderId="9" xfId="0" applyNumberFormat="1" applyFont="1" applyBorder="1" applyAlignment="1">
      <alignment horizontal="right" vertical="center"/>
    </xf>
    <xf numFmtId="168" fontId="8" fillId="0" borderId="9" xfId="0" applyNumberFormat="1" applyFont="1" applyBorder="1" applyAlignment="1">
      <alignment horizontal="right" vertical="center"/>
    </xf>
    <xf numFmtId="166" fontId="8" fillId="0" borderId="18" xfId="0" applyNumberFormat="1" applyFont="1" applyFill="1" applyBorder="1" applyAlignment="1">
      <alignment horizontal="left" vertical="center"/>
    </xf>
    <xf numFmtId="168" fontId="15" fillId="0" borderId="1" xfId="0" applyNumberFormat="1" applyFont="1" applyFill="1" applyBorder="1" applyAlignment="1">
      <alignment horizontal="right" vertical="center"/>
    </xf>
    <xf numFmtId="168" fontId="16" fillId="0" borderId="1" xfId="1" applyNumberFormat="1" applyFont="1" applyFill="1" applyBorder="1" applyAlignment="1">
      <alignment horizontal="right" vertical="center"/>
    </xf>
    <xf numFmtId="168" fontId="15" fillId="0" borderId="1" xfId="7" applyNumberFormat="1" applyFont="1" applyBorder="1" applyAlignment="1">
      <alignment horizontal="right" vertical="center"/>
    </xf>
    <xf numFmtId="166" fontId="15" fillId="0" borderId="1" xfId="0" applyNumberFormat="1" applyFont="1" applyBorder="1" applyAlignment="1">
      <alignment horizontal="right" vertical="center"/>
    </xf>
    <xf numFmtId="168" fontId="16" fillId="0" borderId="1" xfId="0" applyNumberFormat="1" applyFont="1" applyBorder="1" applyAlignment="1">
      <alignment horizontal="right" vertical="center" wrapText="1"/>
    </xf>
    <xf numFmtId="166" fontId="14" fillId="0" borderId="0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8" fontId="8" fillId="0" borderId="1" xfId="0" applyNumberFormat="1" applyFont="1" applyFill="1" applyBorder="1" applyAlignment="1">
      <alignment horizontal="left" vertical="center"/>
    </xf>
    <xf numFmtId="168" fontId="8" fillId="0" borderId="9" xfId="0" applyNumberFormat="1" applyFont="1" applyFill="1" applyBorder="1" applyAlignment="1">
      <alignment horizontal="left" vertical="center" wrapText="1"/>
    </xf>
    <xf numFmtId="168" fontId="8" fillId="0" borderId="26" xfId="0" applyNumberFormat="1" applyFont="1" applyFill="1" applyBorder="1" applyAlignment="1">
      <alignment horizontal="left" vertical="center" wrapText="1"/>
    </xf>
    <xf numFmtId="168" fontId="8" fillId="0" borderId="16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8" fillId="0" borderId="9" xfId="15" applyFont="1" applyBorder="1" applyAlignment="1">
      <alignment horizontal="left" vertical="center"/>
    </xf>
    <xf numFmtId="0" fontId="8" fillId="0" borderId="26" xfId="15" applyFont="1" applyBorder="1" applyAlignment="1">
      <alignment horizontal="left" vertical="center"/>
    </xf>
    <xf numFmtId="0" fontId="8" fillId="0" borderId="16" xfId="15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168" fontId="11" fillId="0" borderId="10" xfId="7" applyNumberFormat="1" applyFont="1" applyBorder="1" applyAlignment="1">
      <alignment horizontal="center" vertical="center" wrapText="1"/>
    </xf>
    <xf numFmtId="168" fontId="11" fillId="0" borderId="13" xfId="0" applyNumberFormat="1" applyFont="1" applyBorder="1" applyAlignment="1">
      <alignment horizontal="center" vertical="center" wrapText="1"/>
    </xf>
    <xf numFmtId="168" fontId="11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Alignment="1"/>
    <xf numFmtId="0" fontId="6" fillId="0" borderId="22" xfId="4" applyFont="1" applyBorder="1" applyAlignment="1">
      <alignment horizontal="center" vertical="center"/>
    </xf>
    <xf numFmtId="0" fontId="6" fillId="0" borderId="23" xfId="4" applyFont="1" applyBorder="1" applyAlignment="1">
      <alignment horizontal="center" vertical="center"/>
    </xf>
    <xf numFmtId="0" fontId="6" fillId="0" borderId="24" xfId="4" applyFont="1" applyBorder="1" applyAlignment="1">
      <alignment horizontal="center" vertical="center"/>
    </xf>
    <xf numFmtId="0" fontId="6" fillId="0" borderId="27" xfId="19" applyFont="1" applyFill="1" applyBorder="1" applyAlignment="1">
      <alignment horizontal="center" vertical="center"/>
    </xf>
    <xf numFmtId="0" fontId="6" fillId="0" borderId="28" xfId="19" applyFont="1" applyFill="1" applyBorder="1" applyAlignment="1">
      <alignment horizontal="center" vertical="center"/>
    </xf>
    <xf numFmtId="0" fontId="6" fillId="0" borderId="29" xfId="19" applyFont="1" applyFill="1" applyBorder="1" applyAlignment="1">
      <alignment horizontal="center" vertical="center"/>
    </xf>
  </cellXfs>
  <cellStyles count="20">
    <cellStyle name="Comma" xfId="1" builtinId="3"/>
    <cellStyle name="Comma 2" xfId="2"/>
    <cellStyle name="Comma 2 2" xfId="9"/>
    <cellStyle name="Comma 3" xfId="8"/>
    <cellStyle name="Currency 2" xfId="10"/>
    <cellStyle name="Normal" xfId="0" builtinId="0"/>
    <cellStyle name="Normal 10 2" xfId="18"/>
    <cellStyle name="Normal 2" xfId="3"/>
    <cellStyle name="Normal 2 2" xfId="4"/>
    <cellStyle name="Normal 2 2 2" xfId="19"/>
    <cellStyle name="Normal 2 3" xfId="11"/>
    <cellStyle name="Normal 3" xfId="14"/>
    <cellStyle name="Normal 3 7" xfId="16"/>
    <cellStyle name="Normal 4" xfId="15"/>
    <cellStyle name="Normal 4 3" xfId="5"/>
    <cellStyle name="Normal 6" xfId="6"/>
    <cellStyle name="Normal 6 2" xfId="12"/>
    <cellStyle name="Normal 6 7" xfId="17"/>
    <cellStyle name="Percent" xfId="7" builtinId="5"/>
    <cellStyle name="Percent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95"/>
  <sheetViews>
    <sheetView tabSelected="1" zoomScale="80" zoomScaleNormal="80" zoomScaleSheetLayoutView="75" workbookViewId="0">
      <selection sqref="A1:B1"/>
    </sheetView>
  </sheetViews>
  <sheetFormatPr defaultColWidth="30.7109375" defaultRowHeight="12.75" x14ac:dyDescent="0.2"/>
  <cols>
    <col min="1" max="1" width="60" customWidth="1"/>
    <col min="2" max="7" width="16.7109375" style="1" customWidth="1"/>
    <col min="8" max="8" width="16.7109375" customWidth="1"/>
    <col min="9" max="9" width="17.7109375" customWidth="1"/>
    <col min="10" max="16" width="18.7109375" customWidth="1"/>
  </cols>
  <sheetData>
    <row r="1" spans="1:18" ht="24.95" customHeight="1" x14ac:dyDescent="0.25">
      <c r="A1" s="200" t="s">
        <v>110</v>
      </c>
      <c r="B1" s="200"/>
      <c r="C1" s="105"/>
      <c r="D1" s="69">
        <v>43223</v>
      </c>
      <c r="E1" s="105"/>
      <c r="F1" s="156" t="s">
        <v>12</v>
      </c>
      <c r="H1" s="70"/>
      <c r="I1" s="15" t="s">
        <v>12</v>
      </c>
      <c r="J1" s="176" t="s">
        <v>12</v>
      </c>
    </row>
    <row r="2" spans="1:18" ht="20.100000000000001" customHeight="1" x14ac:dyDescent="0.2">
      <c r="A2" s="111" t="s">
        <v>12</v>
      </c>
      <c r="B2" s="103"/>
      <c r="C2" s="103"/>
      <c r="D2" s="103"/>
      <c r="E2" s="103"/>
      <c r="F2" s="103"/>
      <c r="G2" s="103"/>
      <c r="H2" s="103"/>
      <c r="I2" s="176" t="s">
        <v>12</v>
      </c>
      <c r="J2" s="177" t="s">
        <v>12</v>
      </c>
      <c r="K2" s="103" t="s">
        <v>12</v>
      </c>
      <c r="L2" s="103"/>
      <c r="M2" s="103"/>
      <c r="N2" s="103"/>
    </row>
    <row r="3" spans="1:18" ht="20.100000000000001" customHeight="1" x14ac:dyDescent="0.25">
      <c r="A3" s="106" t="s">
        <v>12</v>
      </c>
      <c r="B3" s="107" t="s">
        <v>13</v>
      </c>
      <c r="C3" s="209" t="s">
        <v>41</v>
      </c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</row>
    <row r="4" spans="1:18" ht="20.100000000000001" customHeight="1" x14ac:dyDescent="0.2">
      <c r="A4" s="16" t="s">
        <v>35</v>
      </c>
      <c r="B4" s="188">
        <v>0.158</v>
      </c>
      <c r="C4" s="213" t="s">
        <v>113</v>
      </c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</row>
    <row r="5" spans="1:18" ht="20.100000000000001" customHeight="1" x14ac:dyDescent="0.2">
      <c r="A5" s="16" t="s">
        <v>36</v>
      </c>
      <c r="B5" s="189">
        <v>5.8900000000000001E-2</v>
      </c>
      <c r="C5" s="213" t="s">
        <v>113</v>
      </c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</row>
    <row r="6" spans="1:18" ht="20.100000000000001" customHeight="1" x14ac:dyDescent="0.2">
      <c r="A6" s="16" t="s">
        <v>37</v>
      </c>
      <c r="B6" s="190">
        <v>1.0898000000000001</v>
      </c>
      <c r="C6" s="213" t="s">
        <v>113</v>
      </c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</row>
    <row r="7" spans="1:18" ht="20.100000000000001" customHeight="1" x14ac:dyDescent="0.2">
      <c r="A7" s="16" t="s">
        <v>38</v>
      </c>
      <c r="B7" s="191">
        <f>F45</f>
        <v>152647.4</v>
      </c>
      <c r="C7" s="213" t="s">
        <v>112</v>
      </c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</row>
    <row r="8" spans="1:18" ht="20.100000000000001" customHeight="1" x14ac:dyDescent="0.2">
      <c r="A8" s="44" t="s">
        <v>12</v>
      </c>
      <c r="B8" s="45" t="s">
        <v>12</v>
      </c>
      <c r="C8" s="214" t="s">
        <v>92</v>
      </c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</row>
    <row r="9" spans="1:18" ht="30" customHeight="1" x14ac:dyDescent="0.2">
      <c r="A9" s="22" t="s">
        <v>12</v>
      </c>
      <c r="B9" s="19" t="s">
        <v>13</v>
      </c>
      <c r="C9" s="19" t="s">
        <v>17</v>
      </c>
      <c r="D9" s="19" t="s">
        <v>16</v>
      </c>
      <c r="E9" s="19" t="s">
        <v>14</v>
      </c>
      <c r="F9" s="19" t="s">
        <v>8</v>
      </c>
      <c r="G9" s="19" t="s">
        <v>42</v>
      </c>
      <c r="H9" s="19" t="s">
        <v>43</v>
      </c>
      <c r="I9" s="19" t="s">
        <v>7</v>
      </c>
      <c r="J9" s="17" t="s">
        <v>50</v>
      </c>
      <c r="K9" s="17" t="s">
        <v>72</v>
      </c>
      <c r="L9" s="38" t="s">
        <v>18</v>
      </c>
      <c r="M9" s="38" t="s">
        <v>3</v>
      </c>
      <c r="N9" s="38" t="s">
        <v>76</v>
      </c>
      <c r="O9" s="38" t="s">
        <v>19</v>
      </c>
      <c r="P9" s="38" t="s">
        <v>64</v>
      </c>
      <c r="Q9" s="147" t="s">
        <v>12</v>
      </c>
      <c r="R9" s="56"/>
    </row>
    <row r="10" spans="1:18" ht="19.899999999999999" customHeight="1" x14ac:dyDescent="0.2">
      <c r="A10" s="20" t="s">
        <v>9</v>
      </c>
      <c r="B10" s="11" t="s">
        <v>24</v>
      </c>
      <c r="C10" s="11">
        <f>B72</f>
        <v>-8870</v>
      </c>
      <c r="D10" s="54">
        <f>B69</f>
        <v>2500</v>
      </c>
      <c r="E10" s="54">
        <f>B70</f>
        <v>2870</v>
      </c>
      <c r="F10" s="54">
        <f>B66</f>
        <v>5620</v>
      </c>
      <c r="G10" s="54">
        <f>B67</f>
        <v>2410</v>
      </c>
      <c r="H10" s="54">
        <f>B58</f>
        <v>1080</v>
      </c>
      <c r="I10" s="54">
        <f>B64</f>
        <v>1550</v>
      </c>
      <c r="J10" s="54">
        <f>B49</f>
        <v>6020</v>
      </c>
      <c r="K10" s="54">
        <f>B50</f>
        <v>4100</v>
      </c>
      <c r="L10" s="54">
        <f>B52</f>
        <v>-640</v>
      </c>
      <c r="M10" s="54">
        <f>B51</f>
        <v>4470</v>
      </c>
      <c r="N10" s="54">
        <f>B65</f>
        <v>-850</v>
      </c>
      <c r="O10" s="54">
        <f>B53</f>
        <v>2480</v>
      </c>
      <c r="P10" s="54">
        <f>B54</f>
        <v>3110</v>
      </c>
    </row>
    <row r="11" spans="1:18" ht="19.899999999999999" customHeight="1" x14ac:dyDescent="0.2">
      <c r="A11" s="20" t="s">
        <v>11</v>
      </c>
      <c r="B11" s="11" t="s">
        <v>24</v>
      </c>
      <c r="C11" s="167">
        <f>C72</f>
        <v>4019</v>
      </c>
      <c r="D11" s="37">
        <f>C69</f>
        <v>9000</v>
      </c>
      <c r="E11" s="37">
        <f>C70</f>
        <v>9082</v>
      </c>
      <c r="F11" s="37">
        <f>C66</f>
        <v>6902</v>
      </c>
      <c r="G11" s="37">
        <f>C67</f>
        <v>3180</v>
      </c>
      <c r="H11" s="37">
        <f>C58</f>
        <v>1624</v>
      </c>
      <c r="I11" s="37">
        <f>C64</f>
        <v>6915</v>
      </c>
      <c r="J11" s="37">
        <f>C49</f>
        <v>8439</v>
      </c>
      <c r="K11" s="37">
        <f>C50</f>
        <v>5256</v>
      </c>
      <c r="L11" s="37">
        <f>C52</f>
        <v>5574</v>
      </c>
      <c r="M11" s="37">
        <f>C51</f>
        <v>6005</v>
      </c>
      <c r="N11" s="37">
        <f>C65</f>
        <v>6609</v>
      </c>
      <c r="O11" s="37">
        <f>C53</f>
        <v>3502</v>
      </c>
      <c r="P11" s="37">
        <f>C54</f>
        <v>4959</v>
      </c>
    </row>
    <row r="12" spans="1:18" ht="19.899999999999999" customHeight="1" x14ac:dyDescent="0.2">
      <c r="A12" s="21" t="s">
        <v>10</v>
      </c>
      <c r="B12" s="11">
        <f>ROUND((B7*B6),1)</f>
        <v>166355.1</v>
      </c>
      <c r="C12" s="11">
        <v>64919</v>
      </c>
      <c r="D12" s="195">
        <v>35994</v>
      </c>
      <c r="E12" s="27">
        <v>15259</v>
      </c>
      <c r="F12" s="27">
        <v>11501</v>
      </c>
      <c r="G12" s="27">
        <v>5810</v>
      </c>
      <c r="H12" s="27">
        <v>2907</v>
      </c>
      <c r="I12" s="27">
        <v>8073</v>
      </c>
      <c r="J12" s="195">
        <v>15598</v>
      </c>
      <c r="K12" s="195">
        <v>5258</v>
      </c>
      <c r="L12" s="27">
        <v>26112</v>
      </c>
      <c r="M12" s="27">
        <v>7910</v>
      </c>
      <c r="N12" s="27">
        <v>9974</v>
      </c>
      <c r="O12" s="27">
        <v>3979</v>
      </c>
      <c r="P12" s="27">
        <v>7557</v>
      </c>
    </row>
    <row r="13" spans="1:18" ht="19.899999999999999" customHeight="1" x14ac:dyDescent="0.2">
      <c r="A13" s="20" t="s">
        <v>211</v>
      </c>
      <c r="B13" s="54">
        <f>H45</f>
        <v>12107.099999999999</v>
      </c>
      <c r="C13" s="52">
        <f>H72</f>
        <v>0</v>
      </c>
      <c r="D13" s="52">
        <f>H69</f>
        <v>0</v>
      </c>
      <c r="E13" s="52">
        <f>H70</f>
        <v>0</v>
      </c>
      <c r="F13" s="52">
        <f>H66</f>
        <v>0</v>
      </c>
      <c r="G13" s="52">
        <f>H67</f>
        <v>0</v>
      </c>
      <c r="H13" s="52">
        <f>H58</f>
        <v>0</v>
      </c>
      <c r="I13" s="52">
        <f>H64</f>
        <v>0</v>
      </c>
      <c r="J13" s="52">
        <f>H49</f>
        <v>0</v>
      </c>
      <c r="K13" s="52">
        <f>H50</f>
        <v>0</v>
      </c>
      <c r="L13" s="54">
        <f>H52</f>
        <v>0</v>
      </c>
      <c r="M13" s="52">
        <f>H51</f>
        <v>0</v>
      </c>
      <c r="N13" s="52">
        <f>H65</f>
        <v>0</v>
      </c>
      <c r="O13" s="52">
        <f>H53</f>
        <v>0</v>
      </c>
      <c r="P13" s="54">
        <f>H54</f>
        <v>878.5</v>
      </c>
    </row>
    <row r="14" spans="1:18" ht="19.899999999999999" customHeight="1" x14ac:dyDescent="0.2">
      <c r="A14" s="20" t="s">
        <v>44</v>
      </c>
      <c r="B14" s="54">
        <f>ROUND(B13*$B$6,1)</f>
        <v>13194.3</v>
      </c>
      <c r="C14" s="52">
        <f t="shared" ref="C14:I14" si="0">ROUND(C13*$B$6,1)</f>
        <v>0</v>
      </c>
      <c r="D14" s="52">
        <f t="shared" si="0"/>
        <v>0</v>
      </c>
      <c r="E14" s="52">
        <f t="shared" si="0"/>
        <v>0</v>
      </c>
      <c r="F14" s="52">
        <f t="shared" si="0"/>
        <v>0</v>
      </c>
      <c r="G14" s="52">
        <f t="shared" si="0"/>
        <v>0</v>
      </c>
      <c r="H14" s="52">
        <f t="shared" si="0"/>
        <v>0</v>
      </c>
      <c r="I14" s="52">
        <f t="shared" si="0"/>
        <v>0</v>
      </c>
      <c r="J14" s="52">
        <f>ROUND(J13*$B$6,1)</f>
        <v>0</v>
      </c>
      <c r="K14" s="52">
        <f>ROUND(K13*$B$6,1)</f>
        <v>0</v>
      </c>
      <c r="L14" s="54">
        <f>ROUND(L13*$B$6,1)</f>
        <v>0</v>
      </c>
      <c r="M14" s="52">
        <f>ROUND(M13*$B$6,1)</f>
        <v>0</v>
      </c>
      <c r="N14" s="52">
        <f>ROUND(N13*$B$6,1)</f>
        <v>0</v>
      </c>
      <c r="O14" s="52">
        <f t="shared" ref="O14:P14" si="1">ROUND(O13*$B$6,1)</f>
        <v>0</v>
      </c>
      <c r="P14" s="54">
        <f t="shared" si="1"/>
        <v>957.4</v>
      </c>
    </row>
    <row r="15" spans="1:18" ht="19.899999999999999" customHeight="1" x14ac:dyDescent="0.2">
      <c r="A15" s="68" t="s">
        <v>45</v>
      </c>
      <c r="B15" s="36">
        <f>B12-B14</f>
        <v>153160.80000000002</v>
      </c>
      <c r="C15" s="36">
        <f>C12-C14*C41</f>
        <v>64919</v>
      </c>
      <c r="D15" s="36">
        <f t="shared" ref="D15:E15" si="2">D12-D14*D41</f>
        <v>35994</v>
      </c>
      <c r="E15" s="36">
        <f t="shared" si="2"/>
        <v>15259</v>
      </c>
      <c r="F15" s="36">
        <f t="shared" ref="F15:N15" si="3">F12-F14</f>
        <v>11501</v>
      </c>
      <c r="G15" s="36">
        <f t="shared" si="3"/>
        <v>5810</v>
      </c>
      <c r="H15" s="36">
        <f t="shared" si="3"/>
        <v>2907</v>
      </c>
      <c r="I15" s="36">
        <f t="shared" si="3"/>
        <v>8073</v>
      </c>
      <c r="J15" s="36">
        <f t="shared" si="3"/>
        <v>15598</v>
      </c>
      <c r="K15" s="36">
        <f>K12-K14</f>
        <v>5258</v>
      </c>
      <c r="L15" s="36">
        <f>L12-L14*L41</f>
        <v>26112</v>
      </c>
      <c r="M15" s="36">
        <f>M12-M14*M41</f>
        <v>7910</v>
      </c>
      <c r="N15" s="36">
        <f t="shared" si="3"/>
        <v>9974</v>
      </c>
      <c r="O15" s="36">
        <f t="shared" ref="O15" si="4">O12-O14</f>
        <v>3979</v>
      </c>
      <c r="P15" s="197">
        <f>P12-P14*P41</f>
        <v>7129.0421999999999</v>
      </c>
    </row>
    <row r="16" spans="1:18" ht="19.899999999999999" customHeight="1" x14ac:dyDescent="0.2">
      <c r="A16" s="41" t="s">
        <v>95</v>
      </c>
      <c r="B16" s="10">
        <f>'Net CONE'!E38</f>
        <v>393.91</v>
      </c>
      <c r="C16" s="10">
        <f>'Net CONE'!E27</f>
        <v>392.52</v>
      </c>
      <c r="D16" s="10">
        <f>'Net CONE'!E18</f>
        <v>387.61</v>
      </c>
      <c r="E16" s="10">
        <f>'Net CONE'!E22</f>
        <v>410.34</v>
      </c>
      <c r="F16" s="10">
        <f>'Net CONE'!E16</f>
        <v>387.61</v>
      </c>
      <c r="G16" s="10">
        <f>'Net CONE'!E16</f>
        <v>387.61</v>
      </c>
      <c r="H16" s="10">
        <f>'Net CONE'!E13</f>
        <v>387.61</v>
      </c>
      <c r="I16" s="10">
        <f>'Net CONE'!E21</f>
        <v>410.34</v>
      </c>
      <c r="J16" s="10">
        <f>'Net CONE'!E31</f>
        <v>387.24</v>
      </c>
      <c r="K16" s="10">
        <f>'Net CONE'!E31</f>
        <v>387.24</v>
      </c>
      <c r="L16" s="10">
        <f>'Net CONE'!E32</f>
        <v>387.24</v>
      </c>
      <c r="M16" s="10">
        <f>'Net CONE'!E20</f>
        <v>410.34</v>
      </c>
      <c r="N16" s="10">
        <f>'Net CONE'!E26</f>
        <v>390.46</v>
      </c>
      <c r="O16" s="10">
        <f>'Net CONE'!E33</f>
        <v>387.24</v>
      </c>
      <c r="P16" s="10">
        <f>'Net CONE'!E34</f>
        <v>387.24</v>
      </c>
    </row>
    <row r="17" spans="1:18" ht="19.899999999999999" customHeight="1" x14ac:dyDescent="0.2">
      <c r="A17" s="40" t="s">
        <v>46</v>
      </c>
      <c r="B17" s="14">
        <f>'Net CONE'!J38</f>
        <v>321.57</v>
      </c>
      <c r="C17" s="14">
        <f>'Net CONE'!J27</f>
        <v>292.69</v>
      </c>
      <c r="D17" s="14">
        <f>'Net CONE'!J18</f>
        <v>313.77</v>
      </c>
      <c r="E17" s="14">
        <f>'Net CONE'!J22</f>
        <v>264.88</v>
      </c>
      <c r="F17" s="14">
        <f>'Net CONE'!J16</f>
        <v>330.61</v>
      </c>
      <c r="G17" s="14">
        <f>'Net CONE'!J16</f>
        <v>330.61</v>
      </c>
      <c r="H17" s="14">
        <f>'Net CONE'!J13</f>
        <v>300.18</v>
      </c>
      <c r="I17" s="14">
        <f>'Net CONE'!J21</f>
        <v>285.42</v>
      </c>
      <c r="J17" s="14">
        <f>'Net CONE'!J31</f>
        <v>306.87</v>
      </c>
      <c r="K17" s="14">
        <f>'Net CONE'!J31</f>
        <v>306.87</v>
      </c>
      <c r="L17" s="14">
        <f>'Net CONE'!J32</f>
        <v>344.36</v>
      </c>
      <c r="M17" s="14">
        <f>'Net CONE'!J20</f>
        <v>244.33</v>
      </c>
      <c r="N17" s="14">
        <f>'Net CONE'!J26</f>
        <v>300.72000000000003</v>
      </c>
      <c r="O17" s="14">
        <f>'Net CONE'!J33</f>
        <v>312.56</v>
      </c>
      <c r="P17" s="14">
        <f>'Net CONE'!J34</f>
        <v>312.8</v>
      </c>
    </row>
    <row r="18" spans="1:18" ht="19.899999999999999" customHeight="1" x14ac:dyDescent="0.2">
      <c r="A18" s="67" t="s">
        <v>215</v>
      </c>
      <c r="B18" s="11">
        <v>3912.8999999999996</v>
      </c>
      <c r="C18" s="11">
        <v>1341.8999999999999</v>
      </c>
      <c r="D18" s="11">
        <v>932.40000000000009</v>
      </c>
      <c r="E18" s="11">
        <v>231.2</v>
      </c>
      <c r="F18" s="11">
        <v>377.4</v>
      </c>
      <c r="G18" s="11">
        <v>83.800000000000011</v>
      </c>
      <c r="H18" s="11">
        <v>17.2</v>
      </c>
      <c r="I18" s="11">
        <v>119.10000000000001</v>
      </c>
      <c r="J18" s="11">
        <v>254.59999999999997</v>
      </c>
      <c r="K18" s="11">
        <v>49.9</v>
      </c>
      <c r="L18" s="11">
        <v>843.09999999999991</v>
      </c>
      <c r="M18" s="11">
        <v>112.1</v>
      </c>
      <c r="N18" s="11">
        <v>104</v>
      </c>
      <c r="O18" s="11">
        <v>110.69999999999999</v>
      </c>
      <c r="P18" s="11">
        <v>123.4</v>
      </c>
    </row>
    <row r="19" spans="1:18" ht="19.899999999999999" customHeight="1" thickBot="1" x14ac:dyDescent="0.25">
      <c r="A19" s="215" t="s">
        <v>47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</row>
    <row r="20" spans="1:18" ht="19.899999999999999" customHeight="1" x14ac:dyDescent="0.2">
      <c r="A20" s="122" t="s">
        <v>25</v>
      </c>
      <c r="B20" s="123">
        <f>ROUND(MAX(B16,1.5*B17),2)</f>
        <v>482.36</v>
      </c>
      <c r="C20" s="123">
        <f t="shared" ref="C20:N20" si="5">ROUND(MAX(C16,1.5*C17),2)</f>
        <v>439.04</v>
      </c>
      <c r="D20" s="123">
        <f t="shared" si="5"/>
        <v>470.66</v>
      </c>
      <c r="E20" s="123">
        <f t="shared" si="5"/>
        <v>410.34</v>
      </c>
      <c r="F20" s="123">
        <f t="shared" si="5"/>
        <v>495.92</v>
      </c>
      <c r="G20" s="123">
        <f t="shared" si="5"/>
        <v>495.92</v>
      </c>
      <c r="H20" s="123">
        <f>ROUND(MAX(H16,1.5*H17),2)</f>
        <v>450.27</v>
      </c>
      <c r="I20" s="123">
        <f t="shared" si="5"/>
        <v>428.13</v>
      </c>
      <c r="J20" s="123">
        <f t="shared" si="5"/>
        <v>460.31</v>
      </c>
      <c r="K20" s="123">
        <f t="shared" si="5"/>
        <v>460.31</v>
      </c>
      <c r="L20" s="123">
        <f t="shared" si="5"/>
        <v>516.54</v>
      </c>
      <c r="M20" s="123">
        <f t="shared" si="5"/>
        <v>410.34</v>
      </c>
      <c r="N20" s="123">
        <f t="shared" si="5"/>
        <v>451.08</v>
      </c>
      <c r="O20" s="123">
        <f>ROUND(MAX(O16,1.5*O17),2)</f>
        <v>468.84</v>
      </c>
      <c r="P20" s="124">
        <f>ROUND(MAX(P16,1.5*P17),2)</f>
        <v>469.2</v>
      </c>
    </row>
    <row r="21" spans="1:18" ht="19.899999999999999" customHeight="1" x14ac:dyDescent="0.2">
      <c r="A21" s="117" t="s">
        <v>26</v>
      </c>
      <c r="B21" s="116">
        <f>ROUND(B$17*0.75,2)</f>
        <v>241.18</v>
      </c>
      <c r="C21" s="116">
        <f t="shared" ref="C21:M21" si="6">ROUND(C$17*0.75,2)</f>
        <v>219.52</v>
      </c>
      <c r="D21" s="116">
        <f t="shared" si="6"/>
        <v>235.33</v>
      </c>
      <c r="E21" s="116">
        <f t="shared" si="6"/>
        <v>198.66</v>
      </c>
      <c r="F21" s="116">
        <f t="shared" si="6"/>
        <v>247.96</v>
      </c>
      <c r="G21" s="116">
        <f t="shared" si="6"/>
        <v>247.96</v>
      </c>
      <c r="H21" s="116">
        <f t="shared" si="6"/>
        <v>225.14</v>
      </c>
      <c r="I21" s="116">
        <f t="shared" si="6"/>
        <v>214.07</v>
      </c>
      <c r="J21" s="116">
        <f t="shared" si="6"/>
        <v>230.15</v>
      </c>
      <c r="K21" s="116">
        <f t="shared" si="6"/>
        <v>230.15</v>
      </c>
      <c r="L21" s="116">
        <f t="shared" si="6"/>
        <v>258.27</v>
      </c>
      <c r="M21" s="116">
        <f t="shared" si="6"/>
        <v>183.25</v>
      </c>
      <c r="N21" s="116">
        <f>ROUND(N$17*0.75,2)</f>
        <v>225.54</v>
      </c>
      <c r="O21" s="116">
        <f>ROUND(O$17*0.75,2)</f>
        <v>234.42</v>
      </c>
      <c r="P21" s="125">
        <f>ROUND(P$17*0.75,2)</f>
        <v>234.6</v>
      </c>
    </row>
    <row r="22" spans="1:18" ht="19.899999999999999" customHeight="1" x14ac:dyDescent="0.2">
      <c r="A22" s="117" t="s">
        <v>27</v>
      </c>
      <c r="B22" s="116">
        <v>0</v>
      </c>
      <c r="C22" s="116">
        <v>0</v>
      </c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25">
        <v>0</v>
      </c>
    </row>
    <row r="23" spans="1:18" ht="19.899999999999999" customHeight="1" x14ac:dyDescent="0.2">
      <c r="A23" s="117" t="s">
        <v>28</v>
      </c>
      <c r="B23" s="118">
        <f>ROUND(B$15*(1+$B$4-0.2%)/(1+$B$4),1)+B$18</f>
        <v>156809.19999999998</v>
      </c>
      <c r="C23" s="118">
        <f t="shared" ref="C23:N23" si="7">ROUND(C$15*(1+$B$4-0.2%)/(1+$B$4),1)+C$18</f>
        <v>66148.800000000003</v>
      </c>
      <c r="D23" s="118">
        <f t="shared" si="7"/>
        <v>36864.200000000004</v>
      </c>
      <c r="E23" s="118">
        <f t="shared" si="7"/>
        <v>15463.800000000001</v>
      </c>
      <c r="F23" s="118">
        <f t="shared" si="7"/>
        <v>11858.5</v>
      </c>
      <c r="G23" s="118">
        <f t="shared" si="7"/>
        <v>5883.8</v>
      </c>
      <c r="H23" s="118">
        <f t="shared" si="7"/>
        <v>2919.2</v>
      </c>
      <c r="I23" s="118">
        <f t="shared" si="7"/>
        <v>8178.2000000000007</v>
      </c>
      <c r="J23" s="118">
        <f t="shared" si="7"/>
        <v>15825.7</v>
      </c>
      <c r="K23" s="118">
        <f t="shared" si="7"/>
        <v>5298.7999999999993</v>
      </c>
      <c r="L23" s="118">
        <f t="shared" si="7"/>
        <v>26910</v>
      </c>
      <c r="M23" s="118">
        <f t="shared" si="7"/>
        <v>8008.4000000000005</v>
      </c>
      <c r="N23" s="118">
        <f t="shared" si="7"/>
        <v>10060.799999999999</v>
      </c>
      <c r="O23" s="118">
        <f>ROUND(O$15*(1+$B$4-0.2%)/(1+$B$4),1)+O$18</f>
        <v>4082.7999999999997</v>
      </c>
      <c r="P23" s="126">
        <f>ROUND(P$15*(1+$B$4-0.2%)/(1+$B$4),1)+P$18</f>
        <v>7240.0999999999995</v>
      </c>
      <c r="Q23" s="120" t="s">
        <v>12</v>
      </c>
      <c r="R23" s="56"/>
    </row>
    <row r="24" spans="1:18" ht="19.899999999999999" customHeight="1" x14ac:dyDescent="0.2">
      <c r="A24" s="117" t="s">
        <v>29</v>
      </c>
      <c r="B24" s="118">
        <f t="shared" ref="B24:N24" si="8">ROUND(B$15*(1+$B$4+2.9%)/(1+$B$4),1)+B$18</f>
        <v>160909.29999999999</v>
      </c>
      <c r="C24" s="118">
        <f t="shared" si="8"/>
        <v>67886.7</v>
      </c>
      <c r="D24" s="118">
        <f t="shared" si="8"/>
        <v>37827.800000000003</v>
      </c>
      <c r="E24" s="118">
        <f t="shared" si="8"/>
        <v>15872.300000000001</v>
      </c>
      <c r="F24" s="118">
        <f t="shared" si="8"/>
        <v>12166.4</v>
      </c>
      <c r="G24" s="118">
        <f t="shared" si="8"/>
        <v>6039.3</v>
      </c>
      <c r="H24" s="118">
        <f t="shared" si="8"/>
        <v>2997</v>
      </c>
      <c r="I24" s="118">
        <f t="shared" si="8"/>
        <v>8394.3000000000011</v>
      </c>
      <c r="J24" s="118">
        <f t="shared" si="8"/>
        <v>16243.2</v>
      </c>
      <c r="K24" s="118">
        <f t="shared" si="8"/>
        <v>5439.5999999999995</v>
      </c>
      <c r="L24" s="118">
        <f t="shared" si="8"/>
        <v>27609</v>
      </c>
      <c r="M24" s="118">
        <f t="shared" si="8"/>
        <v>8220.2000000000007</v>
      </c>
      <c r="N24" s="118">
        <f t="shared" si="8"/>
        <v>10327.799999999999</v>
      </c>
      <c r="O24" s="118">
        <f>ROUND(O$15*(1+$B$4+2.9%)/(1+$B$4),1)+O$18</f>
        <v>4189.3</v>
      </c>
      <c r="P24" s="126">
        <f>ROUND(P$15*(1+$B$4+2.9%)/(1+$B$4),1)+P$18</f>
        <v>7431</v>
      </c>
      <c r="Q24" s="120" t="s">
        <v>12</v>
      </c>
      <c r="R24" s="56"/>
    </row>
    <row r="25" spans="1:18" ht="19.899999999999999" customHeight="1" thickBot="1" x14ac:dyDescent="0.25">
      <c r="A25" s="127" t="s">
        <v>30</v>
      </c>
      <c r="B25" s="128">
        <f t="shared" ref="B25:N25" si="9">ROUND(B$15*(1+$B$4+8.8%)/(1+$B$4),1)+B$18</f>
        <v>168712.9</v>
      </c>
      <c r="C25" s="128">
        <f t="shared" si="9"/>
        <v>71194.299999999988</v>
      </c>
      <c r="D25" s="128">
        <f t="shared" si="9"/>
        <v>39661.700000000004</v>
      </c>
      <c r="E25" s="128">
        <f t="shared" si="9"/>
        <v>16649.8</v>
      </c>
      <c r="F25" s="128">
        <f t="shared" si="9"/>
        <v>12752.4</v>
      </c>
      <c r="G25" s="128">
        <f t="shared" si="9"/>
        <v>6335.3</v>
      </c>
      <c r="H25" s="128">
        <f t="shared" si="9"/>
        <v>3145.1</v>
      </c>
      <c r="I25" s="128">
        <f t="shared" si="9"/>
        <v>8805.6</v>
      </c>
      <c r="J25" s="128">
        <f t="shared" si="9"/>
        <v>17037.899999999998</v>
      </c>
      <c r="K25" s="128">
        <f t="shared" si="9"/>
        <v>5707.5</v>
      </c>
      <c r="L25" s="128">
        <f t="shared" si="9"/>
        <v>28939.399999999998</v>
      </c>
      <c r="M25" s="128">
        <f t="shared" si="9"/>
        <v>8623.2000000000007</v>
      </c>
      <c r="N25" s="128">
        <f t="shared" si="9"/>
        <v>10836</v>
      </c>
      <c r="O25" s="128">
        <f>ROUND(O$15*(1+$B$4+8.8%)/(1+$B$4),1)+O$18</f>
        <v>4392.0999999999995</v>
      </c>
      <c r="P25" s="129">
        <f>ROUND(P$15*(1+$B$4+8.8%)/(1+$B$4),1)+P$18</f>
        <v>7794.2</v>
      </c>
      <c r="Q25" s="120" t="s">
        <v>12</v>
      </c>
      <c r="R25" s="56"/>
    </row>
    <row r="26" spans="1:18" ht="19.899999999999999" customHeight="1" x14ac:dyDescent="0.2">
      <c r="A26" s="157" t="s">
        <v>96</v>
      </c>
      <c r="B26" s="158">
        <f>C26+J26+L26+O26+P26</f>
        <v>510</v>
      </c>
      <c r="C26" s="158">
        <f>D26+E26+N26</f>
        <v>510</v>
      </c>
      <c r="D26" s="158">
        <f>39.3+H26</f>
        <v>75</v>
      </c>
      <c r="E26" s="158">
        <f>I26+M26</f>
        <v>435</v>
      </c>
      <c r="F26" s="158">
        <v>0</v>
      </c>
      <c r="G26" s="158">
        <v>0</v>
      </c>
      <c r="H26" s="158">
        <v>35.700000000000003</v>
      </c>
      <c r="I26" s="158">
        <v>195</v>
      </c>
      <c r="J26" s="158">
        <v>0</v>
      </c>
      <c r="K26" s="158">
        <v>0</v>
      </c>
      <c r="L26" s="158">
        <v>0</v>
      </c>
      <c r="M26" s="158">
        <v>240</v>
      </c>
      <c r="N26" s="158">
        <v>0</v>
      </c>
      <c r="O26" s="158">
        <v>0</v>
      </c>
      <c r="P26" s="158">
        <v>0</v>
      </c>
    </row>
    <row r="27" spans="1:18" ht="19.899999999999999" customHeight="1" thickBot="1" x14ac:dyDescent="0.25">
      <c r="A27" s="216" t="s">
        <v>107</v>
      </c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</row>
    <row r="28" spans="1:18" ht="19.899999999999999" customHeight="1" x14ac:dyDescent="0.2">
      <c r="A28" s="130" t="s">
        <v>101</v>
      </c>
      <c r="B28" s="131">
        <f>B20</f>
        <v>482.36</v>
      </c>
      <c r="C28" s="131">
        <f t="shared" ref="C28:M28" si="10">C20</f>
        <v>439.04</v>
      </c>
      <c r="D28" s="131">
        <f t="shared" si="10"/>
        <v>470.66</v>
      </c>
      <c r="E28" s="131">
        <f t="shared" si="10"/>
        <v>410.34</v>
      </c>
      <c r="F28" s="131" t="s">
        <v>12</v>
      </c>
      <c r="G28" s="131" t="s">
        <v>12</v>
      </c>
      <c r="H28" s="131">
        <f t="shared" si="10"/>
        <v>450.27</v>
      </c>
      <c r="I28" s="131">
        <f t="shared" si="10"/>
        <v>428.13</v>
      </c>
      <c r="J28" s="131" t="s">
        <v>12</v>
      </c>
      <c r="K28" s="131" t="s">
        <v>12</v>
      </c>
      <c r="L28" s="131" t="s">
        <v>12</v>
      </c>
      <c r="M28" s="131">
        <f t="shared" si="10"/>
        <v>410.34</v>
      </c>
      <c r="N28" s="131" t="s">
        <v>12</v>
      </c>
      <c r="O28" s="131" t="s">
        <v>12</v>
      </c>
      <c r="P28" s="132" t="s">
        <v>12</v>
      </c>
    </row>
    <row r="29" spans="1:18" ht="19.899999999999999" customHeight="1" x14ac:dyDescent="0.2">
      <c r="A29" s="113" t="s">
        <v>100</v>
      </c>
      <c r="B29" s="112">
        <f>B21</f>
        <v>241.18</v>
      </c>
      <c r="C29" s="112">
        <f t="shared" ref="C29:M29" si="11">C21</f>
        <v>219.52</v>
      </c>
      <c r="D29" s="112">
        <f t="shared" si="11"/>
        <v>235.33</v>
      </c>
      <c r="E29" s="112">
        <f t="shared" si="11"/>
        <v>198.66</v>
      </c>
      <c r="F29" s="112" t="s">
        <v>12</v>
      </c>
      <c r="G29" s="112" t="s">
        <v>12</v>
      </c>
      <c r="H29" s="112">
        <f t="shared" si="11"/>
        <v>225.14</v>
      </c>
      <c r="I29" s="112">
        <f t="shared" si="11"/>
        <v>214.07</v>
      </c>
      <c r="J29" s="112" t="s">
        <v>12</v>
      </c>
      <c r="K29" s="112" t="s">
        <v>12</v>
      </c>
      <c r="L29" s="112" t="s">
        <v>12</v>
      </c>
      <c r="M29" s="112">
        <f t="shared" si="11"/>
        <v>183.25</v>
      </c>
      <c r="N29" s="112" t="s">
        <v>12</v>
      </c>
      <c r="O29" s="112" t="s">
        <v>12</v>
      </c>
      <c r="P29" s="133" t="s">
        <v>12</v>
      </c>
    </row>
    <row r="30" spans="1:18" ht="19.899999999999999" customHeight="1" x14ac:dyDescent="0.2">
      <c r="A30" s="113" t="s">
        <v>103</v>
      </c>
      <c r="B30" s="112">
        <v>0.01</v>
      </c>
      <c r="C30" s="112">
        <v>0.01</v>
      </c>
      <c r="D30" s="112">
        <v>0.01</v>
      </c>
      <c r="E30" s="112">
        <v>0.01</v>
      </c>
      <c r="F30" s="112" t="s">
        <v>12</v>
      </c>
      <c r="G30" s="112" t="s">
        <v>12</v>
      </c>
      <c r="H30" s="112">
        <v>0.01</v>
      </c>
      <c r="I30" s="112">
        <v>0.01</v>
      </c>
      <c r="J30" s="112" t="s">
        <v>12</v>
      </c>
      <c r="K30" s="112" t="s">
        <v>12</v>
      </c>
      <c r="L30" s="112" t="s">
        <v>12</v>
      </c>
      <c r="M30" s="112">
        <v>0.01</v>
      </c>
      <c r="N30" s="112" t="s">
        <v>12</v>
      </c>
      <c r="O30" s="112" t="s">
        <v>12</v>
      </c>
      <c r="P30" s="133" t="s">
        <v>12</v>
      </c>
    </row>
    <row r="31" spans="1:18" ht="19.899999999999999" customHeight="1" x14ac:dyDescent="0.2">
      <c r="A31" s="113" t="s">
        <v>104</v>
      </c>
      <c r="B31" s="112">
        <v>0.01</v>
      </c>
      <c r="C31" s="112">
        <v>0.01</v>
      </c>
      <c r="D31" s="112">
        <v>0.01</v>
      </c>
      <c r="E31" s="112">
        <v>0.01</v>
      </c>
      <c r="F31" s="112" t="s">
        <v>12</v>
      </c>
      <c r="G31" s="112" t="s">
        <v>12</v>
      </c>
      <c r="H31" s="112">
        <v>0.01</v>
      </c>
      <c r="I31" s="112">
        <v>0.01</v>
      </c>
      <c r="J31" s="112" t="s">
        <v>12</v>
      </c>
      <c r="K31" s="112" t="s">
        <v>12</v>
      </c>
      <c r="L31" s="112" t="s">
        <v>12</v>
      </c>
      <c r="M31" s="112">
        <v>0.01</v>
      </c>
      <c r="N31" s="112" t="s">
        <v>12</v>
      </c>
      <c r="O31" s="112" t="s">
        <v>12</v>
      </c>
      <c r="P31" s="133" t="s">
        <v>12</v>
      </c>
    </row>
    <row r="32" spans="1:18" ht="19.899999999999999" customHeight="1" thickBot="1" x14ac:dyDescent="0.25">
      <c r="A32" s="134" t="s">
        <v>27</v>
      </c>
      <c r="B32" s="135">
        <f>B22</f>
        <v>0</v>
      </c>
      <c r="C32" s="135">
        <f t="shared" ref="C32:M32" si="12">C22</f>
        <v>0</v>
      </c>
      <c r="D32" s="135">
        <f t="shared" si="12"/>
        <v>0</v>
      </c>
      <c r="E32" s="135">
        <f t="shared" si="12"/>
        <v>0</v>
      </c>
      <c r="F32" s="135" t="s">
        <v>12</v>
      </c>
      <c r="G32" s="135" t="s">
        <v>12</v>
      </c>
      <c r="H32" s="135">
        <f t="shared" si="12"/>
        <v>0</v>
      </c>
      <c r="I32" s="135">
        <f t="shared" si="12"/>
        <v>0</v>
      </c>
      <c r="J32" s="135" t="s">
        <v>12</v>
      </c>
      <c r="K32" s="135" t="s">
        <v>12</v>
      </c>
      <c r="L32" s="135" t="s">
        <v>12</v>
      </c>
      <c r="M32" s="135">
        <f t="shared" si="12"/>
        <v>0</v>
      </c>
      <c r="N32" s="135" t="s">
        <v>12</v>
      </c>
      <c r="O32" s="135" t="s">
        <v>12</v>
      </c>
      <c r="P32" s="136" t="s">
        <v>12</v>
      </c>
    </row>
    <row r="33" spans="1:18" ht="19.899999999999999" customHeight="1" x14ac:dyDescent="0.2">
      <c r="A33" s="138" t="s">
        <v>102</v>
      </c>
      <c r="B33" s="139">
        <f>ROUND(B23-B$26*$B$6,1)</f>
        <v>156253.4</v>
      </c>
      <c r="C33" s="139">
        <f t="shared" ref="C33:I33" si="13">ROUND(C23-C$26*$B$6,1)</f>
        <v>65593</v>
      </c>
      <c r="D33" s="139">
        <f t="shared" si="13"/>
        <v>36782.5</v>
      </c>
      <c r="E33" s="139">
        <f>ROUND(E23-E$26*$B$6,1)</f>
        <v>14989.7</v>
      </c>
      <c r="F33" s="139" t="s">
        <v>12</v>
      </c>
      <c r="G33" s="139" t="s">
        <v>12</v>
      </c>
      <c r="H33" s="139">
        <f t="shared" si="13"/>
        <v>2880.3</v>
      </c>
      <c r="I33" s="139">
        <f t="shared" si="13"/>
        <v>7965.7</v>
      </c>
      <c r="J33" s="139" t="s">
        <v>12</v>
      </c>
      <c r="K33" s="139" t="s">
        <v>12</v>
      </c>
      <c r="L33" s="139" t="s">
        <v>12</v>
      </c>
      <c r="M33" s="139">
        <f>ROUND(M23-M$26*$B$6,1)</f>
        <v>7746.8</v>
      </c>
      <c r="N33" s="139" t="s">
        <v>12</v>
      </c>
      <c r="O33" s="139" t="s">
        <v>12</v>
      </c>
      <c r="P33" s="139" t="s">
        <v>12</v>
      </c>
    </row>
    <row r="34" spans="1:18" ht="19.899999999999999" customHeight="1" x14ac:dyDescent="0.2">
      <c r="A34" s="114" t="s">
        <v>99</v>
      </c>
      <c r="B34" s="115">
        <f>ROUND(B24-B$26*$B$6,1)</f>
        <v>160353.5</v>
      </c>
      <c r="C34" s="115">
        <f t="shared" ref="C34:I34" si="14">ROUND(C24-C$26*$B$6,1)</f>
        <v>67330.899999999994</v>
      </c>
      <c r="D34" s="115">
        <f t="shared" si="14"/>
        <v>37746.1</v>
      </c>
      <c r="E34" s="115">
        <f>ROUND(E24-E$26*$B$6,1)</f>
        <v>15398.2</v>
      </c>
      <c r="F34" s="115" t="s">
        <v>12</v>
      </c>
      <c r="G34" s="115" t="s">
        <v>12</v>
      </c>
      <c r="H34" s="115">
        <f t="shared" si="14"/>
        <v>2958.1</v>
      </c>
      <c r="I34" s="115">
        <f t="shared" si="14"/>
        <v>8181.8</v>
      </c>
      <c r="J34" s="115" t="s">
        <v>12</v>
      </c>
      <c r="K34" s="115" t="s">
        <v>12</v>
      </c>
      <c r="L34" s="115" t="s">
        <v>12</v>
      </c>
      <c r="M34" s="115">
        <f>ROUND(M24-M$26*$B$6,1)</f>
        <v>7958.6</v>
      </c>
      <c r="N34" s="115" t="s">
        <v>12</v>
      </c>
      <c r="O34" s="115" t="s">
        <v>12</v>
      </c>
      <c r="P34" s="115" t="s">
        <v>12</v>
      </c>
    </row>
    <row r="35" spans="1:18" ht="19.899999999999999" customHeight="1" x14ac:dyDescent="0.2">
      <c r="A35" s="114" t="s">
        <v>105</v>
      </c>
      <c r="B35" s="115">
        <f>ROUND(B36-B$26*$B$6,1)</f>
        <v>168156.79999999999</v>
      </c>
      <c r="C35" s="115">
        <f t="shared" ref="C35:I35" si="15">ROUND(C36-C$26*$B$6,1)</f>
        <v>70638.3</v>
      </c>
      <c r="D35" s="115">
        <f t="shared" si="15"/>
        <v>39579.9</v>
      </c>
      <c r="E35" s="115">
        <f>ROUND(E36-E$26*$B$6,1)</f>
        <v>16175.7</v>
      </c>
      <c r="F35" s="115" t="s">
        <v>12</v>
      </c>
      <c r="G35" s="115" t="s">
        <v>12</v>
      </c>
      <c r="H35" s="115">
        <f t="shared" si="15"/>
        <v>3106.2</v>
      </c>
      <c r="I35" s="115">
        <f t="shared" si="15"/>
        <v>8593.1</v>
      </c>
      <c r="J35" s="115" t="s">
        <v>12</v>
      </c>
      <c r="K35" s="115" t="s">
        <v>12</v>
      </c>
      <c r="L35" s="115" t="s">
        <v>12</v>
      </c>
      <c r="M35" s="115">
        <f>ROUND(M36-M$26*$B$6,1)</f>
        <v>8361.6</v>
      </c>
      <c r="N35" s="115" t="s">
        <v>12</v>
      </c>
      <c r="O35" s="115" t="s">
        <v>12</v>
      </c>
      <c r="P35" s="115" t="s">
        <v>12</v>
      </c>
    </row>
    <row r="36" spans="1:18" ht="19.899999999999999" customHeight="1" x14ac:dyDescent="0.2">
      <c r="A36" s="114" t="s">
        <v>106</v>
      </c>
      <c r="B36" s="115">
        <f>ROUND(B25-B31*(B25-B24)/B21,1)</f>
        <v>168712.6</v>
      </c>
      <c r="C36" s="115">
        <f t="shared" ref="C36:M36" si="16">ROUND(C25-C31*(C25-C24)/C21,1)</f>
        <v>71194.100000000006</v>
      </c>
      <c r="D36" s="115">
        <f t="shared" si="16"/>
        <v>39661.599999999999</v>
      </c>
      <c r="E36" s="115">
        <f t="shared" si="16"/>
        <v>16649.8</v>
      </c>
      <c r="F36" s="115" t="s">
        <v>12</v>
      </c>
      <c r="G36" s="115" t="s">
        <v>12</v>
      </c>
      <c r="H36" s="115">
        <f t="shared" si="16"/>
        <v>3145.1</v>
      </c>
      <c r="I36" s="115">
        <f t="shared" si="16"/>
        <v>8805.6</v>
      </c>
      <c r="J36" s="115" t="s">
        <v>12</v>
      </c>
      <c r="K36" s="115" t="s">
        <v>12</v>
      </c>
      <c r="L36" s="115" t="s">
        <v>12</v>
      </c>
      <c r="M36" s="115">
        <f t="shared" si="16"/>
        <v>8623.2000000000007</v>
      </c>
      <c r="N36" s="115" t="s">
        <v>12</v>
      </c>
      <c r="O36" s="115" t="s">
        <v>12</v>
      </c>
      <c r="P36" s="115" t="s">
        <v>12</v>
      </c>
    </row>
    <row r="37" spans="1:18" ht="19.899999999999999" customHeight="1" thickBot="1" x14ac:dyDescent="0.25">
      <c r="A37" s="140" t="s">
        <v>30</v>
      </c>
      <c r="B37" s="141">
        <f>B25</f>
        <v>168712.9</v>
      </c>
      <c r="C37" s="141">
        <f t="shared" ref="C37:M37" si="17">C25</f>
        <v>71194.299999999988</v>
      </c>
      <c r="D37" s="141">
        <f t="shared" si="17"/>
        <v>39661.700000000004</v>
      </c>
      <c r="E37" s="141">
        <f t="shared" si="17"/>
        <v>16649.8</v>
      </c>
      <c r="F37" s="141" t="s">
        <v>12</v>
      </c>
      <c r="G37" s="141" t="s">
        <v>12</v>
      </c>
      <c r="H37" s="141">
        <f t="shared" si="17"/>
        <v>3145.1</v>
      </c>
      <c r="I37" s="141">
        <f t="shared" si="17"/>
        <v>8805.6</v>
      </c>
      <c r="J37" s="141" t="s">
        <v>12</v>
      </c>
      <c r="K37" s="141" t="s">
        <v>12</v>
      </c>
      <c r="L37" s="141" t="s">
        <v>12</v>
      </c>
      <c r="M37" s="141">
        <f t="shared" si="17"/>
        <v>8623.2000000000007</v>
      </c>
      <c r="N37" s="141" t="s">
        <v>12</v>
      </c>
      <c r="O37" s="141" t="s">
        <v>12</v>
      </c>
      <c r="P37" s="141" t="s">
        <v>12</v>
      </c>
    </row>
    <row r="38" spans="1:18" ht="19.899999999999999" customHeight="1" x14ac:dyDescent="0.2">
      <c r="A38" s="121" t="s">
        <v>108</v>
      </c>
      <c r="B38" s="137">
        <f>ROUND(MAX(B$17*0.5, 20)*365,2)</f>
        <v>58686.53</v>
      </c>
      <c r="C38" s="137">
        <f t="shared" ref="C38:M38" si="18">ROUND(MAX(C$17*0.5, 20)*365,2)</f>
        <v>53415.93</v>
      </c>
      <c r="D38" s="137">
        <f t="shared" si="18"/>
        <v>57263.03</v>
      </c>
      <c r="E38" s="137">
        <f t="shared" si="18"/>
        <v>48340.6</v>
      </c>
      <c r="F38" s="137">
        <f t="shared" si="18"/>
        <v>60336.33</v>
      </c>
      <c r="G38" s="137">
        <f t="shared" si="18"/>
        <v>60336.33</v>
      </c>
      <c r="H38" s="137">
        <f t="shared" si="18"/>
        <v>54782.85</v>
      </c>
      <c r="I38" s="137">
        <f t="shared" si="18"/>
        <v>52089.15</v>
      </c>
      <c r="J38" s="137">
        <f t="shared" si="18"/>
        <v>56003.78</v>
      </c>
      <c r="K38" s="137">
        <f t="shared" si="18"/>
        <v>56003.78</v>
      </c>
      <c r="L38" s="137">
        <f t="shared" si="18"/>
        <v>62845.7</v>
      </c>
      <c r="M38" s="137">
        <f t="shared" si="18"/>
        <v>44590.23</v>
      </c>
      <c r="N38" s="137">
        <f>ROUND(MAX(N$17*0.5, 20)*365,2)</f>
        <v>54881.4</v>
      </c>
      <c r="O38" s="137">
        <f>ROUND(MAX(O$17*0.5, 20)*365,2)</f>
        <v>57042.2</v>
      </c>
      <c r="P38" s="137">
        <f>ROUND(MAX(P$17*0.5, 20)*365,2)</f>
        <v>57086</v>
      </c>
    </row>
    <row r="39" spans="1:18" ht="19.899999999999999" customHeight="1" x14ac:dyDescent="0.2">
      <c r="A39" s="20" t="s">
        <v>49</v>
      </c>
      <c r="B39" s="18" t="s">
        <v>24</v>
      </c>
      <c r="C39" s="12">
        <v>1557</v>
      </c>
      <c r="D39" s="12">
        <v>40</v>
      </c>
      <c r="E39" s="12" t="s">
        <v>24</v>
      </c>
      <c r="F39" s="12">
        <v>41</v>
      </c>
      <c r="G39" s="12">
        <v>21</v>
      </c>
      <c r="H39" s="12">
        <v>72</v>
      </c>
      <c r="I39" s="12" t="s">
        <v>24</v>
      </c>
      <c r="J39" s="12" t="s">
        <v>24</v>
      </c>
      <c r="K39" s="12" t="s">
        <v>24</v>
      </c>
      <c r="L39" s="196">
        <v>1097</v>
      </c>
      <c r="M39" s="12">
        <v>65.7</v>
      </c>
      <c r="N39" s="12" t="s">
        <v>24</v>
      </c>
      <c r="O39" s="12" t="s">
        <v>24</v>
      </c>
      <c r="P39" s="12">
        <v>155</v>
      </c>
      <c r="Q39" s="192" t="s">
        <v>12</v>
      </c>
      <c r="R39" s="56"/>
    </row>
    <row r="40" spans="1:18" ht="19.899999999999999" customHeight="1" x14ac:dyDescent="0.2">
      <c r="A40" s="217" t="s">
        <v>77</v>
      </c>
      <c r="B40" s="217"/>
      <c r="C40" s="217"/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</row>
    <row r="41" spans="1:18" ht="19.899999999999999" customHeight="1" x14ac:dyDescent="0.2">
      <c r="A41" s="20" t="s">
        <v>109</v>
      </c>
      <c r="B41" s="18" t="s">
        <v>24</v>
      </c>
      <c r="C41" s="9">
        <v>1</v>
      </c>
      <c r="D41" s="9">
        <f>ROUND((D12-D11)/(F69*$B$6),3)</f>
        <v>0.83199999999999996</v>
      </c>
      <c r="E41" s="9">
        <f>ROUND((E12-E11)/(F70*$B$6),3)</f>
        <v>0.45400000000000001</v>
      </c>
      <c r="F41" s="9" t="s">
        <v>24</v>
      </c>
      <c r="G41" s="18" t="s">
        <v>24</v>
      </c>
      <c r="H41" s="18" t="s">
        <v>24</v>
      </c>
      <c r="I41" s="18" t="s">
        <v>24</v>
      </c>
      <c r="J41" s="18" t="s">
        <v>24</v>
      </c>
      <c r="K41" s="18" t="s">
        <v>24</v>
      </c>
      <c r="L41" s="9">
        <f>ROUND((L12-L11)/(F52*$B$6),3)</f>
        <v>0.878</v>
      </c>
      <c r="M41" s="9">
        <f>ROUND((M12-M11)/(F51*$B$6),3)</f>
        <v>0.27400000000000002</v>
      </c>
      <c r="N41" s="18" t="s">
        <v>24</v>
      </c>
      <c r="O41" s="18" t="s">
        <v>24</v>
      </c>
      <c r="P41" s="9">
        <f>ROUND((P12-P11)/(F54*$B$6),3)</f>
        <v>0.44700000000000001</v>
      </c>
    </row>
    <row r="42" spans="1:18" ht="24.95" customHeight="1" x14ac:dyDescent="0.2">
      <c r="A42" s="145" t="s">
        <v>12</v>
      </c>
      <c r="B42" s="146"/>
      <c r="C42" s="146"/>
      <c r="D42" s="146"/>
      <c r="E42" s="146"/>
      <c r="F42" s="146"/>
      <c r="G42" s="102"/>
      <c r="H42" s="102"/>
      <c r="I42" s="102"/>
      <c r="J42" s="102"/>
      <c r="K42" s="102"/>
      <c r="L42" s="102"/>
      <c r="M42" s="102"/>
      <c r="N42" s="102"/>
    </row>
    <row r="43" spans="1:18" ht="18" customHeight="1" x14ac:dyDescent="0.2">
      <c r="A43" s="205" t="s">
        <v>87</v>
      </c>
      <c r="B43" s="205"/>
      <c r="C43" s="205"/>
      <c r="D43" s="205"/>
      <c r="E43" s="205"/>
      <c r="F43" s="205"/>
      <c r="G43" s="205"/>
      <c r="H43" s="205"/>
      <c r="I43" s="205"/>
      <c r="J43" s="47" t="s">
        <v>12</v>
      </c>
      <c r="K43" s="55" t="s">
        <v>12</v>
      </c>
      <c r="M43" s="142" t="s">
        <v>12</v>
      </c>
      <c r="Q43" s="119" t="s">
        <v>12</v>
      </c>
    </row>
    <row r="44" spans="1:18" s="3" customFormat="1" ht="84.95" customHeight="1" x14ac:dyDescent="0.2">
      <c r="A44" s="24" t="s">
        <v>39</v>
      </c>
      <c r="B44" s="23" t="s">
        <v>9</v>
      </c>
      <c r="C44" s="166" t="s">
        <v>11</v>
      </c>
      <c r="D44" s="166" t="s">
        <v>75</v>
      </c>
      <c r="E44" s="23" t="s">
        <v>114</v>
      </c>
      <c r="F44" s="23" t="s">
        <v>31</v>
      </c>
      <c r="G44" s="23" t="s">
        <v>32</v>
      </c>
      <c r="H44" s="23" t="s">
        <v>62</v>
      </c>
      <c r="I44" s="23" t="s">
        <v>88</v>
      </c>
      <c r="J44" s="173" t="s">
        <v>12</v>
      </c>
      <c r="K44" s="108" t="s">
        <v>12</v>
      </c>
      <c r="M44" s="143" t="s">
        <v>12</v>
      </c>
    </row>
    <row r="45" spans="1:18" s="3" customFormat="1" ht="19.899999999999999" customHeight="1" x14ac:dyDescent="0.2">
      <c r="A45" s="25" t="s">
        <v>13</v>
      </c>
      <c r="B45" s="25" t="s">
        <v>24</v>
      </c>
      <c r="C45" s="167" t="s">
        <v>24</v>
      </c>
      <c r="D45" s="168" t="s">
        <v>24</v>
      </c>
      <c r="E45" s="36">
        <f>E46+E47+E48+E49+E51+E52+E53+E54+E55+E56+E57+E59+E60+E61+E62+E63+E64+E65+E66+E68</f>
        <v>146876.5</v>
      </c>
      <c r="F45" s="36">
        <f>F46+F47+F48+F49+F51+F52+F53+F54+F55+F56+F57+F59+F60+F61+F62+F63+F64+F65+F66+F68</f>
        <v>152647.4</v>
      </c>
      <c r="G45" s="30" t="s">
        <v>24</v>
      </c>
      <c r="H45" s="36">
        <f>H46+H47+H48+H49+H51+H52+H53+H54+H55+H56+H57+H59+H60+H61+H62+H63+H64+H65+H66+H68</f>
        <v>12107.099999999999</v>
      </c>
      <c r="I45" s="36">
        <f>I46+I47+I48+I49+I51+I52+I53+I54+I55+I56+I57+I59+I60+I61+I62+I63+I64+I65+I66+I68</f>
        <v>140540.29999999999</v>
      </c>
      <c r="J45" s="174" t="s">
        <v>12</v>
      </c>
      <c r="M45" s="144" t="s">
        <v>12</v>
      </c>
    </row>
    <row r="46" spans="1:18" s="2" customFormat="1" ht="19.899999999999999" customHeight="1" x14ac:dyDescent="0.2">
      <c r="A46" s="13" t="s">
        <v>2</v>
      </c>
      <c r="B46" s="193">
        <v>800</v>
      </c>
      <c r="C46" s="193" t="s">
        <v>207</v>
      </c>
      <c r="D46" s="32" t="s">
        <v>48</v>
      </c>
      <c r="E46" s="27">
        <v>2350</v>
      </c>
      <c r="F46" s="27">
        <v>2308</v>
      </c>
      <c r="G46" s="31">
        <f>F46/E46</f>
        <v>0.98212765957446813</v>
      </c>
      <c r="H46" s="11">
        <v>0</v>
      </c>
      <c r="I46" s="27">
        <f t="shared" ref="I46:I68" si="19">F46-H46</f>
        <v>2308</v>
      </c>
      <c r="J46" s="175" t="s">
        <v>12</v>
      </c>
      <c r="K46" s="60" t="s">
        <v>12</v>
      </c>
      <c r="M46" s="104" t="s">
        <v>12</v>
      </c>
    </row>
    <row r="47" spans="1:18" s="2" customFormat="1" ht="19.899999999999999" customHeight="1" x14ac:dyDescent="0.2">
      <c r="A47" s="26" t="s">
        <v>63</v>
      </c>
      <c r="B47" s="37">
        <v>-580</v>
      </c>
      <c r="C47" s="37" t="s">
        <v>73</v>
      </c>
      <c r="D47" s="32" t="s">
        <v>73</v>
      </c>
      <c r="E47" s="32">
        <v>21940</v>
      </c>
      <c r="F47" s="32">
        <v>22124</v>
      </c>
      <c r="G47" s="31">
        <f t="shared" ref="G47:G57" si="20">F47/E47</f>
        <v>1.0083865086599817</v>
      </c>
      <c r="H47" s="11">
        <v>11209.3</v>
      </c>
      <c r="I47" s="27">
        <f t="shared" si="19"/>
        <v>10914.7</v>
      </c>
      <c r="J47" s="175" t="s">
        <v>12</v>
      </c>
      <c r="K47" s="60" t="s">
        <v>12</v>
      </c>
      <c r="M47" s="104" t="s">
        <v>12</v>
      </c>
    </row>
    <row r="48" spans="1:18" s="2" customFormat="1" ht="19.899999999999999" customHeight="1" x14ac:dyDescent="0.2">
      <c r="A48" s="26" t="s">
        <v>0</v>
      </c>
      <c r="B48" s="193">
        <v>2410</v>
      </c>
      <c r="C48" s="193" t="s">
        <v>208</v>
      </c>
      <c r="D48" s="32" t="s">
        <v>48</v>
      </c>
      <c r="E48" s="32">
        <v>8260</v>
      </c>
      <c r="F48" s="32">
        <v>8862</v>
      </c>
      <c r="G48" s="31">
        <f t="shared" si="20"/>
        <v>1.0728813559322035</v>
      </c>
      <c r="H48" s="11">
        <v>0</v>
      </c>
      <c r="I48" s="27">
        <f t="shared" si="19"/>
        <v>8862</v>
      </c>
      <c r="J48" s="175" t="s">
        <v>12</v>
      </c>
      <c r="K48" s="109" t="s">
        <v>12</v>
      </c>
      <c r="L48" s="110"/>
      <c r="M48" s="104" t="s">
        <v>12</v>
      </c>
    </row>
    <row r="49" spans="1:13" s="2" customFormat="1" ht="19.899999999999999" customHeight="1" x14ac:dyDescent="0.2">
      <c r="A49" s="26" t="s">
        <v>50</v>
      </c>
      <c r="B49" s="193">
        <v>6020</v>
      </c>
      <c r="C49" s="194">
        <v>8439</v>
      </c>
      <c r="D49" s="170">
        <f>C49/B49</f>
        <v>1.401827242524917</v>
      </c>
      <c r="E49" s="32">
        <v>12070</v>
      </c>
      <c r="F49" s="32">
        <v>12424</v>
      </c>
      <c r="G49" s="31">
        <f t="shared" si="20"/>
        <v>1.0293289146644573</v>
      </c>
      <c r="H49" s="11">
        <v>0</v>
      </c>
      <c r="I49" s="27">
        <f t="shared" si="19"/>
        <v>12424</v>
      </c>
      <c r="J49" s="175" t="s">
        <v>12</v>
      </c>
      <c r="K49" s="60" t="s">
        <v>12</v>
      </c>
      <c r="M49" s="104" t="s">
        <v>12</v>
      </c>
    </row>
    <row r="50" spans="1:13" s="2" customFormat="1" ht="19.899999999999999" customHeight="1" x14ac:dyDescent="0.2">
      <c r="A50" s="26" t="s">
        <v>70</v>
      </c>
      <c r="B50" s="193">
        <v>4100</v>
      </c>
      <c r="C50" s="194">
        <v>5256</v>
      </c>
      <c r="D50" s="170">
        <f>C50/B50</f>
        <v>1.2819512195121952</v>
      </c>
      <c r="E50" s="32" t="s">
        <v>24</v>
      </c>
      <c r="F50" s="32">
        <v>4200.6000000000004</v>
      </c>
      <c r="G50" s="31" t="s">
        <v>24</v>
      </c>
      <c r="H50" s="11">
        <v>0</v>
      </c>
      <c r="I50" s="27">
        <f t="shared" si="19"/>
        <v>4200.6000000000004</v>
      </c>
      <c r="J50" s="175" t="s">
        <v>12</v>
      </c>
      <c r="K50" s="60" t="s">
        <v>12</v>
      </c>
      <c r="M50" s="104" t="s">
        <v>12</v>
      </c>
    </row>
    <row r="51" spans="1:13" s="2" customFormat="1" ht="19.899999999999999" customHeight="1" x14ac:dyDescent="0.2">
      <c r="A51" s="13" t="s">
        <v>3</v>
      </c>
      <c r="B51" s="37">
        <v>4470</v>
      </c>
      <c r="C51" s="169">
        <v>6005</v>
      </c>
      <c r="D51" s="170">
        <f>C51/B51</f>
        <v>1.3434004474272931</v>
      </c>
      <c r="E51" s="27">
        <v>6100</v>
      </c>
      <c r="F51" s="27">
        <v>6386</v>
      </c>
      <c r="G51" s="31">
        <f t="shared" si="20"/>
        <v>1.0468852459016393</v>
      </c>
      <c r="H51" s="11">
        <v>0</v>
      </c>
      <c r="I51" s="27">
        <f t="shared" si="19"/>
        <v>6386</v>
      </c>
      <c r="J51" s="175" t="s">
        <v>12</v>
      </c>
      <c r="K51" s="60" t="s">
        <v>12</v>
      </c>
      <c r="M51" s="104" t="s">
        <v>12</v>
      </c>
    </row>
    <row r="52" spans="1:13" s="2" customFormat="1" ht="19.899999999999999" customHeight="1" x14ac:dyDescent="0.2">
      <c r="A52" s="13" t="s">
        <v>18</v>
      </c>
      <c r="B52" s="37">
        <v>-640</v>
      </c>
      <c r="C52" s="169">
        <v>5574</v>
      </c>
      <c r="D52" s="170" t="s">
        <v>73</v>
      </c>
      <c r="E52" s="27">
        <v>19640</v>
      </c>
      <c r="F52" s="27">
        <v>21458</v>
      </c>
      <c r="G52" s="31">
        <f t="shared" si="20"/>
        <v>1.0925661914460285</v>
      </c>
      <c r="H52" s="11">
        <v>0</v>
      </c>
      <c r="I52" s="27">
        <f t="shared" si="19"/>
        <v>21458</v>
      </c>
      <c r="J52" s="175" t="s">
        <v>12</v>
      </c>
      <c r="K52" s="60" t="s">
        <v>93</v>
      </c>
      <c r="M52" s="104" t="s">
        <v>12</v>
      </c>
    </row>
    <row r="53" spans="1:13" s="2" customFormat="1" ht="19.899999999999999" customHeight="1" x14ac:dyDescent="0.2">
      <c r="A53" s="13" t="s">
        <v>19</v>
      </c>
      <c r="B53" s="37">
        <v>2480</v>
      </c>
      <c r="C53" s="171">
        <v>3502</v>
      </c>
      <c r="D53" s="170">
        <f t="shared" ref="D53:D54" si="21">C53/B53</f>
        <v>1.4120967741935484</v>
      </c>
      <c r="E53" s="27">
        <v>3210</v>
      </c>
      <c r="F53" s="27">
        <v>3252</v>
      </c>
      <c r="G53" s="31">
        <f t="shared" si="20"/>
        <v>1.0130841121495326</v>
      </c>
      <c r="H53" s="11">
        <v>0</v>
      </c>
      <c r="I53" s="27">
        <f t="shared" si="19"/>
        <v>3252</v>
      </c>
      <c r="J53" s="175" t="s">
        <v>12</v>
      </c>
      <c r="K53" s="60" t="s">
        <v>12</v>
      </c>
      <c r="M53" s="104" t="s">
        <v>12</v>
      </c>
    </row>
    <row r="54" spans="1:13" s="2" customFormat="1" ht="19.899999999999999" customHeight="1" x14ac:dyDescent="0.2">
      <c r="A54" s="13" t="s">
        <v>64</v>
      </c>
      <c r="B54" s="37">
        <v>3110</v>
      </c>
      <c r="C54" s="171">
        <v>4959</v>
      </c>
      <c r="D54" s="170">
        <f t="shared" si="21"/>
        <v>1.5945337620578779</v>
      </c>
      <c r="E54" s="27">
        <v>4970</v>
      </c>
      <c r="F54" s="27">
        <v>5336</v>
      </c>
      <c r="G54" s="31">
        <f>F54/E54</f>
        <v>1.0736418511066399</v>
      </c>
      <c r="H54" s="11">
        <v>878.5</v>
      </c>
      <c r="I54" s="27">
        <f t="shared" si="19"/>
        <v>4457.5</v>
      </c>
      <c r="J54" s="175" t="s">
        <v>12</v>
      </c>
      <c r="K54" s="60" t="s">
        <v>12</v>
      </c>
      <c r="M54" s="104" t="s">
        <v>12</v>
      </c>
    </row>
    <row r="55" spans="1:13" s="2" customFormat="1" ht="19.899999999999999" customHeight="1" x14ac:dyDescent="0.2">
      <c r="A55" s="13" t="s">
        <v>4</v>
      </c>
      <c r="B55" s="193">
        <v>2610</v>
      </c>
      <c r="C55" s="193" t="s">
        <v>209</v>
      </c>
      <c r="D55" s="32" t="s">
        <v>48</v>
      </c>
      <c r="E55" s="27">
        <v>2620</v>
      </c>
      <c r="F55" s="27">
        <v>2744</v>
      </c>
      <c r="G55" s="31">
        <f t="shared" si="20"/>
        <v>1.0473282442748091</v>
      </c>
      <c r="H55" s="11">
        <v>0</v>
      </c>
      <c r="I55" s="27">
        <f t="shared" si="19"/>
        <v>2744</v>
      </c>
      <c r="J55" s="175" t="s">
        <v>12</v>
      </c>
      <c r="K55" s="60" t="s">
        <v>12</v>
      </c>
      <c r="M55" s="104" t="s">
        <v>12</v>
      </c>
    </row>
    <row r="56" spans="1:13" s="2" customFormat="1" ht="19.899999999999999" customHeight="1" x14ac:dyDescent="0.2">
      <c r="A56" s="13" t="s">
        <v>20</v>
      </c>
      <c r="B56" s="193">
        <v>-1780</v>
      </c>
      <c r="C56" s="37" t="s">
        <v>73</v>
      </c>
      <c r="D56" s="32" t="s">
        <v>73</v>
      </c>
      <c r="E56" s="27">
        <v>18330</v>
      </c>
      <c r="F56" s="27">
        <v>19330</v>
      </c>
      <c r="G56" s="31">
        <f t="shared" si="20"/>
        <v>1.0545553737043099</v>
      </c>
      <c r="H56" s="11">
        <v>0</v>
      </c>
      <c r="I56" s="27">
        <f t="shared" si="19"/>
        <v>19330</v>
      </c>
      <c r="J56" s="175" t="s">
        <v>12</v>
      </c>
      <c r="K56" s="60" t="s">
        <v>12</v>
      </c>
      <c r="M56" s="104" t="s">
        <v>12</v>
      </c>
    </row>
    <row r="57" spans="1:13" s="2" customFormat="1" ht="19.899999999999999" customHeight="1" x14ac:dyDescent="0.2">
      <c r="A57" s="13" t="s">
        <v>1</v>
      </c>
      <c r="B57" s="37">
        <v>700</v>
      </c>
      <c r="C57" s="37" t="s">
        <v>187</v>
      </c>
      <c r="D57" s="32" t="s">
        <v>48</v>
      </c>
      <c r="E57" s="27">
        <v>3650</v>
      </c>
      <c r="F57" s="27">
        <v>3756</v>
      </c>
      <c r="G57" s="31">
        <f t="shared" si="20"/>
        <v>1.029041095890411</v>
      </c>
      <c r="H57" s="11">
        <v>0</v>
      </c>
      <c r="I57" s="27">
        <f t="shared" si="19"/>
        <v>3756</v>
      </c>
      <c r="J57" s="175" t="s">
        <v>12</v>
      </c>
      <c r="K57" s="60" t="s">
        <v>12</v>
      </c>
      <c r="M57" s="104" t="s">
        <v>12</v>
      </c>
    </row>
    <row r="58" spans="1:13" s="2" customFormat="1" ht="19.899999999999999" customHeight="1" x14ac:dyDescent="0.2">
      <c r="A58" s="13" t="s">
        <v>43</v>
      </c>
      <c r="B58" s="37">
        <v>1080</v>
      </c>
      <c r="C58" s="171">
        <v>1624</v>
      </c>
      <c r="D58" s="170">
        <f>C58/B58</f>
        <v>1.5037037037037038</v>
      </c>
      <c r="E58" s="27" t="s">
        <v>24</v>
      </c>
      <c r="F58" s="32">
        <v>2213.4</v>
      </c>
      <c r="G58" s="31" t="s">
        <v>24</v>
      </c>
      <c r="H58" s="11">
        <v>0</v>
      </c>
      <c r="I58" s="27">
        <f t="shared" si="19"/>
        <v>2213.4</v>
      </c>
      <c r="J58" s="175" t="s">
        <v>12</v>
      </c>
      <c r="K58" s="60" t="s">
        <v>12</v>
      </c>
      <c r="M58" s="104" t="s">
        <v>12</v>
      </c>
    </row>
    <row r="59" spans="1:13" s="2" customFormat="1" ht="19.899999999999999" customHeight="1" x14ac:dyDescent="0.2">
      <c r="A59" s="13" t="s">
        <v>71</v>
      </c>
      <c r="B59" s="37">
        <v>530</v>
      </c>
      <c r="C59" s="37" t="s">
        <v>188</v>
      </c>
      <c r="D59" s="32" t="s">
        <v>48</v>
      </c>
      <c r="E59" s="27">
        <v>2181.5</v>
      </c>
      <c r="F59" s="32">
        <v>2196.4</v>
      </c>
      <c r="G59" s="31">
        <f>F59/E59</f>
        <v>1.006830162732065</v>
      </c>
      <c r="H59" s="11">
        <v>19.3</v>
      </c>
      <c r="I59" s="27">
        <f t="shared" si="19"/>
        <v>2177.1</v>
      </c>
      <c r="J59" s="175" t="s">
        <v>12</v>
      </c>
      <c r="K59" s="2" t="s">
        <v>12</v>
      </c>
      <c r="M59" s="104" t="s">
        <v>12</v>
      </c>
    </row>
    <row r="60" spans="1:13" s="2" customFormat="1" ht="19.899999999999999" customHeight="1" x14ac:dyDescent="0.2">
      <c r="A60" s="13" t="s">
        <v>5</v>
      </c>
      <c r="B60" s="37">
        <v>3400</v>
      </c>
      <c r="C60" s="37" t="s">
        <v>189</v>
      </c>
      <c r="D60" s="32" t="s">
        <v>48</v>
      </c>
      <c r="E60" s="27">
        <v>5570</v>
      </c>
      <c r="F60" s="27">
        <v>5616</v>
      </c>
      <c r="G60" s="31">
        <f t="shared" ref="G60:G66" si="22">F60/E60</f>
        <v>1.0082585278276481</v>
      </c>
      <c r="H60" s="11">
        <v>0</v>
      </c>
      <c r="I60" s="27">
        <f t="shared" si="19"/>
        <v>5616</v>
      </c>
      <c r="J60" s="175" t="s">
        <v>12</v>
      </c>
      <c r="K60" s="35"/>
      <c r="M60" s="104" t="s">
        <v>12</v>
      </c>
    </row>
    <row r="61" spans="1:13" s="2" customFormat="1" ht="19.899999999999999" customHeight="1" x14ac:dyDescent="0.2">
      <c r="A61" s="13" t="s">
        <v>21</v>
      </c>
      <c r="B61" s="37">
        <v>1210</v>
      </c>
      <c r="C61" s="37" t="s">
        <v>190</v>
      </c>
      <c r="D61" s="32" t="s">
        <v>48</v>
      </c>
      <c r="E61" s="27">
        <v>2810</v>
      </c>
      <c r="F61" s="27">
        <v>2867</v>
      </c>
      <c r="G61" s="31">
        <f>F61/E61</f>
        <v>1.0202846975088968</v>
      </c>
      <c r="H61" s="11">
        <v>0</v>
      </c>
      <c r="I61" s="27">
        <f t="shared" si="19"/>
        <v>2867</v>
      </c>
      <c r="J61" s="175" t="s">
        <v>12</v>
      </c>
      <c r="K61" s="35" t="s">
        <v>12</v>
      </c>
      <c r="M61" s="104" t="s">
        <v>12</v>
      </c>
    </row>
    <row r="62" spans="1:13" s="2" customFormat="1" ht="19.899999999999999" customHeight="1" x14ac:dyDescent="0.2">
      <c r="A62" s="13" t="s">
        <v>6</v>
      </c>
      <c r="B62" s="37">
        <v>2460</v>
      </c>
      <c r="C62" s="37" t="s">
        <v>191</v>
      </c>
      <c r="D62" s="32" t="s">
        <v>48</v>
      </c>
      <c r="E62" s="27">
        <v>7950</v>
      </c>
      <c r="F62" s="27">
        <v>8351</v>
      </c>
      <c r="G62" s="31">
        <f t="shared" si="22"/>
        <v>1.050440251572327</v>
      </c>
      <c r="H62" s="11">
        <v>0</v>
      </c>
      <c r="I62" s="27">
        <f t="shared" si="19"/>
        <v>8351</v>
      </c>
      <c r="J62" s="175" t="s">
        <v>12</v>
      </c>
      <c r="M62" s="104" t="s">
        <v>12</v>
      </c>
    </row>
    <row r="63" spans="1:13" s="2" customFormat="1" ht="19.899999999999999" customHeight="1" x14ac:dyDescent="0.2">
      <c r="A63" s="13" t="s">
        <v>22</v>
      </c>
      <c r="B63" s="37">
        <v>-330</v>
      </c>
      <c r="C63" s="37" t="s">
        <v>73</v>
      </c>
      <c r="D63" s="32" t="s">
        <v>73</v>
      </c>
      <c r="E63" s="27">
        <v>2760</v>
      </c>
      <c r="F63" s="27">
        <v>2754</v>
      </c>
      <c r="G63" s="31">
        <f t="shared" si="22"/>
        <v>0.99782608695652175</v>
      </c>
      <c r="H63" s="11">
        <v>0</v>
      </c>
      <c r="I63" s="27">
        <f t="shared" si="19"/>
        <v>2754</v>
      </c>
      <c r="J63" s="175" t="s">
        <v>12</v>
      </c>
      <c r="M63" s="104" t="s">
        <v>12</v>
      </c>
    </row>
    <row r="64" spans="1:13" s="2" customFormat="1" ht="19.899999999999999" customHeight="1" x14ac:dyDescent="0.2">
      <c r="A64" s="13" t="s">
        <v>7</v>
      </c>
      <c r="B64" s="37">
        <v>1550</v>
      </c>
      <c r="C64" s="169">
        <v>6915</v>
      </c>
      <c r="D64" s="170">
        <f>C64/B64</f>
        <v>4.4612903225806448</v>
      </c>
      <c r="E64" s="27">
        <v>5850</v>
      </c>
      <c r="F64" s="27">
        <v>6112</v>
      </c>
      <c r="G64" s="31">
        <f t="shared" si="22"/>
        <v>1.0447863247863247</v>
      </c>
      <c r="H64" s="11">
        <v>0</v>
      </c>
      <c r="I64" s="27">
        <f t="shared" si="19"/>
        <v>6112</v>
      </c>
      <c r="J64" s="175" t="s">
        <v>12</v>
      </c>
      <c r="M64" s="104" t="s">
        <v>12</v>
      </c>
    </row>
    <row r="65" spans="1:13" s="2" customFormat="1" ht="19.899999999999999" customHeight="1" x14ac:dyDescent="0.2">
      <c r="A65" s="13" t="s">
        <v>33</v>
      </c>
      <c r="B65" s="37">
        <v>-850</v>
      </c>
      <c r="C65" s="171">
        <v>6609</v>
      </c>
      <c r="D65" s="170" t="s">
        <v>73</v>
      </c>
      <c r="E65" s="27">
        <f>6600+185</f>
        <v>6785</v>
      </c>
      <c r="F65" s="27">
        <f>6850+179</f>
        <v>7029</v>
      </c>
      <c r="G65" s="31">
        <f t="shared" si="22"/>
        <v>1.0359616801768607</v>
      </c>
      <c r="H65" s="11">
        <v>0</v>
      </c>
      <c r="I65" s="27">
        <f t="shared" si="19"/>
        <v>7029</v>
      </c>
      <c r="J65" s="175" t="s">
        <v>12</v>
      </c>
      <c r="M65" s="104" t="s">
        <v>12</v>
      </c>
    </row>
    <row r="66" spans="1:13" s="2" customFormat="1" ht="19.899999999999999" customHeight="1" x14ac:dyDescent="0.2">
      <c r="A66" s="13" t="s">
        <v>8</v>
      </c>
      <c r="B66" s="37">
        <v>5620</v>
      </c>
      <c r="C66" s="169">
        <v>6902</v>
      </c>
      <c r="D66" s="172">
        <f>C66/B66</f>
        <v>1.2281138790035586</v>
      </c>
      <c r="E66" s="27">
        <v>9450</v>
      </c>
      <c r="F66" s="27">
        <v>9363</v>
      </c>
      <c r="G66" s="31">
        <f t="shared" si="22"/>
        <v>0.99079365079365078</v>
      </c>
      <c r="H66" s="11">
        <v>0</v>
      </c>
      <c r="I66" s="27">
        <f t="shared" si="19"/>
        <v>9363</v>
      </c>
      <c r="J66" s="175" t="s">
        <v>12</v>
      </c>
      <c r="M66" s="104" t="s">
        <v>12</v>
      </c>
    </row>
    <row r="67" spans="1:13" s="2" customFormat="1" ht="19.899999999999999" customHeight="1" x14ac:dyDescent="0.2">
      <c r="A67" s="13" t="s">
        <v>42</v>
      </c>
      <c r="B67" s="37">
        <v>2410</v>
      </c>
      <c r="C67" s="169">
        <v>3180</v>
      </c>
      <c r="D67" s="172">
        <f>C67/B67</f>
        <v>1.3195020746887967</v>
      </c>
      <c r="E67" s="27" t="s">
        <v>24</v>
      </c>
      <c r="F67" s="32">
        <v>4583.2</v>
      </c>
      <c r="G67" s="31" t="s">
        <v>24</v>
      </c>
      <c r="H67" s="11">
        <v>0</v>
      </c>
      <c r="I67" s="27">
        <f t="shared" si="19"/>
        <v>4583.2</v>
      </c>
      <c r="J67" s="175" t="s">
        <v>12</v>
      </c>
      <c r="M67" s="104" t="s">
        <v>12</v>
      </c>
    </row>
    <row r="68" spans="1:13" s="2" customFormat="1" ht="19.899999999999999" customHeight="1" x14ac:dyDescent="0.2">
      <c r="A68" s="13" t="s">
        <v>40</v>
      </c>
      <c r="B68" s="37" t="s">
        <v>24</v>
      </c>
      <c r="C68" s="37" t="s">
        <v>24</v>
      </c>
      <c r="D68" s="32" t="s">
        <v>24</v>
      </c>
      <c r="E68" s="27">
        <v>380</v>
      </c>
      <c r="F68" s="27">
        <v>379</v>
      </c>
      <c r="G68" s="31">
        <f>F68/E68</f>
        <v>0.99736842105263157</v>
      </c>
      <c r="H68" s="11">
        <v>0</v>
      </c>
      <c r="I68" s="27">
        <f t="shared" si="19"/>
        <v>379</v>
      </c>
      <c r="J68" s="175" t="s">
        <v>12</v>
      </c>
      <c r="M68" s="104" t="s">
        <v>12</v>
      </c>
    </row>
    <row r="69" spans="1:13" s="2" customFormat="1" ht="19.899999999999999" customHeight="1" x14ac:dyDescent="0.2">
      <c r="A69" s="13" t="s">
        <v>16</v>
      </c>
      <c r="B69" s="193">
        <v>2500</v>
      </c>
      <c r="C69" s="194">
        <v>9000</v>
      </c>
      <c r="D69" s="172">
        <f>C69/B69</f>
        <v>3.6</v>
      </c>
      <c r="E69" s="27" t="s">
        <v>24</v>
      </c>
      <c r="F69" s="27">
        <f>F46+F57+F60+F62+F66+F68</f>
        <v>29773</v>
      </c>
      <c r="G69" s="33" t="s">
        <v>24</v>
      </c>
      <c r="H69" s="27">
        <f>H46+H57+H60+H62+H66+H68</f>
        <v>0</v>
      </c>
      <c r="I69" s="210" t="s">
        <v>12</v>
      </c>
      <c r="J69" s="175" t="s">
        <v>12</v>
      </c>
      <c r="M69" s="104" t="s">
        <v>12</v>
      </c>
    </row>
    <row r="70" spans="1:13" s="2" customFormat="1" ht="19.899999999999999" customHeight="1" x14ac:dyDescent="0.2">
      <c r="A70" s="13" t="s">
        <v>14</v>
      </c>
      <c r="B70" s="37">
        <v>2870</v>
      </c>
      <c r="C70" s="169">
        <v>9082</v>
      </c>
      <c r="D70" s="172">
        <f>C70/B70</f>
        <v>3.1644599303135887</v>
      </c>
      <c r="E70" s="27" t="s">
        <v>24</v>
      </c>
      <c r="F70" s="27">
        <f>F51+F64</f>
        <v>12498</v>
      </c>
      <c r="G70" s="33" t="s">
        <v>24</v>
      </c>
      <c r="H70" s="27">
        <f>H51+H64</f>
        <v>0</v>
      </c>
      <c r="I70" s="211"/>
      <c r="J70" s="175" t="s">
        <v>12</v>
      </c>
      <c r="M70" s="104" t="s">
        <v>12</v>
      </c>
    </row>
    <row r="71" spans="1:13" s="2" customFormat="1" ht="19.899999999999999" customHeight="1" x14ac:dyDescent="0.2">
      <c r="A71" s="26" t="s">
        <v>15</v>
      </c>
      <c r="B71" s="37">
        <v>-10440</v>
      </c>
      <c r="C71" s="37" t="s">
        <v>73</v>
      </c>
      <c r="D71" s="32" t="s">
        <v>73</v>
      </c>
      <c r="E71" s="27" t="s">
        <v>24</v>
      </c>
      <c r="F71" s="27">
        <f>F61+F63+F65</f>
        <v>12650</v>
      </c>
      <c r="G71" s="33" t="s">
        <v>24</v>
      </c>
      <c r="H71" s="27">
        <f>H61+H63+H65</f>
        <v>0</v>
      </c>
      <c r="I71" s="211"/>
      <c r="J71" s="175" t="s">
        <v>12</v>
      </c>
      <c r="M71" s="104" t="s">
        <v>12</v>
      </c>
    </row>
    <row r="72" spans="1:13" s="2" customFormat="1" ht="19.899999999999999" customHeight="1" x14ac:dyDescent="0.2">
      <c r="A72" s="13" t="s">
        <v>17</v>
      </c>
      <c r="B72" s="193">
        <v>-8870</v>
      </c>
      <c r="C72" s="169">
        <v>4019</v>
      </c>
      <c r="D72" s="172" t="s">
        <v>73</v>
      </c>
      <c r="E72" s="27" t="s">
        <v>24</v>
      </c>
      <c r="F72" s="27">
        <f>F69+F70+F71</f>
        <v>54921</v>
      </c>
      <c r="G72" s="33" t="s">
        <v>24</v>
      </c>
      <c r="H72" s="27">
        <f>H69+H70+H71</f>
        <v>0</v>
      </c>
      <c r="I72" s="211"/>
      <c r="J72" s="175" t="s">
        <v>12</v>
      </c>
      <c r="M72" s="104" t="s">
        <v>12</v>
      </c>
    </row>
    <row r="73" spans="1:13" s="2" customFormat="1" ht="19.899999999999999" customHeight="1" x14ac:dyDescent="0.2">
      <c r="A73" s="26" t="s">
        <v>34</v>
      </c>
      <c r="B73" s="193">
        <v>3860</v>
      </c>
      <c r="C73" s="193" t="s">
        <v>210</v>
      </c>
      <c r="D73" s="32" t="s">
        <v>73</v>
      </c>
      <c r="E73" s="27" t="s">
        <v>24</v>
      </c>
      <c r="F73" s="27">
        <f>F47+F48+F49+F52+F53+F54+F55+F59</f>
        <v>78396.399999999994</v>
      </c>
      <c r="G73" s="33" t="s">
        <v>24</v>
      </c>
      <c r="H73" s="27">
        <f>H47+H48+H49+H52+H53+H54+H55+H59</f>
        <v>12107.099999999999</v>
      </c>
      <c r="I73" s="212"/>
      <c r="J73" s="198" t="s">
        <v>12</v>
      </c>
      <c r="M73" s="104" t="s">
        <v>12</v>
      </c>
    </row>
    <row r="74" spans="1:13" s="2" customFormat="1" ht="19.899999999999999" customHeight="1" x14ac:dyDescent="0.2">
      <c r="A74" s="205" t="s">
        <v>79</v>
      </c>
      <c r="B74" s="205"/>
      <c r="C74" s="205"/>
      <c r="D74" s="205"/>
      <c r="E74" s="205"/>
      <c r="F74" s="205"/>
      <c r="G74" s="205"/>
      <c r="H74" s="205"/>
      <c r="I74" s="205"/>
      <c r="J74" s="47"/>
      <c r="K74" s="39"/>
      <c r="M74" s="2" t="s">
        <v>12</v>
      </c>
    </row>
    <row r="75" spans="1:13" s="2" customFormat="1" ht="5.0999999999999996" customHeight="1" x14ac:dyDescent="0.2">
      <c r="A75" s="42"/>
      <c r="B75" s="43"/>
      <c r="C75" s="43"/>
      <c r="D75" s="43"/>
      <c r="E75" s="43"/>
      <c r="F75" s="43"/>
      <c r="G75" s="43"/>
      <c r="H75" s="43"/>
      <c r="I75" s="59" t="s">
        <v>12</v>
      </c>
      <c r="J75" s="48"/>
      <c r="K75" s="39"/>
      <c r="M75" s="2" t="s">
        <v>12</v>
      </c>
    </row>
    <row r="76" spans="1:13" ht="20.100000000000001" customHeight="1" x14ac:dyDescent="0.2">
      <c r="A76" s="205" t="s">
        <v>68</v>
      </c>
      <c r="B76" s="205"/>
      <c r="C76" s="205"/>
      <c r="D76" s="205"/>
      <c r="E76" s="205"/>
      <c r="F76" s="205"/>
      <c r="G76" s="205"/>
      <c r="H76" s="205"/>
      <c r="I76" s="205"/>
      <c r="J76" s="50" t="s">
        <v>12</v>
      </c>
    </row>
    <row r="77" spans="1:13" ht="19.899999999999999" customHeight="1" x14ac:dyDescent="0.2">
      <c r="A77" s="24" t="s">
        <v>78</v>
      </c>
      <c r="B77" s="205" t="s">
        <v>192</v>
      </c>
      <c r="C77" s="205"/>
      <c r="D77" s="205"/>
      <c r="E77" s="205"/>
      <c r="F77" s="205"/>
      <c r="G77" s="205"/>
      <c r="H77" s="205"/>
      <c r="I77" s="205"/>
      <c r="J77" s="49"/>
    </row>
    <row r="78" spans="1:13" ht="19.899999999999999" customHeight="1" x14ac:dyDescent="0.2">
      <c r="A78" s="13" t="s">
        <v>17</v>
      </c>
      <c r="B78" s="201" t="s">
        <v>201</v>
      </c>
      <c r="C78" s="201"/>
      <c r="D78" s="201"/>
      <c r="E78" s="201"/>
      <c r="F78" s="201"/>
      <c r="G78" s="201"/>
      <c r="H78" s="201"/>
      <c r="I78" s="201"/>
      <c r="J78" s="50" t="s">
        <v>12</v>
      </c>
      <c r="K78" s="56"/>
    </row>
    <row r="79" spans="1:13" ht="19.899999999999999" customHeight="1" x14ac:dyDescent="0.2">
      <c r="A79" s="13" t="s">
        <v>16</v>
      </c>
      <c r="B79" s="201" t="s">
        <v>198</v>
      </c>
      <c r="C79" s="201"/>
      <c r="D79" s="201"/>
      <c r="E79" s="201"/>
      <c r="F79" s="201"/>
      <c r="G79" s="201"/>
      <c r="H79" s="201"/>
      <c r="I79" s="201"/>
      <c r="J79" s="49"/>
    </row>
    <row r="80" spans="1:13" ht="19.899999999999999" customHeight="1" x14ac:dyDescent="0.2">
      <c r="A80" s="13" t="s">
        <v>14</v>
      </c>
      <c r="B80" s="201" t="s">
        <v>197</v>
      </c>
      <c r="C80" s="201"/>
      <c r="D80" s="201"/>
      <c r="E80" s="201"/>
      <c r="F80" s="201"/>
      <c r="G80" s="201"/>
      <c r="H80" s="201"/>
      <c r="I80" s="201"/>
      <c r="J80" s="49"/>
    </row>
    <row r="81" spans="1:12" ht="30" customHeight="1" x14ac:dyDescent="0.2">
      <c r="A81" s="13" t="s">
        <v>8</v>
      </c>
      <c r="B81" s="202" t="s">
        <v>199</v>
      </c>
      <c r="C81" s="203"/>
      <c r="D81" s="203"/>
      <c r="E81" s="203"/>
      <c r="F81" s="203"/>
      <c r="G81" s="203"/>
      <c r="H81" s="203"/>
      <c r="I81" s="204"/>
      <c r="J81" s="49"/>
    </row>
    <row r="82" spans="1:12" ht="30" customHeight="1" x14ac:dyDescent="0.2">
      <c r="A82" s="13" t="s">
        <v>69</v>
      </c>
      <c r="B82" s="202" t="s">
        <v>199</v>
      </c>
      <c r="C82" s="203"/>
      <c r="D82" s="203"/>
      <c r="E82" s="203"/>
      <c r="F82" s="203"/>
      <c r="G82" s="203"/>
      <c r="H82" s="203"/>
      <c r="I82" s="204"/>
      <c r="J82" s="49"/>
      <c r="L82" s="4" t="s">
        <v>12</v>
      </c>
    </row>
    <row r="83" spans="1:12" ht="19.899999999999999" customHeight="1" x14ac:dyDescent="0.2">
      <c r="A83" s="13" t="s">
        <v>23</v>
      </c>
      <c r="B83" s="201" t="s">
        <v>193</v>
      </c>
      <c r="C83" s="201"/>
      <c r="D83" s="201"/>
      <c r="E83" s="201"/>
      <c r="F83" s="201"/>
      <c r="G83" s="201"/>
      <c r="H83" s="201"/>
      <c r="I83" s="201"/>
      <c r="J83" s="49"/>
    </row>
    <row r="84" spans="1:12" ht="19.899999999999999" customHeight="1" x14ac:dyDescent="0.2">
      <c r="A84" s="13" t="s">
        <v>7</v>
      </c>
      <c r="B84" s="201" t="s">
        <v>197</v>
      </c>
      <c r="C84" s="201"/>
      <c r="D84" s="201"/>
      <c r="E84" s="201"/>
      <c r="F84" s="201"/>
      <c r="G84" s="201"/>
      <c r="H84" s="201"/>
      <c r="I84" s="201"/>
      <c r="J84" s="49"/>
    </row>
    <row r="85" spans="1:12" ht="19.899999999999999" customHeight="1" x14ac:dyDescent="0.2">
      <c r="A85" s="26" t="s">
        <v>50</v>
      </c>
      <c r="B85" s="201" t="s">
        <v>194</v>
      </c>
      <c r="C85" s="201"/>
      <c r="D85" s="201"/>
      <c r="E85" s="201"/>
      <c r="F85" s="201"/>
      <c r="G85" s="201"/>
      <c r="H85" s="201"/>
      <c r="I85" s="201"/>
      <c r="J85" s="49"/>
    </row>
    <row r="86" spans="1:12" ht="19.899999999999999" customHeight="1" x14ac:dyDescent="0.2">
      <c r="A86" s="26" t="s">
        <v>70</v>
      </c>
      <c r="B86" s="202" t="s">
        <v>194</v>
      </c>
      <c r="C86" s="203"/>
      <c r="D86" s="203"/>
      <c r="E86" s="203"/>
      <c r="F86" s="203"/>
      <c r="G86" s="203"/>
      <c r="H86" s="203"/>
      <c r="I86" s="204"/>
      <c r="J86" s="51"/>
    </row>
    <row r="87" spans="1:12" ht="19.899999999999999" customHeight="1" x14ac:dyDescent="0.2">
      <c r="A87" s="26" t="s">
        <v>18</v>
      </c>
      <c r="B87" s="201" t="s">
        <v>202</v>
      </c>
      <c r="C87" s="201"/>
      <c r="D87" s="201"/>
      <c r="E87" s="201"/>
      <c r="F87" s="201"/>
      <c r="G87" s="201"/>
      <c r="H87" s="201"/>
      <c r="I87" s="201"/>
      <c r="J87" s="49"/>
    </row>
    <row r="88" spans="1:12" ht="19.899999999999999" customHeight="1" x14ac:dyDescent="0.2">
      <c r="A88" s="26" t="s">
        <v>3</v>
      </c>
      <c r="B88" s="202" t="s">
        <v>200</v>
      </c>
      <c r="C88" s="203"/>
      <c r="D88" s="203"/>
      <c r="E88" s="203"/>
      <c r="F88" s="203"/>
      <c r="G88" s="203"/>
      <c r="H88" s="203"/>
      <c r="I88" s="204"/>
      <c r="J88" s="49"/>
    </row>
    <row r="89" spans="1:12" ht="19.899999999999999" customHeight="1" x14ac:dyDescent="0.2">
      <c r="A89" s="26" t="s">
        <v>76</v>
      </c>
      <c r="B89" s="201" t="s">
        <v>195</v>
      </c>
      <c r="C89" s="201"/>
      <c r="D89" s="201"/>
      <c r="E89" s="201"/>
      <c r="F89" s="201"/>
      <c r="G89" s="201"/>
      <c r="H89" s="201"/>
      <c r="I89" s="201"/>
      <c r="J89" s="49"/>
    </row>
    <row r="90" spans="1:12" ht="19.899999999999999" customHeight="1" x14ac:dyDescent="0.2">
      <c r="A90" s="26" t="s">
        <v>19</v>
      </c>
      <c r="B90" s="206" t="s">
        <v>196</v>
      </c>
      <c r="C90" s="207"/>
      <c r="D90" s="207"/>
      <c r="E90" s="207"/>
      <c r="F90" s="207"/>
      <c r="G90" s="207"/>
      <c r="H90" s="207"/>
      <c r="I90" s="208"/>
      <c r="J90" s="49"/>
    </row>
    <row r="91" spans="1:12" ht="30" customHeight="1" x14ac:dyDescent="0.2">
      <c r="A91" s="26" t="s">
        <v>64</v>
      </c>
      <c r="B91" s="202" t="s">
        <v>203</v>
      </c>
      <c r="C91" s="203"/>
      <c r="D91" s="203"/>
      <c r="E91" s="203"/>
      <c r="F91" s="203"/>
      <c r="G91" s="203"/>
      <c r="H91" s="203"/>
      <c r="I91" s="204"/>
    </row>
    <row r="92" spans="1:12" ht="20.100000000000001" customHeight="1" x14ac:dyDescent="0.2">
      <c r="A92" s="199" t="s">
        <v>212</v>
      </c>
      <c r="B92" s="199"/>
      <c r="C92" s="199"/>
      <c r="D92" s="199"/>
      <c r="E92" s="199"/>
      <c r="F92" s="199"/>
      <c r="G92" s="199"/>
      <c r="H92" s="199"/>
      <c r="I92" s="199"/>
    </row>
    <row r="93" spans="1:12" ht="20.100000000000001" customHeight="1" x14ac:dyDescent="0.2">
      <c r="A93" s="199" t="s">
        <v>213</v>
      </c>
      <c r="B93" s="199"/>
      <c r="C93" s="199"/>
      <c r="D93" s="199"/>
      <c r="E93" s="199"/>
      <c r="F93" s="199"/>
      <c r="G93" s="199"/>
      <c r="H93" s="199"/>
      <c r="I93" s="199"/>
    </row>
    <row r="94" spans="1:12" ht="20.100000000000001" customHeight="1" x14ac:dyDescent="0.2">
      <c r="A94" s="199" t="s">
        <v>214</v>
      </c>
      <c r="B94" s="199"/>
      <c r="C94" s="199"/>
      <c r="D94" s="199"/>
      <c r="E94" s="199"/>
      <c r="F94" s="199"/>
      <c r="G94" s="199"/>
      <c r="H94" s="199"/>
      <c r="I94" s="199"/>
    </row>
    <row r="95" spans="1:12" ht="20.100000000000001" customHeight="1" x14ac:dyDescent="0.2">
      <c r="A95" s="199" t="s">
        <v>216</v>
      </c>
      <c r="B95" s="199"/>
      <c r="C95" s="199"/>
      <c r="D95" s="199"/>
      <c r="E95" s="199"/>
      <c r="F95" s="199"/>
      <c r="G95" s="199"/>
      <c r="H95" s="199"/>
      <c r="I95" s="199"/>
    </row>
  </sheetData>
  <mergeCells count="33">
    <mergeCell ref="A40:P40"/>
    <mergeCell ref="B88:I88"/>
    <mergeCell ref="A93:I93"/>
    <mergeCell ref="C3:P3"/>
    <mergeCell ref="A74:I74"/>
    <mergeCell ref="B79:I79"/>
    <mergeCell ref="B80:I80"/>
    <mergeCell ref="B81:I81"/>
    <mergeCell ref="I69:I73"/>
    <mergeCell ref="A43:I43"/>
    <mergeCell ref="C4:P4"/>
    <mergeCell ref="C5:P5"/>
    <mergeCell ref="C6:P6"/>
    <mergeCell ref="C7:P7"/>
    <mergeCell ref="C8:P8"/>
    <mergeCell ref="A19:P19"/>
    <mergeCell ref="A27:P27"/>
    <mergeCell ref="A95:I95"/>
    <mergeCell ref="A94:I94"/>
    <mergeCell ref="A1:B1"/>
    <mergeCell ref="A92:I92"/>
    <mergeCell ref="B89:I89"/>
    <mergeCell ref="B82:I82"/>
    <mergeCell ref="B83:I83"/>
    <mergeCell ref="A76:I76"/>
    <mergeCell ref="B77:I77"/>
    <mergeCell ref="B78:I78"/>
    <mergeCell ref="B90:I90"/>
    <mergeCell ref="B91:I91"/>
    <mergeCell ref="B84:I84"/>
    <mergeCell ref="B85:I85"/>
    <mergeCell ref="B86:I86"/>
    <mergeCell ref="B87:I87"/>
  </mergeCells>
  <phoneticPr fontId="4" type="noConversion"/>
  <printOptions horizontalCentered="1" gridLines="1"/>
  <pageMargins left="0.45" right="0.45" top="0.5" bottom="0.5" header="0" footer="0.05"/>
  <pageSetup paperSize="17" scale="40" orientation="portrait" r:id="rId1"/>
  <headerFooter alignWithMargins="0"/>
  <rowBreaks count="1" manualBreakCount="1">
    <brk id="42" max="16383" man="1"/>
  </rowBreaks>
  <colBreaks count="1" manualBreakCount="1">
    <brk id="7" max="9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zoomScale="90" zoomScaleNormal="90" workbookViewId="0">
      <selection sqref="A1:E1"/>
    </sheetView>
  </sheetViews>
  <sheetFormatPr defaultRowHeight="12.75" x14ac:dyDescent="0.2"/>
  <cols>
    <col min="1" max="1" width="18.7109375" customWidth="1"/>
    <col min="2" max="2" width="21.7109375" customWidth="1"/>
    <col min="3" max="10" width="18.7109375" customWidth="1"/>
    <col min="11" max="11" width="27.140625" customWidth="1"/>
    <col min="12" max="12" width="12.7109375" customWidth="1"/>
  </cols>
  <sheetData>
    <row r="1" spans="1:12" ht="18" x14ac:dyDescent="0.25">
      <c r="A1" s="221" t="s">
        <v>111</v>
      </c>
      <c r="B1" s="221"/>
      <c r="C1" s="221"/>
      <c r="D1" s="221"/>
      <c r="E1" s="221"/>
      <c r="F1" s="7"/>
      <c r="G1" s="7"/>
      <c r="H1" s="7"/>
    </row>
    <row r="2" spans="1:12" ht="20.100000000000001" customHeight="1" x14ac:dyDescent="0.2">
      <c r="A2" s="213" t="s">
        <v>58</v>
      </c>
      <c r="B2" s="213"/>
      <c r="C2" s="213"/>
      <c r="D2" s="213"/>
      <c r="E2" s="213"/>
      <c r="F2" s="7"/>
      <c r="G2" s="7"/>
      <c r="H2" s="7"/>
    </row>
    <row r="3" spans="1:12" ht="20.100000000000001" customHeight="1" x14ac:dyDescent="0.2">
      <c r="A3" s="213" t="s">
        <v>86</v>
      </c>
      <c r="B3" s="213"/>
      <c r="C3" s="213"/>
      <c r="D3" s="213"/>
      <c r="E3" s="213"/>
      <c r="F3" s="34"/>
      <c r="G3" s="34"/>
      <c r="H3" s="34"/>
      <c r="I3" s="34"/>
    </row>
    <row r="4" spans="1:12" ht="20.100000000000001" customHeight="1" x14ac:dyDescent="0.2">
      <c r="A4" s="213" t="s">
        <v>206</v>
      </c>
      <c r="B4" s="213"/>
      <c r="C4" s="213"/>
      <c r="D4" s="213"/>
      <c r="E4" s="72">
        <v>5.8900000000000001E-2</v>
      </c>
      <c r="F4" s="34"/>
      <c r="G4" s="34"/>
      <c r="H4" s="34"/>
      <c r="I4" s="7"/>
    </row>
    <row r="5" spans="1:12" ht="20.100000000000001" customHeight="1" x14ac:dyDescent="0.2">
      <c r="A5" s="199" t="s">
        <v>55</v>
      </c>
      <c r="B5" s="199"/>
      <c r="C5" s="199"/>
      <c r="D5" s="199"/>
      <c r="E5" s="199"/>
      <c r="F5" s="7"/>
      <c r="G5" s="7"/>
      <c r="H5" s="7"/>
      <c r="I5" s="187" t="s">
        <v>12</v>
      </c>
    </row>
    <row r="6" spans="1:12" ht="20.100000000000001" customHeight="1" x14ac:dyDescent="0.2">
      <c r="A6" s="199" t="s">
        <v>56</v>
      </c>
      <c r="B6" s="199"/>
      <c r="C6" s="199"/>
      <c r="D6" s="199"/>
      <c r="E6" s="199"/>
      <c r="F6" s="7"/>
      <c r="G6" s="7"/>
      <c r="H6" s="7"/>
    </row>
    <row r="7" spans="1:12" ht="20.100000000000001" customHeight="1" x14ac:dyDescent="0.2">
      <c r="A7" s="218" t="s">
        <v>80</v>
      </c>
      <c r="B7" s="218"/>
      <c r="C7" s="218"/>
      <c r="D7" s="218"/>
      <c r="E7" s="218"/>
      <c r="F7" s="46"/>
      <c r="G7" s="7"/>
      <c r="H7" s="7"/>
      <c r="J7" s="28" t="s">
        <v>12</v>
      </c>
    </row>
    <row r="8" spans="1:12" ht="20.100000000000001" customHeight="1" x14ac:dyDescent="0.2">
      <c r="A8" s="199" t="s">
        <v>57</v>
      </c>
      <c r="B8" s="199"/>
      <c r="C8" s="199"/>
      <c r="D8" s="199"/>
      <c r="E8" s="199"/>
      <c r="F8" s="7"/>
      <c r="G8" s="7"/>
      <c r="H8" s="7"/>
      <c r="I8" s="29" t="s">
        <v>12</v>
      </c>
    </row>
    <row r="9" spans="1:12" ht="13.5" thickBot="1" x14ac:dyDescent="0.25">
      <c r="C9" s="58" t="s">
        <v>12</v>
      </c>
      <c r="F9" s="57" t="s">
        <v>12</v>
      </c>
    </row>
    <row r="10" spans="1:12" ht="75" customHeight="1" thickBot="1" x14ac:dyDescent="0.25">
      <c r="A10" s="73" t="s">
        <v>81</v>
      </c>
      <c r="B10" s="74" t="s">
        <v>94</v>
      </c>
      <c r="C10" s="74" t="s">
        <v>115</v>
      </c>
      <c r="D10" s="74" t="s">
        <v>116</v>
      </c>
      <c r="E10" s="74" t="s">
        <v>74</v>
      </c>
      <c r="F10" s="74" t="s">
        <v>117</v>
      </c>
      <c r="G10" s="74" t="s">
        <v>84</v>
      </c>
      <c r="H10" s="74" t="s">
        <v>118</v>
      </c>
      <c r="I10" s="74" t="s">
        <v>85</v>
      </c>
      <c r="J10" s="74" t="s">
        <v>83</v>
      </c>
      <c r="K10" s="150" t="s">
        <v>89</v>
      </c>
    </row>
    <row r="11" spans="1:12" ht="15.95" customHeight="1" x14ac:dyDescent="0.25">
      <c r="A11" s="75" t="s">
        <v>51</v>
      </c>
      <c r="B11" s="76">
        <v>134309.87040807889</v>
      </c>
      <c r="C11" s="151">
        <v>0.99131933188481525</v>
      </c>
      <c r="D11" s="77">
        <f>B11*C11</f>
        <v>133143.97099847288</v>
      </c>
      <c r="E11" s="78">
        <f>ROUND(D11/(365*(1-$E$4)),2)</f>
        <v>387.61</v>
      </c>
      <c r="F11" s="79"/>
      <c r="G11" s="79"/>
      <c r="H11" s="79"/>
      <c r="I11" s="79"/>
      <c r="J11" s="80"/>
      <c r="K11" s="152"/>
      <c r="L11" s="28" t="s">
        <v>12</v>
      </c>
    </row>
    <row r="12" spans="1:12" ht="15.95" customHeight="1" x14ac:dyDescent="0.2">
      <c r="A12" s="81" t="s">
        <v>2</v>
      </c>
      <c r="B12" s="71" t="s">
        <v>12</v>
      </c>
      <c r="C12" s="8" t="s">
        <v>12</v>
      </c>
      <c r="D12" s="8" t="s">
        <v>12</v>
      </c>
      <c r="E12" s="6">
        <f t="shared" ref="E12:E18" si="0">$E$11</f>
        <v>387.61</v>
      </c>
      <c r="F12" s="149">
        <v>17585.65409972236</v>
      </c>
      <c r="G12" s="5">
        <v>2199</v>
      </c>
      <c r="H12" s="149">
        <f>F12+G12</f>
        <v>19784.65409972236</v>
      </c>
      <c r="I12" s="6">
        <f>($D$11-H12)/365</f>
        <v>310.5734709554809</v>
      </c>
      <c r="J12" s="6">
        <f t="shared" ref="J12:J17" si="1">ROUND(I12/(1-$E$4),2)</f>
        <v>330.01</v>
      </c>
      <c r="K12" s="82"/>
    </row>
    <row r="13" spans="1:12" ht="15.95" customHeight="1" x14ac:dyDescent="0.2">
      <c r="A13" s="81" t="s">
        <v>1</v>
      </c>
      <c r="B13" s="71" t="s">
        <v>12</v>
      </c>
      <c r="C13" s="8" t="s">
        <v>12</v>
      </c>
      <c r="D13" s="8" t="s">
        <v>12</v>
      </c>
      <c r="E13" s="6">
        <f t="shared" si="0"/>
        <v>387.61</v>
      </c>
      <c r="F13" s="149">
        <v>27833.011839032959</v>
      </c>
      <c r="G13" s="5">
        <v>2199</v>
      </c>
      <c r="H13" s="149">
        <f t="shared" ref="H13:H17" si="2">F13+G13</f>
        <v>30032.011839032959</v>
      </c>
      <c r="I13" s="6">
        <f t="shared" ref="I13:I17" si="3">($D$11-H13)/365</f>
        <v>282.49851824504088</v>
      </c>
      <c r="J13" s="6">
        <f t="shared" si="1"/>
        <v>300.18</v>
      </c>
      <c r="K13" s="83" t="s">
        <v>43</v>
      </c>
    </row>
    <row r="14" spans="1:12" ht="15.95" customHeight="1" x14ac:dyDescent="0.2">
      <c r="A14" s="81" t="s">
        <v>5</v>
      </c>
      <c r="B14" s="71" t="s">
        <v>12</v>
      </c>
      <c r="C14" s="8" t="s">
        <v>12</v>
      </c>
      <c r="D14" s="8" t="s">
        <v>12</v>
      </c>
      <c r="E14" s="6">
        <f t="shared" si="0"/>
        <v>387.61</v>
      </c>
      <c r="F14" s="149">
        <v>29867.472378009992</v>
      </c>
      <c r="G14" s="5">
        <v>2199</v>
      </c>
      <c r="H14" s="149">
        <f t="shared" si="2"/>
        <v>32066.472378009992</v>
      </c>
      <c r="I14" s="6">
        <f t="shared" si="3"/>
        <v>276.92465375469288</v>
      </c>
      <c r="J14" s="6">
        <f t="shared" si="1"/>
        <v>294.26</v>
      </c>
      <c r="K14" s="82"/>
    </row>
    <row r="15" spans="1:12" ht="15.95" customHeight="1" x14ac:dyDescent="0.2">
      <c r="A15" s="81" t="s">
        <v>82</v>
      </c>
      <c r="B15" s="71" t="s">
        <v>12</v>
      </c>
      <c r="C15" s="8" t="s">
        <v>12</v>
      </c>
      <c r="D15" s="8" t="s">
        <v>12</v>
      </c>
      <c r="E15" s="6">
        <f t="shared" si="0"/>
        <v>387.61</v>
      </c>
      <c r="F15" s="149">
        <v>27967.259613644517</v>
      </c>
      <c r="G15" s="5">
        <v>2199</v>
      </c>
      <c r="H15" s="149">
        <f t="shared" si="2"/>
        <v>30166.259613644517</v>
      </c>
      <c r="I15" s="6">
        <f t="shared" si="3"/>
        <v>282.13071612281743</v>
      </c>
      <c r="J15" s="6">
        <f t="shared" si="1"/>
        <v>299.79000000000002</v>
      </c>
      <c r="K15" s="82"/>
    </row>
    <row r="16" spans="1:12" ht="15.95" customHeight="1" x14ac:dyDescent="0.2">
      <c r="A16" s="81" t="s">
        <v>66</v>
      </c>
      <c r="B16" s="71" t="s">
        <v>12</v>
      </c>
      <c r="C16" s="8" t="s">
        <v>12</v>
      </c>
      <c r="D16" s="8" t="s">
        <v>12</v>
      </c>
      <c r="E16" s="6">
        <f t="shared" si="0"/>
        <v>387.61</v>
      </c>
      <c r="F16" s="149">
        <v>17381.329643857298</v>
      </c>
      <c r="G16" s="5">
        <v>2199</v>
      </c>
      <c r="H16" s="149">
        <f t="shared" si="2"/>
        <v>19580.329643857298</v>
      </c>
      <c r="I16" s="6">
        <f t="shared" si="3"/>
        <v>311.13326398524816</v>
      </c>
      <c r="J16" s="6">
        <f t="shared" si="1"/>
        <v>330.61</v>
      </c>
      <c r="K16" s="84" t="s">
        <v>90</v>
      </c>
    </row>
    <row r="17" spans="1:11" ht="15.95" customHeight="1" x14ac:dyDescent="0.2">
      <c r="A17" s="81" t="s">
        <v>40</v>
      </c>
      <c r="B17" s="71" t="s">
        <v>12</v>
      </c>
      <c r="C17" s="8" t="s">
        <v>12</v>
      </c>
      <c r="D17" s="8" t="s">
        <v>12</v>
      </c>
      <c r="E17" s="6">
        <f t="shared" si="0"/>
        <v>387.61</v>
      </c>
      <c r="F17" s="149">
        <v>18358.94696734269</v>
      </c>
      <c r="G17" s="5">
        <v>2199</v>
      </c>
      <c r="H17" s="149">
        <f t="shared" si="2"/>
        <v>20557.94696734269</v>
      </c>
      <c r="I17" s="6">
        <f t="shared" si="3"/>
        <v>308.45486035926081</v>
      </c>
      <c r="J17" s="6">
        <f t="shared" si="1"/>
        <v>327.76</v>
      </c>
      <c r="K17" s="82"/>
    </row>
    <row r="18" spans="1:11" ht="15.95" customHeight="1" thickBot="1" x14ac:dyDescent="0.25">
      <c r="A18" s="85" t="s">
        <v>16</v>
      </c>
      <c r="B18" s="86" t="s">
        <v>12</v>
      </c>
      <c r="C18" s="87" t="s">
        <v>12</v>
      </c>
      <c r="D18" s="87" t="s">
        <v>12</v>
      </c>
      <c r="E18" s="88">
        <f t="shared" si="0"/>
        <v>387.61</v>
      </c>
      <c r="F18" s="89" t="s">
        <v>12</v>
      </c>
      <c r="G18" s="90" t="s">
        <v>12</v>
      </c>
      <c r="H18" s="90"/>
      <c r="I18" s="88">
        <f>ROUND(J18*(1-$E$4),2)</f>
        <v>295.29000000000002</v>
      </c>
      <c r="J18" s="88">
        <f>ROUND(AVERAGE(J12:J17),2)</f>
        <v>313.77</v>
      </c>
      <c r="K18" s="153" t="s">
        <v>16</v>
      </c>
    </row>
    <row r="19" spans="1:11" ht="15.95" customHeight="1" x14ac:dyDescent="0.25">
      <c r="A19" s="75" t="s">
        <v>52</v>
      </c>
      <c r="B19" s="76">
        <v>136733.06642896877</v>
      </c>
      <c r="C19" s="151">
        <v>1.0308652429576832</v>
      </c>
      <c r="D19" s="77">
        <f>B19*C19</f>
        <v>140953.36574464792</v>
      </c>
      <c r="E19" s="78">
        <f>ROUND(D19/(365*(1-$E$4)),2)</f>
        <v>410.34</v>
      </c>
      <c r="F19" s="91"/>
      <c r="G19" s="92"/>
      <c r="H19" s="92"/>
      <c r="I19" s="78"/>
      <c r="J19" s="93" t="s">
        <v>12</v>
      </c>
      <c r="K19" s="152"/>
    </row>
    <row r="20" spans="1:11" ht="15.95" customHeight="1" x14ac:dyDescent="0.2">
      <c r="A20" s="81" t="s">
        <v>3</v>
      </c>
      <c r="B20" s="71" t="s">
        <v>12</v>
      </c>
      <c r="C20" s="8" t="s">
        <v>12</v>
      </c>
      <c r="D20" s="8" t="s">
        <v>12</v>
      </c>
      <c r="E20" s="6">
        <f>$E$19</f>
        <v>410.34</v>
      </c>
      <c r="F20" s="149">
        <v>54826.529582593903</v>
      </c>
      <c r="G20" s="5">
        <v>2199</v>
      </c>
      <c r="H20" s="149">
        <f t="shared" ref="H20:H21" si="4">F20+G20</f>
        <v>57025.529582593903</v>
      </c>
      <c r="I20" s="6">
        <f>($D$19-H20)/365</f>
        <v>229.93927715631236</v>
      </c>
      <c r="J20" s="6">
        <f>ROUND(I20/(1-$E$4),2)</f>
        <v>244.33</v>
      </c>
      <c r="K20" s="84" t="s">
        <v>3</v>
      </c>
    </row>
    <row r="21" spans="1:11" ht="15.95" customHeight="1" x14ac:dyDescent="0.2">
      <c r="A21" s="81" t="s">
        <v>7</v>
      </c>
      <c r="B21" s="71"/>
      <c r="C21" s="8"/>
      <c r="D21" s="8"/>
      <c r="E21" s="6">
        <f>$E$19</f>
        <v>410.34</v>
      </c>
      <c r="F21" s="149">
        <v>40711.512179434452</v>
      </c>
      <c r="G21" s="5">
        <v>2199</v>
      </c>
      <c r="H21" s="149">
        <f t="shared" si="4"/>
        <v>42910.512179434452</v>
      </c>
      <c r="I21" s="6">
        <f>($D$19-H21)/365</f>
        <v>268.61055771291365</v>
      </c>
      <c r="J21" s="6">
        <f>ROUND(I21/(1-$E$4),2)</f>
        <v>285.42</v>
      </c>
      <c r="K21" s="84" t="s">
        <v>7</v>
      </c>
    </row>
    <row r="22" spans="1:11" ht="15.95" customHeight="1" thickBot="1" x14ac:dyDescent="0.25">
      <c r="A22" s="85" t="s">
        <v>14</v>
      </c>
      <c r="B22" s="86"/>
      <c r="C22" s="87"/>
      <c r="D22" s="87"/>
      <c r="E22" s="88">
        <f>$E$19</f>
        <v>410.34</v>
      </c>
      <c r="F22" s="89"/>
      <c r="G22" s="90" t="s">
        <v>12</v>
      </c>
      <c r="H22" s="90"/>
      <c r="I22" s="88">
        <f>ROUND(J22*(1-$E$4),2)</f>
        <v>249.28</v>
      </c>
      <c r="J22" s="88">
        <f>ROUND(AVERAGE(J20:J21),2)</f>
        <v>264.88</v>
      </c>
      <c r="K22" s="153" t="s">
        <v>14</v>
      </c>
    </row>
    <row r="23" spans="1:11" ht="15.95" customHeight="1" x14ac:dyDescent="0.25">
      <c r="A23" s="75" t="s">
        <v>54</v>
      </c>
      <c r="B23" s="77">
        <v>133464.66411072822</v>
      </c>
      <c r="C23" s="151">
        <v>1.0049406719060836</v>
      </c>
      <c r="D23" s="77">
        <f>B23*C23</f>
        <v>134124.06922715498</v>
      </c>
      <c r="E23" s="78">
        <f>ROUND(D23/(365*(1-$E$4)),2)</f>
        <v>390.46</v>
      </c>
      <c r="F23" s="91"/>
      <c r="G23" s="92" t="s">
        <v>12</v>
      </c>
      <c r="H23" s="92"/>
      <c r="I23" s="78"/>
      <c r="J23" s="93"/>
      <c r="K23" s="152"/>
    </row>
    <row r="24" spans="1:11" ht="15.95" customHeight="1" x14ac:dyDescent="0.2">
      <c r="A24" s="81" t="s">
        <v>21</v>
      </c>
      <c r="B24" s="71" t="s">
        <v>12</v>
      </c>
      <c r="C24" s="8" t="s">
        <v>12</v>
      </c>
      <c r="D24" s="8" t="s">
        <v>12</v>
      </c>
      <c r="E24" s="6">
        <f>$E$23</f>
        <v>390.46</v>
      </c>
      <c r="F24" s="149">
        <v>31615.605306290032</v>
      </c>
      <c r="G24" s="5">
        <v>2199</v>
      </c>
      <c r="H24" s="149">
        <f t="shared" ref="H24:H26" si="5">F24+G24</f>
        <v>33814.605306290032</v>
      </c>
      <c r="I24" s="6">
        <f>($D$23-H24)/365</f>
        <v>274.8204490982601</v>
      </c>
      <c r="J24" s="6">
        <f>ROUND(I24/(1-$E$4),2)</f>
        <v>292.02</v>
      </c>
      <c r="K24" s="82"/>
    </row>
    <row r="25" spans="1:11" ht="15.95" customHeight="1" x14ac:dyDescent="0.2">
      <c r="A25" s="81" t="s">
        <v>67</v>
      </c>
      <c r="B25" s="71"/>
      <c r="C25" s="8"/>
      <c r="D25" s="8"/>
      <c r="E25" s="6">
        <f>$E$23</f>
        <v>390.46</v>
      </c>
      <c r="F25" s="149">
        <v>58259.977059901597</v>
      </c>
      <c r="G25" s="5">
        <v>2199</v>
      </c>
      <c r="H25" s="149">
        <f t="shared" si="5"/>
        <v>60458.977059901597</v>
      </c>
      <c r="I25" s="6">
        <f t="shared" ref="I25:I26" si="6">($D$23-H25)/365</f>
        <v>201.82217032124211</v>
      </c>
      <c r="J25" s="6">
        <f>ROUND(I25/(1-$E$4),2)</f>
        <v>214.45</v>
      </c>
      <c r="K25" s="82"/>
    </row>
    <row r="26" spans="1:11" ht="15.95" customHeight="1" x14ac:dyDescent="0.2">
      <c r="A26" s="81" t="s">
        <v>65</v>
      </c>
      <c r="B26" s="71"/>
      <c r="C26" s="8"/>
      <c r="D26" s="8"/>
      <c r="E26" s="6">
        <f>$E$23</f>
        <v>390.46</v>
      </c>
      <c r="F26" s="149">
        <v>28626.9580228944</v>
      </c>
      <c r="G26" s="5">
        <v>2199</v>
      </c>
      <c r="H26" s="149">
        <f t="shared" si="5"/>
        <v>30825.9580228944</v>
      </c>
      <c r="I26" s="6">
        <f t="shared" si="6"/>
        <v>283.00852384728927</v>
      </c>
      <c r="J26" s="6">
        <f>ROUND(I26/(1-$E$4),2)</f>
        <v>300.72000000000003</v>
      </c>
      <c r="K26" s="84" t="s">
        <v>65</v>
      </c>
    </row>
    <row r="27" spans="1:11" ht="15.95" customHeight="1" thickBot="1" x14ac:dyDescent="0.25">
      <c r="A27" s="85" t="s">
        <v>17</v>
      </c>
      <c r="B27" s="86" t="s">
        <v>12</v>
      </c>
      <c r="C27" s="87" t="s">
        <v>12</v>
      </c>
      <c r="D27" s="87" t="s">
        <v>12</v>
      </c>
      <c r="E27" s="88">
        <f>ROUND(AVERAGE(E12,E13,E14,E15,E16,E17,E20,E21,E24,E25,E26),2)</f>
        <v>392.52</v>
      </c>
      <c r="F27" s="89"/>
      <c r="G27" s="90" t="s">
        <v>12</v>
      </c>
      <c r="H27" s="90"/>
      <c r="I27" s="88">
        <f>ROUND(J27*(1-$E$4),2)</f>
        <v>275.45</v>
      </c>
      <c r="J27" s="88">
        <f>ROUND(AVERAGE(J12,J13,J14,J15,J16,J17,J20,J21,J24,J25,J26),2)</f>
        <v>292.69</v>
      </c>
      <c r="K27" s="153" t="s">
        <v>17</v>
      </c>
    </row>
    <row r="28" spans="1:11" ht="15.95" customHeight="1" x14ac:dyDescent="0.25">
      <c r="A28" s="75" t="s">
        <v>53</v>
      </c>
      <c r="B28" s="76">
        <v>133413.29603520679</v>
      </c>
      <c r="C28" s="151">
        <v>0.99702485692587794</v>
      </c>
      <c r="D28" s="77">
        <f>B28*C28</f>
        <v>133016.37239151186</v>
      </c>
      <c r="E28" s="78">
        <f>ROUND(D28/(365*(1-$E$4)),2)</f>
        <v>387.24</v>
      </c>
      <c r="F28" s="91"/>
      <c r="G28" s="92" t="s">
        <v>12</v>
      </c>
      <c r="H28" s="92"/>
      <c r="I28" s="78"/>
      <c r="J28" s="93"/>
      <c r="K28" s="152"/>
    </row>
    <row r="29" spans="1:11" ht="15.95" customHeight="1" x14ac:dyDescent="0.2">
      <c r="A29" s="94" t="s">
        <v>63</v>
      </c>
      <c r="B29" s="8"/>
      <c r="C29" s="8"/>
      <c r="D29" s="8"/>
      <c r="E29" s="6">
        <f>$E$28</f>
        <v>387.24</v>
      </c>
      <c r="F29" s="149">
        <v>22058.578251938132</v>
      </c>
      <c r="G29" s="5">
        <v>2199</v>
      </c>
      <c r="H29" s="149">
        <f t="shared" ref="H29:H38" si="7">F29+G29</f>
        <v>24257.578251938132</v>
      </c>
      <c r="I29" s="6">
        <f>($D$28-H29)/365</f>
        <v>297.96929901253077</v>
      </c>
      <c r="J29" s="6">
        <f t="shared" ref="J29:J37" si="8">ROUND(I29/(1-$E$4),2)</f>
        <v>316.62</v>
      </c>
      <c r="K29" s="82"/>
    </row>
    <row r="30" spans="1:11" ht="15.95" customHeight="1" x14ac:dyDescent="0.2">
      <c r="A30" s="94" t="s">
        <v>0</v>
      </c>
      <c r="B30" s="8"/>
      <c r="C30" s="8"/>
      <c r="D30" s="8"/>
      <c r="E30" s="6">
        <f t="shared" ref="E30:E37" si="9">$E$28</f>
        <v>387.24</v>
      </c>
      <c r="F30" s="149">
        <v>29311.632662305561</v>
      </c>
      <c r="G30" s="5">
        <v>2199</v>
      </c>
      <c r="H30" s="149">
        <f t="shared" si="7"/>
        <v>31510.632662305561</v>
      </c>
      <c r="I30" s="6">
        <f t="shared" ref="I30:I37" si="10">($D$28-H30)/365</f>
        <v>278.09791706631864</v>
      </c>
      <c r="J30" s="6">
        <f t="shared" si="8"/>
        <v>295.5</v>
      </c>
      <c r="K30" s="82"/>
    </row>
    <row r="31" spans="1:11" ht="15.95" customHeight="1" x14ac:dyDescent="0.2">
      <c r="A31" s="81" t="s">
        <v>50</v>
      </c>
      <c r="B31" s="8" t="s">
        <v>12</v>
      </c>
      <c r="C31" s="8" t="s">
        <v>12</v>
      </c>
      <c r="D31" s="8" t="s">
        <v>12</v>
      </c>
      <c r="E31" s="6">
        <f t="shared" si="9"/>
        <v>387.24</v>
      </c>
      <c r="F31" s="149">
        <v>25407.978774850737</v>
      </c>
      <c r="G31" s="5">
        <v>2199</v>
      </c>
      <c r="H31" s="149">
        <f t="shared" si="7"/>
        <v>27606.978774850737</v>
      </c>
      <c r="I31" s="6">
        <f t="shared" si="10"/>
        <v>288.79285922372912</v>
      </c>
      <c r="J31" s="6">
        <f t="shared" si="8"/>
        <v>306.87</v>
      </c>
      <c r="K31" s="84" t="s">
        <v>91</v>
      </c>
    </row>
    <row r="32" spans="1:11" ht="15.95" customHeight="1" x14ac:dyDescent="0.2">
      <c r="A32" s="81" t="s">
        <v>18</v>
      </c>
      <c r="B32" s="8"/>
      <c r="C32" s="8"/>
      <c r="D32" s="8"/>
      <c r="E32" s="6">
        <f t="shared" si="9"/>
        <v>387.24</v>
      </c>
      <c r="F32" s="149">
        <v>12528.655111151</v>
      </c>
      <c r="G32" s="5">
        <v>2199</v>
      </c>
      <c r="H32" s="149">
        <f t="shared" si="7"/>
        <v>14727.655111151</v>
      </c>
      <c r="I32" s="6">
        <f t="shared" si="10"/>
        <v>324.07867748044072</v>
      </c>
      <c r="J32" s="6">
        <f t="shared" si="8"/>
        <v>344.36</v>
      </c>
      <c r="K32" s="84" t="s">
        <v>18</v>
      </c>
    </row>
    <row r="33" spans="1:11" ht="15.95" customHeight="1" x14ac:dyDescent="0.2">
      <c r="A33" s="81" t="s">
        <v>19</v>
      </c>
      <c r="B33" s="8"/>
      <c r="C33" s="8"/>
      <c r="D33" s="8"/>
      <c r="E33" s="6">
        <f t="shared" si="9"/>
        <v>387.24</v>
      </c>
      <c r="F33" s="149">
        <v>23450.948000286753</v>
      </c>
      <c r="G33" s="5">
        <v>2199</v>
      </c>
      <c r="H33" s="149">
        <f t="shared" si="7"/>
        <v>25649.948000286753</v>
      </c>
      <c r="I33" s="6">
        <f t="shared" si="10"/>
        <v>294.1545873732195</v>
      </c>
      <c r="J33" s="6">
        <f t="shared" si="8"/>
        <v>312.56</v>
      </c>
      <c r="K33" s="83" t="s">
        <v>19</v>
      </c>
    </row>
    <row r="34" spans="1:11" ht="15.95" customHeight="1" x14ac:dyDescent="0.2">
      <c r="A34" s="81" t="s">
        <v>64</v>
      </c>
      <c r="B34" s="8"/>
      <c r="C34" s="8"/>
      <c r="D34" s="8"/>
      <c r="E34" s="6">
        <f t="shared" si="9"/>
        <v>387.24</v>
      </c>
      <c r="F34" s="149">
        <v>23368.447188708942</v>
      </c>
      <c r="G34" s="5">
        <v>2199</v>
      </c>
      <c r="H34" s="149">
        <f t="shared" si="7"/>
        <v>25567.447188708942</v>
      </c>
      <c r="I34" s="6">
        <f t="shared" si="10"/>
        <v>294.3806169939806</v>
      </c>
      <c r="J34" s="6">
        <f t="shared" si="8"/>
        <v>312.8</v>
      </c>
      <c r="K34" s="83" t="s">
        <v>64</v>
      </c>
    </row>
    <row r="35" spans="1:11" ht="15.95" customHeight="1" x14ac:dyDescent="0.2">
      <c r="A35" s="81" t="s">
        <v>4</v>
      </c>
      <c r="B35" s="8"/>
      <c r="C35" s="8"/>
      <c r="D35" s="8"/>
      <c r="E35" s="6">
        <f t="shared" si="9"/>
        <v>387.24</v>
      </c>
      <c r="F35" s="149">
        <v>21705.072980407353</v>
      </c>
      <c r="G35" s="5">
        <v>2199</v>
      </c>
      <c r="H35" s="149">
        <f t="shared" si="7"/>
        <v>23904.072980407353</v>
      </c>
      <c r="I35" s="6">
        <f t="shared" si="10"/>
        <v>298.93780660576579</v>
      </c>
      <c r="J35" s="6">
        <f t="shared" si="8"/>
        <v>317.64999999999998</v>
      </c>
      <c r="K35" s="82"/>
    </row>
    <row r="36" spans="1:11" ht="15.95" customHeight="1" x14ac:dyDescent="0.2">
      <c r="A36" s="81" t="s">
        <v>20</v>
      </c>
      <c r="B36" s="8"/>
      <c r="C36" s="8"/>
      <c r="D36" s="8"/>
      <c r="E36" s="6">
        <f t="shared" si="9"/>
        <v>387.24</v>
      </c>
      <c r="F36" s="149">
        <v>21951.200448744788</v>
      </c>
      <c r="G36" s="5">
        <v>2199</v>
      </c>
      <c r="H36" s="149">
        <f t="shared" si="7"/>
        <v>24150.200448744788</v>
      </c>
      <c r="I36" s="6">
        <f t="shared" si="10"/>
        <v>298.2634847747043</v>
      </c>
      <c r="J36" s="6">
        <f t="shared" si="8"/>
        <v>316.93</v>
      </c>
      <c r="K36" s="82"/>
    </row>
    <row r="37" spans="1:11" ht="15.95" customHeight="1" thickBot="1" x14ac:dyDescent="0.25">
      <c r="A37" s="95" t="s">
        <v>71</v>
      </c>
      <c r="B37" s="87"/>
      <c r="C37" s="87"/>
      <c r="D37" s="87"/>
      <c r="E37" s="88">
        <f t="shared" si="9"/>
        <v>387.24</v>
      </c>
      <c r="F37" s="154">
        <v>18097.412367231616</v>
      </c>
      <c r="G37" s="90">
        <v>2199</v>
      </c>
      <c r="H37" s="154">
        <f t="shared" si="7"/>
        <v>20296.412367231616</v>
      </c>
      <c r="I37" s="88">
        <f t="shared" si="10"/>
        <v>308.82180828569926</v>
      </c>
      <c r="J37" s="88">
        <f t="shared" si="8"/>
        <v>328.15</v>
      </c>
      <c r="K37" s="96"/>
    </row>
    <row r="38" spans="1:11" ht="15.95" customHeight="1" thickBot="1" x14ac:dyDescent="0.25">
      <c r="A38" s="97" t="s">
        <v>13</v>
      </c>
      <c r="B38" s="98">
        <f>AVERAGE(B11,B19,B23,B28)</f>
        <v>134480.22424574566</v>
      </c>
      <c r="C38" s="98" t="s">
        <v>12</v>
      </c>
      <c r="D38" s="98">
        <f>AVERAGE(D11,D19,D23,D28)</f>
        <v>135309.44459044689</v>
      </c>
      <c r="E38" s="99">
        <f>ROUND(D38/(365*(1-$E$4)),2)</f>
        <v>393.91</v>
      </c>
      <c r="F38" s="155">
        <v>22651.564353426336</v>
      </c>
      <c r="G38" s="100">
        <f>G31</f>
        <v>2199</v>
      </c>
      <c r="H38" s="155">
        <f t="shared" si="7"/>
        <v>24850.564353426336</v>
      </c>
      <c r="I38" s="99">
        <f>($D$38-H38)/365</f>
        <v>302.62706914252209</v>
      </c>
      <c r="J38" s="99">
        <f>ROUND(I38/(1-$E$4),2)</f>
        <v>321.57</v>
      </c>
      <c r="K38" s="101" t="s">
        <v>13</v>
      </c>
    </row>
    <row r="39" spans="1:11" ht="20.100000000000001" customHeight="1" x14ac:dyDescent="0.2">
      <c r="A39" s="219" t="s">
        <v>12</v>
      </c>
      <c r="B39" s="220"/>
      <c r="C39" s="220"/>
      <c r="D39" s="220"/>
      <c r="E39" s="220"/>
      <c r="F39" s="220"/>
      <c r="G39" s="220"/>
      <c r="H39" s="220"/>
      <c r="I39" s="220"/>
    </row>
    <row r="43" spans="1:11" x14ac:dyDescent="0.2">
      <c r="E43" s="53"/>
      <c r="F43" s="53"/>
      <c r="J43" s="53"/>
    </row>
    <row r="44" spans="1:11" x14ac:dyDescent="0.2">
      <c r="B44" s="53"/>
      <c r="C44" s="53"/>
      <c r="E44" s="53"/>
      <c r="F44" s="53"/>
      <c r="J44" s="53"/>
    </row>
    <row r="45" spans="1:11" x14ac:dyDescent="0.2">
      <c r="B45" s="53"/>
      <c r="C45" s="53"/>
      <c r="E45" s="53"/>
      <c r="F45" s="53"/>
      <c r="J45" s="53"/>
    </row>
    <row r="46" spans="1:11" x14ac:dyDescent="0.2">
      <c r="B46" s="53"/>
      <c r="C46" s="53"/>
      <c r="E46" s="53"/>
      <c r="F46" s="53"/>
      <c r="J46" s="53"/>
    </row>
    <row r="47" spans="1:11" x14ac:dyDescent="0.2">
      <c r="B47" s="53"/>
      <c r="C47" s="53"/>
      <c r="E47" s="53"/>
      <c r="F47" s="53"/>
      <c r="J47" s="53"/>
    </row>
    <row r="48" spans="1:11" x14ac:dyDescent="0.2">
      <c r="B48" s="53"/>
      <c r="C48" s="53"/>
      <c r="E48" s="53"/>
      <c r="F48" s="53"/>
      <c r="J48" s="53"/>
    </row>
    <row r="49" spans="2:10" x14ac:dyDescent="0.2">
      <c r="B49" s="53"/>
      <c r="C49" s="53"/>
      <c r="E49" s="53"/>
      <c r="F49" s="53"/>
      <c r="J49" s="53"/>
    </row>
    <row r="50" spans="2:10" x14ac:dyDescent="0.2">
      <c r="B50" s="53"/>
      <c r="C50" s="53"/>
      <c r="E50" s="53"/>
      <c r="F50" s="53"/>
      <c r="J50" s="53"/>
    </row>
    <row r="51" spans="2:10" x14ac:dyDescent="0.2">
      <c r="B51" s="53"/>
      <c r="C51" s="53"/>
      <c r="E51" s="53"/>
      <c r="F51" s="53"/>
      <c r="J51" s="53"/>
    </row>
    <row r="52" spans="2:10" x14ac:dyDescent="0.2">
      <c r="B52" s="53"/>
      <c r="C52" s="53"/>
      <c r="E52" s="53"/>
      <c r="F52" s="53"/>
      <c r="J52" s="53"/>
    </row>
    <row r="53" spans="2:10" x14ac:dyDescent="0.2">
      <c r="B53" s="53"/>
      <c r="C53" s="53"/>
      <c r="E53" s="53"/>
      <c r="F53" s="53"/>
      <c r="J53" s="53"/>
    </row>
    <row r="54" spans="2:10" x14ac:dyDescent="0.2">
      <c r="B54" s="53"/>
      <c r="C54" s="53"/>
      <c r="E54" s="53"/>
      <c r="F54" s="53"/>
      <c r="J54" s="53"/>
    </row>
    <row r="55" spans="2:10" x14ac:dyDescent="0.2">
      <c r="B55" s="53"/>
      <c r="C55" s="53"/>
      <c r="E55" s="53"/>
      <c r="F55" s="53"/>
      <c r="J55" s="53"/>
    </row>
    <row r="56" spans="2:10" x14ac:dyDescent="0.2">
      <c r="B56" s="53"/>
      <c r="C56" s="53"/>
      <c r="E56" s="53"/>
      <c r="F56" s="53"/>
      <c r="J56" s="53"/>
    </row>
    <row r="57" spans="2:10" x14ac:dyDescent="0.2">
      <c r="B57" s="53"/>
      <c r="C57" s="53"/>
      <c r="E57" s="53"/>
      <c r="F57" s="53"/>
      <c r="J57" s="53"/>
    </row>
    <row r="58" spans="2:10" x14ac:dyDescent="0.2">
      <c r="B58" s="53"/>
      <c r="C58" s="53"/>
      <c r="E58" s="53"/>
      <c r="F58" s="53"/>
      <c r="J58" s="53"/>
    </row>
    <row r="59" spans="2:10" x14ac:dyDescent="0.2">
      <c r="B59" s="53"/>
      <c r="C59" s="53"/>
      <c r="E59" s="53"/>
      <c r="F59" s="53"/>
      <c r="J59" s="53"/>
    </row>
    <row r="60" spans="2:10" x14ac:dyDescent="0.2">
      <c r="B60" s="53"/>
      <c r="C60" s="53"/>
      <c r="E60" s="53"/>
      <c r="F60" s="53"/>
      <c r="J60" s="53"/>
    </row>
    <row r="61" spans="2:10" x14ac:dyDescent="0.2">
      <c r="B61" s="53"/>
      <c r="C61" s="53"/>
      <c r="E61" s="53"/>
      <c r="F61" s="53"/>
      <c r="J61" s="53"/>
    </row>
    <row r="62" spans="2:10" x14ac:dyDescent="0.2">
      <c r="B62" s="53"/>
      <c r="C62" s="53"/>
      <c r="E62" s="53"/>
      <c r="F62" s="53"/>
      <c r="J62" s="53"/>
    </row>
    <row r="63" spans="2:10" x14ac:dyDescent="0.2">
      <c r="B63" s="53"/>
      <c r="C63" s="53"/>
      <c r="E63" s="53"/>
      <c r="F63" s="53"/>
      <c r="J63" s="53"/>
    </row>
    <row r="64" spans="2:10" x14ac:dyDescent="0.2">
      <c r="B64" s="53"/>
      <c r="C64" s="53"/>
      <c r="E64" s="53"/>
      <c r="F64" s="53"/>
      <c r="J64" s="53"/>
    </row>
    <row r="65" spans="2:10" x14ac:dyDescent="0.2">
      <c r="B65" s="53"/>
      <c r="C65" s="53"/>
      <c r="E65" s="53"/>
      <c r="F65" s="53"/>
      <c r="J65" s="53"/>
    </row>
    <row r="66" spans="2:10" x14ac:dyDescent="0.2">
      <c r="B66" s="53"/>
      <c r="C66" s="53"/>
      <c r="E66" s="53"/>
      <c r="F66" s="53"/>
      <c r="J66" s="53"/>
    </row>
    <row r="67" spans="2:10" x14ac:dyDescent="0.2">
      <c r="B67" s="53"/>
      <c r="C67" s="53"/>
      <c r="E67" s="53"/>
      <c r="F67" s="53"/>
    </row>
    <row r="68" spans="2:10" x14ac:dyDescent="0.2">
      <c r="B68" s="53"/>
      <c r="C68" s="53"/>
      <c r="E68" s="53"/>
      <c r="F68" s="53"/>
    </row>
    <row r="69" spans="2:10" x14ac:dyDescent="0.2">
      <c r="B69" s="53"/>
      <c r="C69" s="53"/>
      <c r="E69" s="53"/>
      <c r="F69" s="53"/>
    </row>
    <row r="70" spans="2:10" x14ac:dyDescent="0.2">
      <c r="B70" s="53"/>
      <c r="C70" s="53"/>
      <c r="E70" s="53"/>
      <c r="F70" s="53"/>
    </row>
    <row r="71" spans="2:10" x14ac:dyDescent="0.2">
      <c r="B71" s="53"/>
      <c r="C71" s="53"/>
      <c r="E71" s="53"/>
      <c r="F71" s="53"/>
    </row>
  </sheetData>
  <mergeCells count="9">
    <mergeCell ref="A7:E7"/>
    <mergeCell ref="A8:E8"/>
    <mergeCell ref="A39:I39"/>
    <mergeCell ref="A1:E1"/>
    <mergeCell ref="A3:E3"/>
    <mergeCell ref="A4:D4"/>
    <mergeCell ref="A5:E5"/>
    <mergeCell ref="A6:E6"/>
    <mergeCell ref="A2:E2"/>
  </mergeCells>
  <pageMargins left="0.5" right="0.5" top="0.5" bottom="0.5" header="0.3" footer="0.3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zoomScale="120" zoomScaleNormal="120" workbookViewId="0">
      <selection sqref="A1:C1"/>
    </sheetView>
  </sheetViews>
  <sheetFormatPr defaultRowHeight="12.75" x14ac:dyDescent="0.2"/>
  <cols>
    <col min="1" max="1" width="12.7109375" customWidth="1"/>
    <col min="2" max="2" width="100.7109375" customWidth="1"/>
    <col min="3" max="3" width="15.7109375" customWidth="1"/>
  </cols>
  <sheetData>
    <row r="1" spans="1:4" ht="20.100000000000001" customHeight="1" thickBot="1" x14ac:dyDescent="0.25">
      <c r="A1" s="222" t="s">
        <v>119</v>
      </c>
      <c r="B1" s="223"/>
      <c r="C1" s="224"/>
      <c r="D1" s="148" t="s">
        <v>12</v>
      </c>
    </row>
    <row r="2" spans="1:4" ht="30" customHeight="1" thickBot="1" x14ac:dyDescent="0.25">
      <c r="A2" s="61" t="s">
        <v>59</v>
      </c>
      <c r="B2" s="62" t="s">
        <v>60</v>
      </c>
      <c r="C2" s="63" t="s">
        <v>61</v>
      </c>
    </row>
    <row r="3" spans="1:4" ht="30" customHeight="1" x14ac:dyDescent="0.2">
      <c r="A3" s="182" t="s">
        <v>120</v>
      </c>
      <c r="B3" s="183" t="s">
        <v>121</v>
      </c>
      <c r="C3" s="184" t="s">
        <v>3</v>
      </c>
    </row>
    <row r="4" spans="1:4" ht="30" customHeight="1" x14ac:dyDescent="0.2">
      <c r="A4" s="64" t="s">
        <v>122</v>
      </c>
      <c r="B4" s="65" t="s">
        <v>123</v>
      </c>
      <c r="C4" s="66" t="s">
        <v>6</v>
      </c>
    </row>
    <row r="5" spans="1:4" ht="19.899999999999999" customHeight="1" x14ac:dyDescent="0.2">
      <c r="A5" s="64" t="s">
        <v>124</v>
      </c>
      <c r="B5" s="65" t="s">
        <v>125</v>
      </c>
      <c r="C5" s="66" t="s">
        <v>63</v>
      </c>
    </row>
    <row r="6" spans="1:4" ht="20.100000000000001" customHeight="1" x14ac:dyDescent="0.2">
      <c r="A6" s="64" t="s">
        <v>126</v>
      </c>
      <c r="B6" s="65" t="s">
        <v>127</v>
      </c>
      <c r="C6" s="66" t="s">
        <v>64</v>
      </c>
    </row>
    <row r="7" spans="1:4" ht="19.899999999999999" customHeight="1" x14ac:dyDescent="0.2">
      <c r="A7" s="64" t="s">
        <v>128</v>
      </c>
      <c r="B7" s="65" t="s">
        <v>129</v>
      </c>
      <c r="C7" s="66" t="s">
        <v>63</v>
      </c>
    </row>
    <row r="8" spans="1:4" ht="19.899999999999999" customHeight="1" x14ac:dyDescent="0.2">
      <c r="A8" s="185" t="s">
        <v>204</v>
      </c>
      <c r="B8" s="181" t="s">
        <v>205</v>
      </c>
      <c r="C8" s="186" t="s">
        <v>64</v>
      </c>
    </row>
    <row r="9" spans="1:4" ht="19.899999999999999" customHeight="1" x14ac:dyDescent="0.2">
      <c r="A9" s="178" t="s">
        <v>130</v>
      </c>
      <c r="B9" s="179" t="s">
        <v>131</v>
      </c>
      <c r="C9" s="180" t="s">
        <v>63</v>
      </c>
    </row>
    <row r="10" spans="1:4" ht="19.899999999999999" customHeight="1" x14ac:dyDescent="0.2">
      <c r="A10" s="64" t="s">
        <v>132</v>
      </c>
      <c r="B10" s="65" t="s">
        <v>133</v>
      </c>
      <c r="C10" s="66" t="s">
        <v>134</v>
      </c>
    </row>
    <row r="11" spans="1:4" ht="19.899999999999999" customHeight="1" x14ac:dyDescent="0.2">
      <c r="A11" s="64" t="s">
        <v>135</v>
      </c>
      <c r="B11" s="65" t="s">
        <v>136</v>
      </c>
      <c r="C11" s="66" t="s">
        <v>98</v>
      </c>
    </row>
    <row r="12" spans="1:4" ht="19.899999999999999" customHeight="1" x14ac:dyDescent="0.2">
      <c r="A12" s="64" t="s">
        <v>137</v>
      </c>
      <c r="B12" s="65" t="s">
        <v>138</v>
      </c>
      <c r="C12" s="66" t="s">
        <v>98</v>
      </c>
    </row>
    <row r="13" spans="1:4" ht="30" customHeight="1" x14ac:dyDescent="0.2">
      <c r="A13" s="64" t="s">
        <v>139</v>
      </c>
      <c r="B13" s="65" t="s">
        <v>140</v>
      </c>
      <c r="C13" s="66" t="s">
        <v>63</v>
      </c>
    </row>
    <row r="14" spans="1:4" ht="20.100000000000001" customHeight="1" x14ac:dyDescent="0.2">
      <c r="A14" s="64" t="s">
        <v>141</v>
      </c>
      <c r="B14" s="65" t="s">
        <v>142</v>
      </c>
      <c r="C14" s="66" t="s">
        <v>64</v>
      </c>
    </row>
    <row r="15" spans="1:4" ht="30" customHeight="1" x14ac:dyDescent="0.2">
      <c r="A15" s="64" t="s">
        <v>143</v>
      </c>
      <c r="B15" s="65" t="s">
        <v>144</v>
      </c>
      <c r="C15" s="66" t="s">
        <v>64</v>
      </c>
    </row>
    <row r="16" spans="1:4" ht="20.100000000000001" customHeight="1" x14ac:dyDescent="0.2">
      <c r="A16" s="64" t="s">
        <v>145</v>
      </c>
      <c r="B16" s="65" t="s">
        <v>146</v>
      </c>
      <c r="C16" s="66" t="s">
        <v>50</v>
      </c>
    </row>
    <row r="17" spans="1:3" ht="39.950000000000003" customHeight="1" x14ac:dyDescent="0.2">
      <c r="A17" s="64" t="s">
        <v>147</v>
      </c>
      <c r="B17" s="65" t="s">
        <v>148</v>
      </c>
      <c r="C17" s="66" t="s">
        <v>71</v>
      </c>
    </row>
    <row r="18" spans="1:3" ht="19.899999999999999" customHeight="1" x14ac:dyDescent="0.2">
      <c r="A18" s="64" t="s">
        <v>149</v>
      </c>
      <c r="B18" s="65" t="s">
        <v>150</v>
      </c>
      <c r="C18" s="66" t="s">
        <v>71</v>
      </c>
    </row>
    <row r="19" spans="1:3" ht="19.899999999999999" customHeight="1" x14ac:dyDescent="0.2">
      <c r="A19" s="64" t="s">
        <v>151</v>
      </c>
      <c r="B19" s="65" t="s">
        <v>152</v>
      </c>
      <c r="C19" s="66" t="s">
        <v>63</v>
      </c>
    </row>
    <row r="20" spans="1:3" ht="30" customHeight="1" x14ac:dyDescent="0.2">
      <c r="A20" s="64" t="s">
        <v>153</v>
      </c>
      <c r="B20" s="65" t="s">
        <v>154</v>
      </c>
      <c r="C20" s="66" t="s">
        <v>64</v>
      </c>
    </row>
    <row r="21" spans="1:3" ht="19.899999999999999" customHeight="1" x14ac:dyDescent="0.2">
      <c r="A21" s="64" t="s">
        <v>155</v>
      </c>
      <c r="B21" s="65" t="s">
        <v>156</v>
      </c>
      <c r="C21" s="66" t="s">
        <v>50</v>
      </c>
    </row>
    <row r="22" spans="1:3" ht="19.899999999999999" customHeight="1" x14ac:dyDescent="0.2">
      <c r="A22" s="64" t="s">
        <v>157</v>
      </c>
      <c r="B22" s="65" t="s">
        <v>158</v>
      </c>
      <c r="C22" s="66" t="s">
        <v>63</v>
      </c>
    </row>
    <row r="23" spans="1:3" ht="19.899999999999999" customHeight="1" x14ac:dyDescent="0.2">
      <c r="A23" s="64" t="s">
        <v>159</v>
      </c>
      <c r="B23" s="65" t="s">
        <v>160</v>
      </c>
      <c r="C23" s="66" t="s">
        <v>161</v>
      </c>
    </row>
    <row r="24" spans="1:3" ht="19.899999999999999" customHeight="1" x14ac:dyDescent="0.2">
      <c r="A24" s="64" t="s">
        <v>162</v>
      </c>
      <c r="B24" s="65" t="s">
        <v>163</v>
      </c>
      <c r="C24" s="66" t="s">
        <v>66</v>
      </c>
    </row>
    <row r="25" spans="1:3" ht="30" customHeight="1" x14ac:dyDescent="0.2">
      <c r="A25" s="64" t="s">
        <v>164</v>
      </c>
      <c r="B25" s="65" t="s">
        <v>165</v>
      </c>
      <c r="C25" s="66" t="s">
        <v>1</v>
      </c>
    </row>
    <row r="26" spans="1:3" ht="20.100000000000001" customHeight="1" x14ac:dyDescent="0.2">
      <c r="A26" s="64" t="s">
        <v>166</v>
      </c>
      <c r="B26" s="65" t="s">
        <v>167</v>
      </c>
      <c r="C26" s="66" t="s">
        <v>161</v>
      </c>
    </row>
    <row r="27" spans="1:3" ht="20.100000000000001" customHeight="1" x14ac:dyDescent="0.2">
      <c r="A27" s="64" t="s">
        <v>168</v>
      </c>
      <c r="B27" s="65" t="s">
        <v>169</v>
      </c>
      <c r="C27" s="66" t="s">
        <v>66</v>
      </c>
    </row>
    <row r="28" spans="1:3" ht="20.100000000000001" customHeight="1" x14ac:dyDescent="0.2">
      <c r="A28" s="64" t="s">
        <v>170</v>
      </c>
      <c r="B28" s="65" t="s">
        <v>171</v>
      </c>
      <c r="C28" s="66" t="s">
        <v>66</v>
      </c>
    </row>
    <row r="29" spans="1:3" ht="30" customHeight="1" thickBot="1" x14ac:dyDescent="0.25">
      <c r="A29" s="160" t="s">
        <v>172</v>
      </c>
      <c r="B29" s="161" t="s">
        <v>173</v>
      </c>
      <c r="C29" s="162" t="s">
        <v>1</v>
      </c>
    </row>
    <row r="30" spans="1:3" ht="20.100000000000001" customHeight="1" x14ac:dyDescent="0.2">
      <c r="A30" s="163"/>
      <c r="B30" s="164"/>
      <c r="C30" s="159"/>
    </row>
    <row r="31" spans="1:3" ht="20.100000000000001" customHeight="1" thickBot="1" x14ac:dyDescent="0.25">
      <c r="A31" s="165"/>
      <c r="B31" s="165"/>
      <c r="C31" s="165"/>
    </row>
    <row r="32" spans="1:3" ht="20.100000000000001" customHeight="1" thickBot="1" x14ac:dyDescent="0.25">
      <c r="A32" s="225" t="s">
        <v>174</v>
      </c>
      <c r="B32" s="226"/>
      <c r="C32" s="227"/>
    </row>
    <row r="33" spans="1:9" ht="30" customHeight="1" thickBot="1" x14ac:dyDescent="0.25">
      <c r="A33" s="61" t="s">
        <v>59</v>
      </c>
      <c r="B33" s="62" t="s">
        <v>60</v>
      </c>
      <c r="C33" s="63" t="s">
        <v>61</v>
      </c>
    </row>
    <row r="34" spans="1:9" ht="20.100000000000001" customHeight="1" x14ac:dyDescent="0.2">
      <c r="A34" s="64" t="s">
        <v>175</v>
      </c>
      <c r="B34" s="65" t="s">
        <v>176</v>
      </c>
      <c r="C34" s="66" t="s">
        <v>97</v>
      </c>
    </row>
    <row r="35" spans="1:9" ht="20.100000000000001" customHeight="1" x14ac:dyDescent="0.2">
      <c r="A35" s="64" t="s">
        <v>177</v>
      </c>
      <c r="B35" s="65" t="s">
        <v>178</v>
      </c>
      <c r="C35" s="66" t="s">
        <v>7</v>
      </c>
    </row>
    <row r="36" spans="1:9" ht="20.100000000000001" customHeight="1" x14ac:dyDescent="0.2">
      <c r="A36" s="64" t="s">
        <v>179</v>
      </c>
      <c r="B36" s="65" t="s">
        <v>180</v>
      </c>
      <c r="C36" s="66" t="s">
        <v>97</v>
      </c>
    </row>
    <row r="37" spans="1:9" ht="30" customHeight="1" x14ac:dyDescent="0.2">
      <c r="A37" s="64" t="s">
        <v>181</v>
      </c>
      <c r="B37" s="65" t="s">
        <v>182</v>
      </c>
      <c r="C37" s="66" t="s">
        <v>66</v>
      </c>
    </row>
    <row r="38" spans="1:9" ht="20.100000000000001" customHeight="1" x14ac:dyDescent="0.2">
      <c r="A38" s="64" t="s">
        <v>183</v>
      </c>
      <c r="B38" s="65" t="s">
        <v>184</v>
      </c>
      <c r="C38" s="66" t="s">
        <v>71</v>
      </c>
    </row>
    <row r="39" spans="1:9" ht="20.100000000000001" customHeight="1" thickBot="1" x14ac:dyDescent="0.25">
      <c r="A39" s="160"/>
      <c r="B39" s="161" t="s">
        <v>185</v>
      </c>
      <c r="C39" s="162" t="s">
        <v>186</v>
      </c>
    </row>
    <row r="40" spans="1:9" ht="15" customHeight="1" x14ac:dyDescent="0.2"/>
    <row r="41" spans="1:9" ht="15" customHeight="1" x14ac:dyDescent="0.2">
      <c r="E41" s="53"/>
      <c r="F41" s="53"/>
      <c r="I41" s="53"/>
    </row>
    <row r="42" spans="1:9" ht="30" customHeight="1" x14ac:dyDescent="0.2">
      <c r="B42" s="53"/>
      <c r="C42" s="53"/>
      <c r="E42" s="53"/>
      <c r="F42" s="53"/>
      <c r="I42" s="53"/>
    </row>
    <row r="43" spans="1:9" ht="15" customHeight="1" x14ac:dyDescent="0.2">
      <c r="B43" s="53"/>
      <c r="C43" s="53"/>
      <c r="E43" s="53"/>
      <c r="F43" s="53"/>
      <c r="I43" s="53"/>
    </row>
    <row r="44" spans="1:9" ht="15" customHeight="1" x14ac:dyDescent="0.2">
      <c r="B44" s="53"/>
      <c r="C44" s="53"/>
      <c r="E44" s="53"/>
      <c r="F44" s="53"/>
      <c r="I44" s="53"/>
    </row>
    <row r="45" spans="1:9" ht="15" customHeight="1" x14ac:dyDescent="0.2">
      <c r="B45" s="53"/>
      <c r="C45" s="53"/>
      <c r="E45" s="53"/>
      <c r="F45" s="53"/>
      <c r="I45" s="53"/>
    </row>
    <row r="46" spans="1:9" ht="15" customHeight="1" x14ac:dyDescent="0.2">
      <c r="B46" s="53"/>
      <c r="C46" s="53"/>
      <c r="E46" s="53"/>
      <c r="F46" s="53"/>
      <c r="I46" s="53"/>
    </row>
    <row r="47" spans="1:9" ht="15" customHeight="1" x14ac:dyDescent="0.2">
      <c r="B47" s="53"/>
      <c r="C47" s="53"/>
      <c r="E47" s="53"/>
      <c r="F47" s="53"/>
      <c r="I47" s="53"/>
    </row>
    <row r="48" spans="1:9" ht="15" customHeight="1" x14ac:dyDescent="0.2">
      <c r="B48" s="53"/>
      <c r="C48" s="53"/>
      <c r="E48" s="53"/>
      <c r="F48" s="53"/>
      <c r="I48" s="53"/>
    </row>
    <row r="49" spans="2:9" ht="15" customHeight="1" x14ac:dyDescent="0.2">
      <c r="B49" s="53"/>
      <c r="C49" s="53"/>
      <c r="E49" s="53"/>
      <c r="F49" s="53"/>
      <c r="I49" s="53"/>
    </row>
    <row r="50" spans="2:9" ht="15" customHeight="1" x14ac:dyDescent="0.2">
      <c r="B50" s="53"/>
      <c r="C50" s="53"/>
      <c r="E50" s="53"/>
      <c r="F50" s="53"/>
      <c r="I50" s="53"/>
    </row>
    <row r="51" spans="2:9" ht="15" customHeight="1" x14ac:dyDescent="0.2">
      <c r="B51" s="53"/>
      <c r="C51" s="53"/>
      <c r="E51" s="53"/>
      <c r="F51" s="53"/>
      <c r="I51" s="53"/>
    </row>
    <row r="52" spans="2:9" ht="15" customHeight="1" x14ac:dyDescent="0.2">
      <c r="B52" s="53"/>
      <c r="C52" s="53"/>
      <c r="E52" s="53"/>
      <c r="F52" s="53"/>
      <c r="I52" s="53"/>
    </row>
    <row r="53" spans="2:9" ht="15" customHeight="1" x14ac:dyDescent="0.2">
      <c r="B53" s="53"/>
      <c r="C53" s="53"/>
      <c r="E53" s="53"/>
      <c r="F53" s="53"/>
      <c r="I53" s="53"/>
    </row>
    <row r="54" spans="2:9" ht="15" customHeight="1" x14ac:dyDescent="0.2">
      <c r="B54" s="53"/>
      <c r="C54" s="53"/>
      <c r="E54" s="53"/>
      <c r="F54" s="53"/>
      <c r="I54" s="53"/>
    </row>
    <row r="55" spans="2:9" ht="15" customHeight="1" x14ac:dyDescent="0.2">
      <c r="B55" s="53"/>
      <c r="C55" s="53"/>
      <c r="E55" s="53"/>
      <c r="F55" s="53"/>
      <c r="I55" s="53"/>
    </row>
    <row r="56" spans="2:9" ht="15" customHeight="1" x14ac:dyDescent="0.2">
      <c r="B56" s="53"/>
      <c r="C56" s="53"/>
      <c r="E56" s="53"/>
      <c r="F56" s="53"/>
      <c r="I56" s="53"/>
    </row>
    <row r="57" spans="2:9" ht="15" customHeight="1" x14ac:dyDescent="0.2">
      <c r="B57" s="53"/>
      <c r="C57" s="53"/>
      <c r="E57" s="53"/>
      <c r="F57" s="53"/>
      <c r="I57" s="53"/>
    </row>
    <row r="58" spans="2:9" ht="15" customHeight="1" x14ac:dyDescent="0.2">
      <c r="B58" s="53"/>
      <c r="C58" s="53"/>
      <c r="E58" s="53"/>
      <c r="F58" s="53"/>
      <c r="I58" s="53"/>
    </row>
    <row r="59" spans="2:9" ht="15" customHeight="1" x14ac:dyDescent="0.2">
      <c r="B59" s="53"/>
      <c r="C59" s="53"/>
      <c r="E59" s="53"/>
      <c r="F59" s="53"/>
      <c r="I59" s="53"/>
    </row>
    <row r="60" spans="2:9" ht="15" customHeight="1" x14ac:dyDescent="0.2">
      <c r="B60" s="53"/>
      <c r="C60" s="53"/>
      <c r="E60" s="53"/>
      <c r="F60" s="53"/>
      <c r="I60" s="53"/>
    </row>
    <row r="61" spans="2:9" ht="15" customHeight="1" x14ac:dyDescent="0.2">
      <c r="B61" s="53"/>
      <c r="C61" s="53"/>
      <c r="E61" s="53"/>
      <c r="F61" s="53"/>
      <c r="I61" s="53"/>
    </row>
    <row r="62" spans="2:9" ht="15" customHeight="1" x14ac:dyDescent="0.2">
      <c r="B62" s="53"/>
      <c r="C62" s="53"/>
      <c r="E62" s="53"/>
      <c r="F62" s="53"/>
      <c r="I62" s="53"/>
    </row>
    <row r="63" spans="2:9" ht="30" customHeight="1" x14ac:dyDescent="0.2">
      <c r="B63" s="53"/>
      <c r="C63" s="53"/>
      <c r="E63" s="53"/>
      <c r="F63" s="53"/>
      <c r="I63" s="53"/>
    </row>
    <row r="64" spans="2:9" ht="15" customHeight="1" x14ac:dyDescent="0.2">
      <c r="B64" s="53"/>
      <c r="C64" s="53"/>
      <c r="E64" s="53"/>
      <c r="F64" s="53"/>
      <c r="I64" s="53"/>
    </row>
    <row r="65" spans="2:6" ht="15" customHeight="1" x14ac:dyDescent="0.2">
      <c r="B65" s="53"/>
      <c r="C65" s="53"/>
      <c r="E65" s="53"/>
      <c r="F65" s="53"/>
    </row>
    <row r="66" spans="2:6" ht="15" customHeight="1" x14ac:dyDescent="0.2">
      <c r="B66" s="53"/>
      <c r="C66" s="53"/>
      <c r="E66" s="53"/>
      <c r="F66" s="53"/>
    </row>
    <row r="67" spans="2:6" ht="15" customHeight="1" x14ac:dyDescent="0.2">
      <c r="B67" s="53"/>
      <c r="C67" s="53"/>
      <c r="E67" s="53"/>
      <c r="F67" s="53"/>
    </row>
    <row r="68" spans="2:6" ht="15" customHeight="1" x14ac:dyDescent="0.2">
      <c r="B68" s="53"/>
      <c r="C68" s="53"/>
      <c r="E68" s="53"/>
      <c r="F68" s="53"/>
    </row>
    <row r="69" spans="2:6" ht="15" customHeight="1" x14ac:dyDescent="0.2">
      <c r="B69" s="53"/>
      <c r="C69" s="53"/>
      <c r="E69" s="53"/>
      <c r="F69" s="53"/>
    </row>
    <row r="70" spans="2:6" ht="15" customHeight="1" x14ac:dyDescent="0.2"/>
    <row r="71" spans="2:6" ht="15" customHeight="1" x14ac:dyDescent="0.2"/>
  </sheetData>
  <mergeCells count="2">
    <mergeCell ref="A1:C1"/>
    <mergeCell ref="A32:C32"/>
  </mergeCells>
  <printOptions horizontalCentered="1" verticalCentered="1"/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2021-2022 Parameters</vt:lpstr>
      <vt:lpstr>Net CONE</vt:lpstr>
      <vt:lpstr>Key Transmission Upgrades</vt:lpstr>
      <vt:lpstr>'2021-2022 Parameters'!Print_Area</vt:lpstr>
      <vt:lpstr>'Key Transmission Upgrades'!Print_Area</vt:lpstr>
      <vt:lpstr>'Net CONE'!Print_Area</vt:lpstr>
    </vt:vector>
  </TitlesOfParts>
  <Company>PJM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PJM User</dc:creator>
  <cp:lastModifiedBy>Bhavaraju, Murty P.</cp:lastModifiedBy>
  <cp:lastPrinted>2018-04-17T21:30:18Z</cp:lastPrinted>
  <dcterms:created xsi:type="dcterms:W3CDTF">2007-01-26T13:56:48Z</dcterms:created>
  <dcterms:modified xsi:type="dcterms:W3CDTF">2018-05-03T13:51:38Z</dcterms:modified>
</cp:coreProperties>
</file>