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marzes\My Documents\Postings\22-23 BRA\2022-01-06 Reposting fix PPL W-N Peak Load include UGI\"/>
    </mc:Choice>
  </mc:AlternateContent>
  <bookViews>
    <workbookView xWindow="288" yWindow="420" windowWidth="12240" windowHeight="8940" tabRatio="808"/>
  </bookViews>
  <sheets>
    <sheet name="Summary" sheetId="7" r:id="rId1"/>
    <sheet name="BRA Resource Clearing Results" sheetId="5" r:id="rId2"/>
    <sheet name="BRA Load Pricing Results" sheetId="1" r:id="rId3"/>
    <sheet name="BRA CTRs" sheetId="2" r:id="rId4"/>
    <sheet name="BRA ICTRs" sheetId="3" r:id="rId5"/>
  </sheets>
  <definedNames>
    <definedName name="_xlnm.Print_Area" localSheetId="3">'BRA CTRs'!$A$1:$AF$49</definedName>
    <definedName name="_xlnm.Print_Area" localSheetId="4">'BRA ICTRs'!$A$1:$AK$97</definedName>
    <definedName name="_xlnm.Print_Area" localSheetId="2">'BRA Load Pricing Results'!$A$1:$M$63</definedName>
    <definedName name="_xlnm.Print_Area" localSheetId="1">'BRA Resource Clearing Results'!$A$1:$G$80</definedName>
    <definedName name="_xlnm.Print_Area" localSheetId="0">Summary!#REF!</definedName>
  </definedNames>
  <calcPr calcId="162913"/>
</workbook>
</file>

<file path=xl/calcChain.xml><?xml version="1.0" encoding="utf-8"?>
<calcChain xmlns="http://schemas.openxmlformats.org/spreadsheetml/2006/main">
  <c r="E58" i="1" l="1"/>
  <c r="B21" i="1" l="1"/>
  <c r="B73" i="5"/>
  <c r="B53" i="5"/>
  <c r="E26" i="5"/>
  <c r="C17" i="1" l="1"/>
  <c r="J40" i="1"/>
  <c r="B59" i="7"/>
  <c r="E61" i="1" l="1"/>
  <c r="D15" i="1" l="1"/>
  <c r="F26" i="5" l="1"/>
  <c r="I32" i="2"/>
  <c r="G29" i="2"/>
  <c r="B45" i="5" l="1"/>
  <c r="E37" i="2"/>
  <c r="G37" i="2"/>
  <c r="I37" i="2"/>
  <c r="K37" i="2"/>
  <c r="M37" i="2"/>
  <c r="O37" i="2"/>
  <c r="Q37" i="2"/>
  <c r="S37" i="2"/>
  <c r="U37" i="2"/>
  <c r="W37" i="2"/>
  <c r="Y37" i="2"/>
  <c r="AA37" i="2"/>
  <c r="F54" i="1"/>
  <c r="AC37" i="2" l="1"/>
  <c r="AF37" i="2" s="1"/>
  <c r="E5" i="2" l="1"/>
  <c r="G51" i="1" l="1"/>
  <c r="G47" i="1" l="1"/>
  <c r="G49" i="1"/>
  <c r="G41" i="1"/>
  <c r="G61" i="1" l="1"/>
  <c r="F42" i="1"/>
  <c r="F43" i="1"/>
  <c r="F44" i="1"/>
  <c r="F45" i="1"/>
  <c r="F46" i="1"/>
  <c r="F48" i="1"/>
  <c r="F50" i="1"/>
  <c r="F52" i="1"/>
  <c r="F53" i="1"/>
  <c r="F55" i="1"/>
  <c r="F56" i="1"/>
  <c r="F57" i="1"/>
  <c r="F58" i="1"/>
  <c r="F59" i="1"/>
  <c r="F60" i="1"/>
  <c r="B32" i="3" l="1"/>
  <c r="D32" i="3"/>
  <c r="E32" i="3"/>
  <c r="G32" i="3"/>
  <c r="H32" i="3"/>
  <c r="I32" i="3"/>
  <c r="J32" i="3"/>
  <c r="K32" i="3"/>
  <c r="L32" i="3"/>
  <c r="M32" i="3"/>
  <c r="F32" i="3"/>
  <c r="M44" i="3" l="1"/>
  <c r="G12" i="2" s="1"/>
  <c r="L44" i="3"/>
  <c r="K44" i="3"/>
  <c r="J44" i="3"/>
  <c r="I44" i="3"/>
  <c r="H44" i="3"/>
  <c r="G44" i="3"/>
  <c r="F44" i="3"/>
  <c r="E44" i="3"/>
  <c r="D44" i="3"/>
  <c r="B44" i="3"/>
  <c r="C93" i="5" l="1"/>
  <c r="I26" i="2" l="1"/>
  <c r="I25" i="2"/>
  <c r="I24" i="2"/>
  <c r="I23" i="2"/>
  <c r="G24" i="2"/>
  <c r="F40" i="1"/>
  <c r="B24" i="7" l="1"/>
  <c r="M13" i="3"/>
  <c r="G6" i="2"/>
  <c r="H12" i="2" l="1"/>
  <c r="M46" i="3"/>
  <c r="G79" i="5" l="1"/>
  <c r="G78" i="5"/>
  <c r="I30" i="1" l="1"/>
  <c r="B7" i="1" s="1"/>
  <c r="E40" i="5" l="1"/>
  <c r="C59" i="5" s="1"/>
  <c r="E39" i="5"/>
  <c r="E38" i="5"/>
  <c r="E37" i="5"/>
  <c r="F37" i="5" s="1"/>
  <c r="B35" i="7" s="1"/>
  <c r="E36" i="5"/>
  <c r="C55" i="5" s="1"/>
  <c r="E35" i="5"/>
  <c r="F35" i="5" s="1"/>
  <c r="B33" i="7" s="1"/>
  <c r="E34" i="5"/>
  <c r="C53" i="5" s="1"/>
  <c r="E33" i="5"/>
  <c r="C52" i="5" s="1"/>
  <c r="E32" i="5"/>
  <c r="C51" i="5" s="1"/>
  <c r="E31" i="5"/>
  <c r="C50" i="5" s="1"/>
  <c r="E30" i="5"/>
  <c r="E29" i="5"/>
  <c r="E28" i="5"/>
  <c r="E27" i="5"/>
  <c r="B46" i="5"/>
  <c r="B47" i="5"/>
  <c r="B48" i="5"/>
  <c r="B49" i="5"/>
  <c r="B50" i="5"/>
  <c r="B51" i="5"/>
  <c r="B52" i="5"/>
  <c r="B54" i="5"/>
  <c r="B55" i="5"/>
  <c r="B56" i="5"/>
  <c r="B57" i="5"/>
  <c r="B58" i="5"/>
  <c r="B59" i="5"/>
  <c r="C45" i="5" l="1"/>
  <c r="D45" i="5" s="1"/>
  <c r="C49" i="5"/>
  <c r="F39" i="5"/>
  <c r="B37" i="7" s="1"/>
  <c r="C58" i="5"/>
  <c r="C46" i="5"/>
  <c r="D46" i="5" s="1"/>
  <c r="C47" i="5"/>
  <c r="D47" i="5" s="1"/>
  <c r="F28" i="5"/>
  <c r="B26" i="7" s="1"/>
  <c r="F38" i="5"/>
  <c r="B36" i="7" s="1"/>
  <c r="C57" i="5"/>
  <c r="F36" i="5"/>
  <c r="B34" i="7" s="1"/>
  <c r="F34" i="5"/>
  <c r="B32" i="7" s="1"/>
  <c r="F30" i="5"/>
  <c r="B28" i="7" s="1"/>
  <c r="C48" i="5"/>
  <c r="D48" i="5" s="1"/>
  <c r="F29" i="5"/>
  <c r="B27" i="7" s="1"/>
  <c r="F27" i="5"/>
  <c r="B25" i="7" s="1"/>
  <c r="D55" i="5"/>
  <c r="F31" i="5"/>
  <c r="B29" i="7" s="1"/>
  <c r="D52" i="5"/>
  <c r="D51" i="5"/>
  <c r="D53" i="5"/>
  <c r="D57" i="5"/>
  <c r="F32" i="5"/>
  <c r="B30" i="7" s="1"/>
  <c r="C54" i="5"/>
  <c r="D54" i="5" s="1"/>
  <c r="D58" i="5"/>
  <c r="D50" i="5"/>
  <c r="C28" i="1" s="1"/>
  <c r="F33" i="5"/>
  <c r="B31" i="7" s="1"/>
  <c r="C56" i="5"/>
  <c r="D56" i="5" s="1"/>
  <c r="F40" i="5"/>
  <c r="B38" i="7" s="1"/>
  <c r="D59" i="5"/>
  <c r="D49" i="5"/>
  <c r="D20" i="1"/>
  <c r="D60" i="5" l="1"/>
  <c r="C27" i="1"/>
  <c r="C29" i="1" s="1"/>
  <c r="C60" i="5"/>
  <c r="C33" i="1"/>
  <c r="AA43" i="2"/>
  <c r="AA42" i="2"/>
  <c r="AA41" i="2"/>
  <c r="AA40" i="2"/>
  <c r="AA39" i="2"/>
  <c r="AA38" i="2"/>
  <c r="AA36" i="2"/>
  <c r="AA35" i="2"/>
  <c r="AA34" i="2"/>
  <c r="AA33" i="2"/>
  <c r="AA32" i="2"/>
  <c r="AA31" i="2"/>
  <c r="AA29" i="2"/>
  <c r="AA28" i="2"/>
  <c r="AA27" i="2"/>
  <c r="AA26" i="2"/>
  <c r="AA25" i="2"/>
  <c r="AA24" i="2"/>
  <c r="Y43" i="2"/>
  <c r="AA23" i="2"/>
  <c r="Y42" i="2"/>
  <c r="Y41" i="2"/>
  <c r="Y40" i="2"/>
  <c r="Y39" i="2"/>
  <c r="Y38" i="2"/>
  <c r="Y36" i="2"/>
  <c r="Y35" i="2"/>
  <c r="Y34" i="2"/>
  <c r="Y33" i="2"/>
  <c r="Y32" i="2"/>
  <c r="Y31" i="2"/>
  <c r="Y30" i="2"/>
  <c r="Y28" i="2"/>
  <c r="Y27" i="2"/>
  <c r="Y26" i="2"/>
  <c r="Y25" i="2"/>
  <c r="Y24" i="2"/>
  <c r="Y23" i="2"/>
  <c r="W43" i="2"/>
  <c r="W42" i="2"/>
  <c r="W40" i="2"/>
  <c r="W39" i="2"/>
  <c r="W38" i="2"/>
  <c r="W36" i="2"/>
  <c r="W35" i="2"/>
  <c r="W34" i="2"/>
  <c r="W33" i="2"/>
  <c r="W32" i="2"/>
  <c r="W31" i="2"/>
  <c r="W30" i="2"/>
  <c r="W29" i="2"/>
  <c r="W28" i="2"/>
  <c r="W27" i="2"/>
  <c r="W26" i="2"/>
  <c r="W25" i="2"/>
  <c r="W24" i="2"/>
  <c r="W23" i="2"/>
  <c r="AB21" i="2"/>
  <c r="Z21" i="2"/>
  <c r="Z37" i="2" s="1"/>
  <c r="D13" i="3"/>
  <c r="B13" i="3"/>
  <c r="AB43" i="2" l="1"/>
  <c r="AB37" i="2"/>
  <c r="H6" i="2"/>
  <c r="Z26" i="2"/>
  <c r="Z43" i="2"/>
  <c r="AB25" i="2"/>
  <c r="AB29" i="2"/>
  <c r="AB34" i="2"/>
  <c r="AB39" i="2"/>
  <c r="Z30" i="2"/>
  <c r="Z34" i="2"/>
  <c r="Z39" i="2"/>
  <c r="Z42" i="2"/>
  <c r="D46" i="3"/>
  <c r="B46" i="3"/>
  <c r="AB27" i="2"/>
  <c r="AB32" i="2"/>
  <c r="AB36" i="2"/>
  <c r="AB41" i="2"/>
  <c r="AB24" i="2"/>
  <c r="AB28" i="2"/>
  <c r="AB33" i="2"/>
  <c r="AB38" i="2"/>
  <c r="AB42" i="2"/>
  <c r="AB23" i="2"/>
  <c r="AB26" i="2"/>
  <c r="AB31" i="2"/>
  <c r="AB35" i="2"/>
  <c r="AB40" i="2"/>
  <c r="Z23" i="2"/>
  <c r="Z27" i="2"/>
  <c r="Z31" i="2"/>
  <c r="Z35" i="2"/>
  <c r="Z40" i="2"/>
  <c r="Z24" i="2"/>
  <c r="Z28" i="2"/>
  <c r="Z32" i="2"/>
  <c r="Z36" i="2"/>
  <c r="Z41" i="2"/>
  <c r="Z25" i="2"/>
  <c r="Z33" i="2"/>
  <c r="Z38" i="2"/>
  <c r="G16" i="2"/>
  <c r="L13" i="3"/>
  <c r="E16" i="2"/>
  <c r="E15" i="2"/>
  <c r="E14" i="2"/>
  <c r="E13" i="2"/>
  <c r="C97" i="5"/>
  <c r="L46" i="3" l="1"/>
  <c r="H16" i="2"/>
  <c r="D22" i="1" l="1"/>
  <c r="J53" i="3" s="1"/>
  <c r="D21" i="1"/>
  <c r="F80" i="5"/>
  <c r="J62" i="3" l="1"/>
  <c r="J66" i="3"/>
  <c r="J70" i="3"/>
  <c r="J74" i="3"/>
  <c r="J61" i="3"/>
  <c r="J57" i="3"/>
  <c r="J68" i="3"/>
  <c r="J76" i="3"/>
  <c r="J55" i="3"/>
  <c r="B95" i="3"/>
  <c r="J65" i="3"/>
  <c r="J69" i="3"/>
  <c r="J77" i="3"/>
  <c r="J63" i="3"/>
  <c r="J67" i="3"/>
  <c r="J71" i="3"/>
  <c r="J75" i="3"/>
  <c r="J60" i="3"/>
  <c r="J56" i="3"/>
  <c r="J64" i="3"/>
  <c r="J72" i="3"/>
  <c r="J59" i="3"/>
  <c r="J73" i="3"/>
  <c r="J58" i="3"/>
  <c r="J78" i="3" l="1"/>
  <c r="C95" i="3" s="1"/>
  <c r="D97" i="5"/>
  <c r="C96" i="5"/>
  <c r="D96" i="5" s="1"/>
  <c r="B19" i="5" l="1"/>
  <c r="C22" i="1" s="1"/>
  <c r="B18" i="5"/>
  <c r="G10" i="2"/>
  <c r="C94" i="5"/>
  <c r="D94" i="5" s="1"/>
  <c r="D93" i="5"/>
  <c r="C85" i="5"/>
  <c r="D85" i="5" s="1"/>
  <c r="C89" i="5"/>
  <c r="C84" i="5"/>
  <c r="D84" i="5" s="1"/>
  <c r="I42" i="2"/>
  <c r="K23" i="2"/>
  <c r="M23" i="2"/>
  <c r="M35" i="2"/>
  <c r="Q35" i="2"/>
  <c r="D34" i="1"/>
  <c r="D33" i="1"/>
  <c r="D31" i="1"/>
  <c r="G53" i="3" s="1"/>
  <c r="D27" i="1"/>
  <c r="E53" i="3" s="1"/>
  <c r="B65" i="5"/>
  <c r="E24" i="2"/>
  <c r="E13" i="3"/>
  <c r="B79" i="5"/>
  <c r="B78" i="5"/>
  <c r="B77" i="5"/>
  <c r="B76" i="5"/>
  <c r="B75" i="5"/>
  <c r="B74" i="5"/>
  <c r="B72" i="5"/>
  <c r="B71" i="5"/>
  <c r="B70" i="5"/>
  <c r="B69" i="5"/>
  <c r="B68" i="5"/>
  <c r="B67" i="5"/>
  <c r="B66" i="5"/>
  <c r="D28" i="1"/>
  <c r="G13" i="3"/>
  <c r="F13" i="3"/>
  <c r="I13" i="3"/>
  <c r="H9" i="2" s="1"/>
  <c r="C14" i="2"/>
  <c r="K13" i="3"/>
  <c r="H13" i="2" s="1"/>
  <c r="U43" i="2"/>
  <c r="U42" i="2"/>
  <c r="U41" i="2"/>
  <c r="U40" i="2"/>
  <c r="U39" i="2"/>
  <c r="U38" i="2"/>
  <c r="U36" i="2"/>
  <c r="U35" i="2"/>
  <c r="U34" i="2"/>
  <c r="U33" i="2"/>
  <c r="U32" i="2"/>
  <c r="U31" i="2"/>
  <c r="U30" i="2"/>
  <c r="U29" i="2"/>
  <c r="U28" i="2"/>
  <c r="U26" i="2"/>
  <c r="U25" i="2"/>
  <c r="U24" i="2"/>
  <c r="U23" i="2"/>
  <c r="S43" i="2"/>
  <c r="S42" i="2"/>
  <c r="S41" i="2"/>
  <c r="S40" i="2"/>
  <c r="S39" i="2"/>
  <c r="S38" i="2"/>
  <c r="S36" i="2"/>
  <c r="S35" i="2"/>
  <c r="S34" i="2"/>
  <c r="S33" i="2"/>
  <c r="S32" i="2"/>
  <c r="S31" i="2"/>
  <c r="S30" i="2"/>
  <c r="S29" i="2"/>
  <c r="S27" i="2"/>
  <c r="S26" i="2"/>
  <c r="S25" i="2"/>
  <c r="S24" i="2"/>
  <c r="S23" i="2"/>
  <c r="X21" i="2"/>
  <c r="V21" i="2"/>
  <c r="V37" i="2" s="1"/>
  <c r="T21" i="2"/>
  <c r="T37" i="2" s="1"/>
  <c r="E12" i="2"/>
  <c r="C95" i="5"/>
  <c r="D95" i="5" s="1"/>
  <c r="D18" i="1"/>
  <c r="K53" i="3" s="1"/>
  <c r="D13" i="1"/>
  <c r="C13" i="1"/>
  <c r="B17" i="5"/>
  <c r="D17" i="5" s="1"/>
  <c r="B16" i="5"/>
  <c r="B15" i="5"/>
  <c r="D5" i="5"/>
  <c r="E45" i="5" s="1"/>
  <c r="D19" i="1"/>
  <c r="J13" i="3"/>
  <c r="H10" i="2" s="1"/>
  <c r="H13" i="3"/>
  <c r="E34" i="2"/>
  <c r="Q34" i="2"/>
  <c r="O34" i="2"/>
  <c r="M34" i="2"/>
  <c r="K34" i="2"/>
  <c r="I34" i="2"/>
  <c r="G34" i="2"/>
  <c r="C92" i="5"/>
  <c r="D92" i="5" s="1"/>
  <c r="B14" i="5"/>
  <c r="D14" i="5" s="1"/>
  <c r="E10" i="2"/>
  <c r="E7" i="2"/>
  <c r="E6" i="2"/>
  <c r="Q43" i="2"/>
  <c r="Q42" i="2"/>
  <c r="Q41" i="2"/>
  <c r="Q40" i="2"/>
  <c r="Q39" i="2"/>
  <c r="Q38" i="2"/>
  <c r="Q36" i="2"/>
  <c r="Q33" i="2"/>
  <c r="Q32" i="2"/>
  <c r="Q31" i="2"/>
  <c r="Q30" i="2"/>
  <c r="Q29" i="2"/>
  <c r="Q28" i="2"/>
  <c r="Q27" i="2"/>
  <c r="Q25" i="2"/>
  <c r="Q24" i="2"/>
  <c r="Q23" i="2"/>
  <c r="B13" i="5"/>
  <c r="C86" i="5"/>
  <c r="D86" i="5" s="1"/>
  <c r="C88" i="5"/>
  <c r="D88" i="5" s="1"/>
  <c r="C90" i="5"/>
  <c r="D90" i="5" s="1"/>
  <c r="I28" i="2"/>
  <c r="I29" i="2"/>
  <c r="I30" i="2"/>
  <c r="I31" i="2"/>
  <c r="I33" i="2"/>
  <c r="I35" i="2"/>
  <c r="I36" i="2"/>
  <c r="I38" i="2"/>
  <c r="I39" i="2"/>
  <c r="I41" i="2"/>
  <c r="I43" i="2"/>
  <c r="G25" i="2"/>
  <c r="G26" i="2"/>
  <c r="G27" i="2"/>
  <c r="G28" i="2"/>
  <c r="G30" i="2"/>
  <c r="G31" i="2"/>
  <c r="G32" i="2"/>
  <c r="G36" i="2"/>
  <c r="G39" i="2"/>
  <c r="G40" i="2"/>
  <c r="G41" i="2"/>
  <c r="E25" i="2"/>
  <c r="E26" i="2"/>
  <c r="E28" i="2"/>
  <c r="E29" i="2"/>
  <c r="E30" i="2"/>
  <c r="E31" i="2"/>
  <c r="E32" i="2"/>
  <c r="P21" i="2"/>
  <c r="P37" i="2" s="1"/>
  <c r="J21" i="2"/>
  <c r="J37" i="2" s="1"/>
  <c r="H21" i="2"/>
  <c r="H37" i="2" s="1"/>
  <c r="B12" i="5"/>
  <c r="D12" i="5" s="1"/>
  <c r="B12" i="7" s="1"/>
  <c r="B11" i="5"/>
  <c r="B10" i="5"/>
  <c r="B9" i="5"/>
  <c r="B8" i="5"/>
  <c r="B7" i="5"/>
  <c r="D7" i="5" s="1"/>
  <c r="B6" i="5"/>
  <c r="D6" i="5" s="1"/>
  <c r="O30" i="2"/>
  <c r="M31" i="2"/>
  <c r="K31" i="2"/>
  <c r="M30" i="2"/>
  <c r="K30" i="2"/>
  <c r="K29" i="2"/>
  <c r="O31" i="2"/>
  <c r="O39" i="2"/>
  <c r="O38" i="2"/>
  <c r="O36" i="2"/>
  <c r="O35" i="2"/>
  <c r="O33" i="2"/>
  <c r="O32" i="2"/>
  <c r="O29" i="2"/>
  <c r="O28" i="2"/>
  <c r="O27" i="2"/>
  <c r="O26" i="2"/>
  <c r="O25" i="2"/>
  <c r="O24" i="2"/>
  <c r="O23" i="2"/>
  <c r="M24" i="2"/>
  <c r="O43" i="2"/>
  <c r="O42" i="2"/>
  <c r="O41" i="2"/>
  <c r="K43" i="2"/>
  <c r="K41" i="2"/>
  <c r="K40" i="2"/>
  <c r="K39" i="2"/>
  <c r="K38" i="2"/>
  <c r="K36" i="2"/>
  <c r="K35" i="2"/>
  <c r="K33" i="2"/>
  <c r="K32" i="2"/>
  <c r="K28" i="2"/>
  <c r="K27" i="2"/>
  <c r="K26" i="2"/>
  <c r="K25" i="2"/>
  <c r="K24" i="2"/>
  <c r="M43" i="2"/>
  <c r="M42" i="2"/>
  <c r="M41" i="2"/>
  <c r="M40" i="2"/>
  <c r="M39" i="2"/>
  <c r="M38" i="2"/>
  <c r="M36" i="2"/>
  <c r="M32" i="2"/>
  <c r="M29" i="2"/>
  <c r="M28" i="2"/>
  <c r="M27" i="2"/>
  <c r="M26" i="2"/>
  <c r="M25" i="2"/>
  <c r="F21" i="2"/>
  <c r="F37" i="2" s="1"/>
  <c r="D16" i="1"/>
  <c r="C91" i="5"/>
  <c r="D91" i="5" s="1"/>
  <c r="D17" i="1"/>
  <c r="D14" i="1"/>
  <c r="B53" i="3" s="1"/>
  <c r="C53" i="3"/>
  <c r="C87" i="5"/>
  <c r="D87" i="5" s="1"/>
  <c r="H31" i="2" l="1"/>
  <c r="B6" i="7"/>
  <c r="E46" i="5"/>
  <c r="C61" i="3"/>
  <c r="B88" i="3"/>
  <c r="C58" i="3"/>
  <c r="C74" i="3"/>
  <c r="C76" i="3"/>
  <c r="C73" i="3"/>
  <c r="C64" i="3"/>
  <c r="C60" i="3"/>
  <c r="C63" i="3"/>
  <c r="C62" i="3"/>
  <c r="C72" i="3"/>
  <c r="C71" i="3"/>
  <c r="C77" i="3"/>
  <c r="C56" i="3"/>
  <c r="C57" i="3"/>
  <c r="C65" i="3"/>
  <c r="C70" i="3"/>
  <c r="C66" i="3"/>
  <c r="C68" i="3"/>
  <c r="C69" i="3"/>
  <c r="C67" i="3"/>
  <c r="C75" i="3"/>
  <c r="C55" i="3"/>
  <c r="C59" i="3"/>
  <c r="B7" i="7"/>
  <c r="E69" i="3"/>
  <c r="B90" i="3"/>
  <c r="E73" i="3"/>
  <c r="E76" i="3"/>
  <c r="E70" i="3"/>
  <c r="E56" i="3"/>
  <c r="E60" i="3"/>
  <c r="E67" i="3"/>
  <c r="E55" i="3"/>
  <c r="E72" i="3"/>
  <c r="E71" i="3"/>
  <c r="E66" i="3"/>
  <c r="E74" i="3"/>
  <c r="E62" i="3"/>
  <c r="E57" i="3"/>
  <c r="E65" i="3"/>
  <c r="E61" i="3"/>
  <c r="E64" i="3"/>
  <c r="E58" i="3"/>
  <c r="E75" i="3"/>
  <c r="E77" i="3"/>
  <c r="E63" i="3"/>
  <c r="E59" i="3"/>
  <c r="E68" i="3"/>
  <c r="D53" i="3"/>
  <c r="K74" i="3"/>
  <c r="K70" i="3"/>
  <c r="K66" i="3"/>
  <c r="K62" i="3"/>
  <c r="K58" i="3"/>
  <c r="B96" i="3"/>
  <c r="K72" i="3"/>
  <c r="K64" i="3"/>
  <c r="K56" i="3"/>
  <c r="K67" i="3"/>
  <c r="K59" i="3"/>
  <c r="K77" i="3"/>
  <c r="K73" i="3"/>
  <c r="K69" i="3"/>
  <c r="K65" i="3"/>
  <c r="K61" i="3"/>
  <c r="K57" i="3"/>
  <c r="K76" i="3"/>
  <c r="K68" i="3"/>
  <c r="K60" i="3"/>
  <c r="K75" i="3"/>
  <c r="K71" i="3"/>
  <c r="K63" i="3"/>
  <c r="K55" i="3"/>
  <c r="B92" i="3"/>
  <c r="G62" i="3"/>
  <c r="G64" i="3"/>
  <c r="G66" i="3"/>
  <c r="G68" i="3"/>
  <c r="G70" i="3"/>
  <c r="G72" i="3"/>
  <c r="G74" i="3"/>
  <c r="G76" i="3"/>
  <c r="G57" i="3"/>
  <c r="G60" i="3"/>
  <c r="G63" i="3"/>
  <c r="G65" i="3"/>
  <c r="G69" i="3"/>
  <c r="G73" i="3"/>
  <c r="G56" i="3"/>
  <c r="G59" i="3"/>
  <c r="G61" i="3"/>
  <c r="G77" i="3"/>
  <c r="G67" i="3"/>
  <c r="G71" i="3"/>
  <c r="G75" i="3"/>
  <c r="G58" i="3"/>
  <c r="G55" i="3"/>
  <c r="H53" i="3"/>
  <c r="I53" i="3"/>
  <c r="X37" i="2"/>
  <c r="F53" i="3"/>
  <c r="F24" i="2"/>
  <c r="D89" i="5"/>
  <c r="E9" i="2" s="1"/>
  <c r="E57" i="5"/>
  <c r="B17" i="7"/>
  <c r="E54" i="5"/>
  <c r="B14" i="7"/>
  <c r="B5" i="7"/>
  <c r="D10" i="5"/>
  <c r="D13" i="5"/>
  <c r="E53" i="5" s="1"/>
  <c r="D8" i="5"/>
  <c r="D9" i="5"/>
  <c r="E49" i="5" s="1"/>
  <c r="E47" i="5"/>
  <c r="D11" i="5"/>
  <c r="J46" i="3"/>
  <c r="C65" i="5"/>
  <c r="G65" i="5" s="1"/>
  <c r="C20" i="1"/>
  <c r="P36" i="2"/>
  <c r="P43" i="2"/>
  <c r="P25" i="2"/>
  <c r="P29" i="2"/>
  <c r="D18" i="5"/>
  <c r="B18" i="7" s="1"/>
  <c r="C21" i="1"/>
  <c r="C31" i="1"/>
  <c r="C32" i="1" s="1"/>
  <c r="C15" i="1"/>
  <c r="X26" i="2"/>
  <c r="X25" i="2"/>
  <c r="X43" i="2"/>
  <c r="X23" i="2"/>
  <c r="X24" i="2"/>
  <c r="X39" i="2"/>
  <c r="AC25" i="2"/>
  <c r="AF25" i="2" s="1"/>
  <c r="K46" i="3"/>
  <c r="G7" i="2"/>
  <c r="F46" i="3"/>
  <c r="G46" i="3"/>
  <c r="H7" i="2"/>
  <c r="H46" i="3"/>
  <c r="AC34" i="2"/>
  <c r="AF34" i="2" s="1"/>
  <c r="AC31" i="2"/>
  <c r="AF31" i="2" s="1"/>
  <c r="AC32" i="2"/>
  <c r="AF32" i="2" s="1"/>
  <c r="AC24" i="2"/>
  <c r="AF24" i="2" s="1"/>
  <c r="E46" i="3"/>
  <c r="G13" i="2"/>
  <c r="H39" i="2"/>
  <c r="P42" i="2"/>
  <c r="P24" i="2"/>
  <c r="P28" i="2"/>
  <c r="P35" i="2"/>
  <c r="P31" i="2"/>
  <c r="C16" i="2"/>
  <c r="C15" i="2"/>
  <c r="V42" i="2"/>
  <c r="C14" i="1"/>
  <c r="C18" i="1"/>
  <c r="D15" i="5"/>
  <c r="T23" i="2"/>
  <c r="T27" i="2"/>
  <c r="T32" i="2"/>
  <c r="T36" i="2"/>
  <c r="T41" i="2"/>
  <c r="V24" i="2"/>
  <c r="V29" i="2"/>
  <c r="V33" i="2"/>
  <c r="V38" i="2"/>
  <c r="E52" i="5"/>
  <c r="C19" i="1"/>
  <c r="D16" i="5"/>
  <c r="D19" i="5"/>
  <c r="V32" i="2"/>
  <c r="C10" i="2"/>
  <c r="H30" i="2"/>
  <c r="C5" i="2"/>
  <c r="V25" i="2"/>
  <c r="V39" i="2"/>
  <c r="C67" i="5"/>
  <c r="G67" i="5" s="1"/>
  <c r="C13" i="2"/>
  <c r="H40" i="2"/>
  <c r="C12" i="2"/>
  <c r="F26" i="2"/>
  <c r="H24" i="2"/>
  <c r="C7" i="2"/>
  <c r="P26" i="2"/>
  <c r="C16" i="1"/>
  <c r="E11" i="2"/>
  <c r="P41" i="2"/>
  <c r="P27" i="2"/>
  <c r="P33" i="2"/>
  <c r="P39" i="2"/>
  <c r="H27" i="2"/>
  <c r="F31" i="2"/>
  <c r="T31" i="2"/>
  <c r="V23" i="2"/>
  <c r="V28" i="2"/>
  <c r="V36" i="2"/>
  <c r="V41" i="2"/>
  <c r="B80" i="5"/>
  <c r="P32" i="2"/>
  <c r="P38" i="2"/>
  <c r="P30" i="2"/>
  <c r="P34" i="2"/>
  <c r="V26" i="2"/>
  <c r="V31" i="2"/>
  <c r="V35" i="2"/>
  <c r="J23" i="2"/>
  <c r="H32" i="2"/>
  <c r="H28" i="2"/>
  <c r="H29" i="2"/>
  <c r="C74" i="5"/>
  <c r="G74" i="5" s="1"/>
  <c r="V30" i="2"/>
  <c r="J42" i="2"/>
  <c r="H41" i="2"/>
  <c r="H25" i="2"/>
  <c r="H34" i="2"/>
  <c r="H36" i="2"/>
  <c r="H26" i="2"/>
  <c r="C6" i="2"/>
  <c r="T25" i="2"/>
  <c r="T30" i="2"/>
  <c r="T34" i="2"/>
  <c r="T39" i="2"/>
  <c r="T43" i="2"/>
  <c r="V40" i="2"/>
  <c r="V43" i="2"/>
  <c r="X27" i="2"/>
  <c r="X40" i="2"/>
  <c r="X42" i="2"/>
  <c r="T26" i="2"/>
  <c r="T35" i="2"/>
  <c r="T40" i="2"/>
  <c r="V34" i="2"/>
  <c r="X28" i="2"/>
  <c r="X32" i="2"/>
  <c r="X36" i="2"/>
  <c r="B60" i="5"/>
  <c r="C69" i="5"/>
  <c r="G69" i="5" s="1"/>
  <c r="C77" i="5"/>
  <c r="G77" i="5" s="1"/>
  <c r="P23" i="2"/>
  <c r="C68" i="5"/>
  <c r="G68" i="5" s="1"/>
  <c r="J43" i="2"/>
  <c r="J36" i="2"/>
  <c r="J31" i="2"/>
  <c r="J26" i="2"/>
  <c r="D98" i="5"/>
  <c r="J39" i="2"/>
  <c r="J33" i="2"/>
  <c r="J29" i="2"/>
  <c r="J24" i="2"/>
  <c r="E8" i="2"/>
  <c r="F34" i="2"/>
  <c r="F25" i="2"/>
  <c r="F28" i="2"/>
  <c r="F30" i="2"/>
  <c r="F32" i="2"/>
  <c r="F29" i="2"/>
  <c r="J41" i="2"/>
  <c r="J35" i="2"/>
  <c r="J30" i="2"/>
  <c r="J25" i="2"/>
  <c r="J34" i="2"/>
  <c r="X29" i="2"/>
  <c r="X33" i="2"/>
  <c r="X38" i="2"/>
  <c r="J38" i="2"/>
  <c r="J32" i="2"/>
  <c r="J28" i="2"/>
  <c r="T24" i="2"/>
  <c r="T29" i="2"/>
  <c r="T33" i="2"/>
  <c r="T38" i="2"/>
  <c r="T42" i="2"/>
  <c r="X30" i="2"/>
  <c r="X34" i="2"/>
  <c r="X31" i="2"/>
  <c r="X35" i="2"/>
  <c r="C78" i="3" l="1"/>
  <c r="C88" i="3" s="1"/>
  <c r="C9" i="2"/>
  <c r="B19" i="7"/>
  <c r="H59" i="3"/>
  <c r="H55" i="3"/>
  <c r="H61" i="3"/>
  <c r="H77" i="3"/>
  <c r="H67" i="3"/>
  <c r="H71" i="3"/>
  <c r="H75" i="3"/>
  <c r="H57" i="3"/>
  <c r="B93" i="3"/>
  <c r="H62" i="3"/>
  <c r="H64" i="3"/>
  <c r="H66" i="3"/>
  <c r="H68" i="3"/>
  <c r="H70" i="3"/>
  <c r="H72" i="3"/>
  <c r="H74" i="3"/>
  <c r="H76" i="3"/>
  <c r="H58" i="3"/>
  <c r="H56" i="3"/>
  <c r="H63" i="3"/>
  <c r="H65" i="3"/>
  <c r="H69" i="3"/>
  <c r="H73" i="3"/>
  <c r="H60" i="3"/>
  <c r="E78" i="3"/>
  <c r="C90" i="3" s="1"/>
  <c r="B16" i="7"/>
  <c r="G78" i="3"/>
  <c r="C92" i="3" s="1"/>
  <c r="K78" i="3"/>
  <c r="C96" i="3" s="1"/>
  <c r="D64" i="3"/>
  <c r="B89" i="3"/>
  <c r="D73" i="3"/>
  <c r="D76" i="3"/>
  <c r="D70" i="3"/>
  <c r="D59" i="3"/>
  <c r="D55" i="3"/>
  <c r="D56" i="3"/>
  <c r="D77" i="3"/>
  <c r="D75" i="3"/>
  <c r="D68" i="3"/>
  <c r="D63" i="3"/>
  <c r="D62" i="3"/>
  <c r="D65" i="3"/>
  <c r="D61" i="3"/>
  <c r="D71" i="3"/>
  <c r="D74" i="3"/>
  <c r="D66" i="3"/>
  <c r="D60" i="3"/>
  <c r="D57" i="3"/>
  <c r="D69" i="3"/>
  <c r="D67" i="3"/>
  <c r="D72" i="3"/>
  <c r="D58" i="3"/>
  <c r="B94" i="3"/>
  <c r="I59" i="3"/>
  <c r="I62" i="3"/>
  <c r="I66" i="3"/>
  <c r="I70" i="3"/>
  <c r="I74" i="3"/>
  <c r="I61" i="3"/>
  <c r="I68" i="3"/>
  <c r="I76" i="3"/>
  <c r="I60" i="3"/>
  <c r="I65" i="3"/>
  <c r="I73" i="3"/>
  <c r="I58" i="3"/>
  <c r="I63" i="3"/>
  <c r="I67" i="3"/>
  <c r="I71" i="3"/>
  <c r="I75" i="3"/>
  <c r="I55" i="3"/>
  <c r="I57" i="3"/>
  <c r="I64" i="3"/>
  <c r="I72" i="3"/>
  <c r="I56" i="3"/>
  <c r="I69" i="3"/>
  <c r="I77" i="3"/>
  <c r="F77" i="3"/>
  <c r="B91" i="3"/>
  <c r="F71" i="3"/>
  <c r="F66" i="3"/>
  <c r="F74" i="3"/>
  <c r="F58" i="3"/>
  <c r="F62" i="3"/>
  <c r="F73" i="3"/>
  <c r="F68" i="3"/>
  <c r="F56" i="3"/>
  <c r="F65" i="3"/>
  <c r="F59" i="3"/>
  <c r="F67" i="3"/>
  <c r="F76" i="3"/>
  <c r="F70" i="3"/>
  <c r="F60" i="3"/>
  <c r="F57" i="3"/>
  <c r="F69" i="3"/>
  <c r="F64" i="3"/>
  <c r="F63" i="3"/>
  <c r="F61" i="3"/>
  <c r="F55" i="3"/>
  <c r="F72" i="3"/>
  <c r="F75" i="3"/>
  <c r="C73" i="5"/>
  <c r="G73" i="5" s="1"/>
  <c r="E50" i="5"/>
  <c r="B10" i="7"/>
  <c r="E48" i="5"/>
  <c r="B8" i="7"/>
  <c r="C70" i="5"/>
  <c r="G70" i="5" s="1"/>
  <c r="B13" i="7"/>
  <c r="E51" i="5"/>
  <c r="B11" i="7"/>
  <c r="C71" i="5"/>
  <c r="G71" i="5" s="1"/>
  <c r="C75" i="5"/>
  <c r="G75" i="5" s="1"/>
  <c r="B15" i="7"/>
  <c r="B9" i="7"/>
  <c r="E56" i="5"/>
  <c r="E55" i="5"/>
  <c r="E59" i="5"/>
  <c r="E58" i="5"/>
  <c r="C76" i="5"/>
  <c r="G76" i="5" s="1"/>
  <c r="C66" i="5"/>
  <c r="G66" i="5" s="1"/>
  <c r="C34" i="1"/>
  <c r="C72" i="5"/>
  <c r="G72" i="5" s="1"/>
  <c r="D32" i="1" l="1"/>
  <c r="N21" i="2" s="1"/>
  <c r="N32" i="2" s="1"/>
  <c r="E60" i="5"/>
  <c r="I78" i="3"/>
  <c r="C94" i="3" s="1"/>
  <c r="H78" i="3"/>
  <c r="C93" i="3" s="1"/>
  <c r="F78" i="3"/>
  <c r="C91" i="3" s="1"/>
  <c r="D78" i="3"/>
  <c r="C89" i="3" s="1"/>
  <c r="G80" i="5"/>
  <c r="C35" i="1"/>
  <c r="D35" i="1" s="1"/>
  <c r="C80" i="5"/>
  <c r="C8" i="2"/>
  <c r="D80" i="5"/>
  <c r="N40" i="2" l="1"/>
  <c r="N34" i="2"/>
  <c r="N35" i="2"/>
  <c r="N23" i="2"/>
  <c r="N28" i="2"/>
  <c r="N41" i="2"/>
  <c r="N30" i="2"/>
  <c r="N24" i="2"/>
  <c r="N39" i="2"/>
  <c r="N31" i="2"/>
  <c r="N25" i="2"/>
  <c r="N26" i="2"/>
  <c r="N36" i="2"/>
  <c r="N38" i="2"/>
  <c r="N37" i="2"/>
  <c r="N27" i="2"/>
  <c r="N29" i="2"/>
  <c r="N43" i="2"/>
  <c r="N42" i="2"/>
  <c r="C11" i="2"/>
  <c r="D29" i="1"/>
  <c r="E80" i="5"/>
  <c r="R21" i="2" l="1"/>
  <c r="R37" i="2" s="1"/>
  <c r="L21" i="2"/>
  <c r="L37" i="2" s="1"/>
  <c r="AD37" i="2" l="1"/>
  <c r="H8" i="2"/>
  <c r="G8" i="2"/>
  <c r="R43" i="2"/>
  <c r="R31" i="2"/>
  <c r="R25" i="2"/>
  <c r="R42" i="2"/>
  <c r="R38" i="2"/>
  <c r="R40" i="2"/>
  <c r="R27" i="2"/>
  <c r="R24" i="2"/>
  <c r="R34" i="2"/>
  <c r="R28" i="2"/>
  <c r="R39" i="2"/>
  <c r="R29" i="2"/>
  <c r="R35" i="2"/>
  <c r="R30" i="2"/>
  <c r="R36" i="2"/>
  <c r="R41" i="2"/>
  <c r="R32" i="2"/>
  <c r="R33" i="2"/>
  <c r="R23" i="2"/>
  <c r="L39" i="2"/>
  <c r="L23" i="2"/>
  <c r="L41" i="2"/>
  <c r="L29" i="2"/>
  <c r="L36" i="2"/>
  <c r="L30" i="2"/>
  <c r="L38" i="2"/>
  <c r="L27" i="2"/>
  <c r="L33" i="2"/>
  <c r="L35" i="2"/>
  <c r="L32" i="2"/>
  <c r="L43" i="2"/>
  <c r="L31" i="2"/>
  <c r="L26" i="2"/>
  <c r="L28" i="2"/>
  <c r="L40" i="2"/>
  <c r="L25" i="2"/>
  <c r="L24" i="2"/>
  <c r="L34" i="2"/>
  <c r="AD25" i="2" l="1"/>
  <c r="I46" i="3"/>
  <c r="AD24" i="2"/>
  <c r="AD31" i="2"/>
  <c r="AD32" i="2"/>
  <c r="AD34" i="2"/>
  <c r="G9" i="2" l="1"/>
  <c r="B8" i="1" l="1"/>
  <c r="H60" i="1" l="1"/>
  <c r="I60" i="1" s="1"/>
  <c r="H54" i="1"/>
  <c r="I54" i="1" s="1"/>
  <c r="J54" i="1" s="1"/>
  <c r="H44" i="1"/>
  <c r="I44" i="1" s="1"/>
  <c r="H51" i="1"/>
  <c r="I51" i="1" s="1"/>
  <c r="J51" i="1" s="1"/>
  <c r="B56" i="7" s="1"/>
  <c r="H46" i="1"/>
  <c r="I46" i="1" s="1"/>
  <c r="J46" i="1" s="1"/>
  <c r="H47" i="1"/>
  <c r="I47" i="1" s="1"/>
  <c r="J47" i="1" s="1"/>
  <c r="B16" i="2" s="1"/>
  <c r="D16" i="2" s="1"/>
  <c r="F16" i="2" s="1"/>
  <c r="I16" i="2" s="1"/>
  <c r="AA30" i="2" s="1"/>
  <c r="H50" i="1"/>
  <c r="I50" i="1" s="1"/>
  <c r="H53" i="1"/>
  <c r="I53" i="1" s="1"/>
  <c r="J53" i="1" s="1"/>
  <c r="B58" i="7" s="1"/>
  <c r="H56" i="1"/>
  <c r="I56" i="1" s="1"/>
  <c r="J56" i="1" s="1"/>
  <c r="B61" i="7" s="1"/>
  <c r="H52" i="1"/>
  <c r="I52" i="1" s="1"/>
  <c r="J52" i="1" s="1"/>
  <c r="H59" i="1"/>
  <c r="I59" i="1" s="1"/>
  <c r="J59" i="1" s="1"/>
  <c r="B8" i="2" s="1"/>
  <c r="F8" i="2" s="1"/>
  <c r="I8" i="2" s="1"/>
  <c r="K42" i="2" s="1"/>
  <c r="L42" i="2" s="1"/>
  <c r="H42" i="1"/>
  <c r="I42" i="1" s="1"/>
  <c r="J42" i="1" s="1"/>
  <c r="B47" i="7" s="1"/>
  <c r="H45" i="1"/>
  <c r="I45" i="1" s="1"/>
  <c r="J45" i="1" s="1"/>
  <c r="H48" i="1"/>
  <c r="I48" i="1" s="1"/>
  <c r="J48" i="1" s="1"/>
  <c r="B53" i="7" s="1"/>
  <c r="H40" i="1"/>
  <c r="I40" i="1" s="1"/>
  <c r="H49" i="1"/>
  <c r="I49" i="1" s="1"/>
  <c r="J49" i="1" s="1"/>
  <c r="B54" i="7" s="1"/>
  <c r="H55" i="1"/>
  <c r="I55" i="1" s="1"/>
  <c r="J55" i="1" s="1"/>
  <c r="B60" i="7" s="1"/>
  <c r="H57" i="1"/>
  <c r="I57" i="1" s="1"/>
  <c r="H58" i="1"/>
  <c r="I58" i="1" s="1"/>
  <c r="J58" i="1" s="1"/>
  <c r="H43" i="1"/>
  <c r="I43" i="1" s="1"/>
  <c r="J43" i="1" s="1"/>
  <c r="B48" i="7" s="1"/>
  <c r="H41" i="1"/>
  <c r="I41" i="1" s="1"/>
  <c r="J41" i="1" s="1"/>
  <c r="B46" i="7" s="1"/>
  <c r="B57" i="7"/>
  <c r="J44" i="1"/>
  <c r="B14" i="2" l="1"/>
  <c r="D14" i="2" s="1"/>
  <c r="F14" i="2" s="1"/>
  <c r="I14" i="2" s="1"/>
  <c r="W41" i="2" s="1"/>
  <c r="X41" i="2" s="1"/>
  <c r="B20" i="1"/>
  <c r="B15" i="2"/>
  <c r="D15" i="2" s="1"/>
  <c r="F15" i="2" s="1"/>
  <c r="I15" i="2" s="1"/>
  <c r="Y29" i="2" s="1"/>
  <c r="AC29" i="2" s="1"/>
  <c r="B22" i="1"/>
  <c r="B64" i="7"/>
  <c r="B50" i="7"/>
  <c r="B18" i="1"/>
  <c r="J60" i="1"/>
  <c r="B65" i="7" s="1"/>
  <c r="B51" i="7"/>
  <c r="B45" i="7"/>
  <c r="B12" i="2"/>
  <c r="D12" i="2" s="1"/>
  <c r="F12" i="2" s="1"/>
  <c r="I12" i="2" s="1"/>
  <c r="S28" i="2" s="1"/>
  <c r="AC28" i="2" s="1"/>
  <c r="AE34" i="2"/>
  <c r="D56" i="7" s="1"/>
  <c r="AE25" i="2"/>
  <c r="D47" i="7" s="1"/>
  <c r="J57" i="1"/>
  <c r="B17" i="1" s="1"/>
  <c r="E29" i="1"/>
  <c r="J50" i="1"/>
  <c r="AE37" i="2"/>
  <c r="D59" i="7" s="1"/>
  <c r="B52" i="7"/>
  <c r="AE31" i="2"/>
  <c r="D53" i="7" s="1"/>
  <c r="AE32" i="2"/>
  <c r="D54" i="7" s="1"/>
  <c r="E35" i="1"/>
  <c r="B63" i="7"/>
  <c r="AE24" i="2"/>
  <c r="D46" i="7" s="1"/>
  <c r="B11" i="2"/>
  <c r="F11" i="2" s="1"/>
  <c r="I11" i="2" s="1"/>
  <c r="Q26" i="2" s="1"/>
  <c r="AC26" i="2" s="1"/>
  <c r="Y44" i="2"/>
  <c r="Z29" i="2"/>
  <c r="S44" i="2"/>
  <c r="AA44" i="2"/>
  <c r="AC30" i="2"/>
  <c r="AB30" i="2"/>
  <c r="B19" i="1"/>
  <c r="B13" i="2"/>
  <c r="D13" i="2" s="1"/>
  <c r="F13" i="2" s="1"/>
  <c r="I13" i="2" s="1"/>
  <c r="U27" i="2" s="1"/>
  <c r="B49" i="7"/>
  <c r="W44" i="2"/>
  <c r="X44" i="2"/>
  <c r="K44" i="2"/>
  <c r="L44" i="2"/>
  <c r="T28" i="2" l="1"/>
  <c r="AD28" i="2" s="1"/>
  <c r="AE28" i="2" s="1"/>
  <c r="D50" i="7" s="1"/>
  <c r="B15" i="1"/>
  <c r="B6" i="2" s="1"/>
  <c r="F6" i="2" s="1"/>
  <c r="I6" i="2" s="1"/>
  <c r="G23" i="2" s="1"/>
  <c r="H23" i="2" s="1"/>
  <c r="E32" i="1"/>
  <c r="B62" i="7"/>
  <c r="J61" i="1"/>
  <c r="B14" i="1"/>
  <c r="B5" i="2" s="1"/>
  <c r="F5" i="2" s="1"/>
  <c r="B10" i="2"/>
  <c r="D10" i="2" s="1"/>
  <c r="F10" i="2" s="1"/>
  <c r="I10" i="2" s="1"/>
  <c r="O40" i="2" s="1"/>
  <c r="O44" i="2" s="1"/>
  <c r="B16" i="1"/>
  <c r="B7" i="2" s="1"/>
  <c r="D7" i="2" s="1"/>
  <c r="F7" i="2" s="1"/>
  <c r="I7" i="2" s="1"/>
  <c r="I40" i="2" s="1"/>
  <c r="J40" i="2" s="1"/>
  <c r="B9" i="2"/>
  <c r="B55" i="7"/>
  <c r="D9" i="2"/>
  <c r="F9" i="2" s="1"/>
  <c r="I9" i="2" s="1"/>
  <c r="M33" i="2" s="1"/>
  <c r="N33" i="2" s="1"/>
  <c r="N44" i="2" s="1"/>
  <c r="R26" i="2"/>
  <c r="R44" i="2" s="1"/>
  <c r="Q44" i="2"/>
  <c r="U44" i="2"/>
  <c r="V27" i="2"/>
  <c r="V44" i="2" s="1"/>
  <c r="T44" i="2"/>
  <c r="Z44" i="2"/>
  <c r="AD29" i="2"/>
  <c r="AD30" i="2"/>
  <c r="AE30" i="2" s="1"/>
  <c r="D52" i="7" s="1"/>
  <c r="AB44" i="2"/>
  <c r="P40" i="2" l="1"/>
  <c r="P44" i="2" s="1"/>
  <c r="B13" i="1"/>
  <c r="E13" i="1" s="1"/>
  <c r="C31" i="3"/>
  <c r="B77" i="3" s="1"/>
  <c r="C27" i="3"/>
  <c r="B73" i="3" s="1"/>
  <c r="C23" i="3"/>
  <c r="B69" i="3" s="1"/>
  <c r="C19" i="3"/>
  <c r="B65" i="3" s="1"/>
  <c r="C15" i="3"/>
  <c r="C9" i="3"/>
  <c r="B57" i="3" s="1"/>
  <c r="C35" i="3"/>
  <c r="C39" i="3"/>
  <c r="C43" i="3"/>
  <c r="C30" i="3"/>
  <c r="B76" i="3" s="1"/>
  <c r="C26" i="3"/>
  <c r="B72" i="3" s="1"/>
  <c r="C22" i="3"/>
  <c r="B68" i="3" s="1"/>
  <c r="C18" i="3"/>
  <c r="B64" i="3" s="1"/>
  <c r="C12" i="3"/>
  <c r="B60" i="3" s="1"/>
  <c r="C8" i="3"/>
  <c r="B56" i="3" s="1"/>
  <c r="C36" i="3"/>
  <c r="C40" i="3"/>
  <c r="C29" i="3"/>
  <c r="B75" i="3" s="1"/>
  <c r="C25" i="3"/>
  <c r="B71" i="3" s="1"/>
  <c r="C21" i="3"/>
  <c r="B67" i="3" s="1"/>
  <c r="C17" i="3"/>
  <c r="B63" i="3" s="1"/>
  <c r="C11" i="3"/>
  <c r="B59" i="3" s="1"/>
  <c r="C7" i="3"/>
  <c r="C37" i="3"/>
  <c r="C41" i="3"/>
  <c r="C28" i="3"/>
  <c r="B74" i="3" s="1"/>
  <c r="C24" i="3"/>
  <c r="B70" i="3" s="1"/>
  <c r="C20" i="3"/>
  <c r="B66" i="3" s="1"/>
  <c r="C16" i="3"/>
  <c r="B62" i="3" s="1"/>
  <c r="C10" i="3"/>
  <c r="B58" i="3" s="1"/>
  <c r="C34" i="3"/>
  <c r="C38" i="3"/>
  <c r="C42" i="3"/>
  <c r="I27" i="2"/>
  <c r="I44" i="2" s="1"/>
  <c r="B66" i="7"/>
  <c r="AE29" i="2"/>
  <c r="D51" i="7" s="1"/>
  <c r="M44" i="2"/>
  <c r="G33" i="2"/>
  <c r="H33" i="2" s="1"/>
  <c r="G35" i="2"/>
  <c r="H35" i="2" s="1"/>
  <c r="G38" i="2"/>
  <c r="H38" i="2" s="1"/>
  <c r="G42" i="2"/>
  <c r="H42" i="2" s="1"/>
  <c r="G43" i="2"/>
  <c r="H43" i="2" s="1"/>
  <c r="AD26" i="2"/>
  <c r="AE26" i="2" s="1"/>
  <c r="D48" i="7" s="1"/>
  <c r="AF28" i="2"/>
  <c r="AF29" i="2"/>
  <c r="AF30" i="2"/>
  <c r="E21" i="1" l="1"/>
  <c r="F21" i="1" s="1"/>
  <c r="K46" i="1" s="1"/>
  <c r="E18" i="1"/>
  <c r="F18" i="1" s="1"/>
  <c r="K45" i="1" s="1"/>
  <c r="J27" i="2"/>
  <c r="J44" i="2" s="1"/>
  <c r="E14" i="1"/>
  <c r="E16" i="1" s="1"/>
  <c r="E22" i="1"/>
  <c r="F22" i="1" s="1"/>
  <c r="K47" i="1" s="1"/>
  <c r="F13" i="1"/>
  <c r="K48" i="1" s="1"/>
  <c r="B55" i="3"/>
  <c r="C13" i="3"/>
  <c r="C32" i="3"/>
  <c r="B61" i="3"/>
  <c r="G44" i="2"/>
  <c r="H44" i="2"/>
  <c r="C44" i="3"/>
  <c r="B87" i="3" s="1"/>
  <c r="AF26" i="2"/>
  <c r="E15" i="1" l="1"/>
  <c r="F15" i="1" s="1"/>
  <c r="K55" i="1" s="1"/>
  <c r="E20" i="1"/>
  <c r="F20" i="1" s="1"/>
  <c r="K58" i="1" s="1"/>
  <c r="K41" i="1"/>
  <c r="K42" i="1"/>
  <c r="F14" i="1"/>
  <c r="K56" i="1" s="1"/>
  <c r="K51" i="1"/>
  <c r="K54" i="1"/>
  <c r="K49" i="1"/>
  <c r="B35" i="1"/>
  <c r="F35" i="1" s="1"/>
  <c r="K43" i="1" s="1"/>
  <c r="H5" i="2"/>
  <c r="B78" i="3"/>
  <c r="C87" i="3" s="1"/>
  <c r="C97" i="3" s="1"/>
  <c r="G5" i="2"/>
  <c r="C46" i="3"/>
  <c r="B97" i="3"/>
  <c r="F16" i="1"/>
  <c r="E19" i="1"/>
  <c r="F19" i="1" s="1"/>
  <c r="K44" i="1" s="1"/>
  <c r="E17" i="1"/>
  <c r="F17" i="1" s="1"/>
  <c r="K57" i="1" s="1"/>
  <c r="K53" i="1" l="1"/>
  <c r="K40" i="1"/>
  <c r="K52" i="1"/>
  <c r="B29" i="1"/>
  <c r="F29" i="1" s="1"/>
  <c r="K59" i="1" s="1"/>
  <c r="K60" i="1"/>
  <c r="B32" i="1"/>
  <c r="F32" i="1" s="1"/>
  <c r="K50" i="1" s="1"/>
  <c r="I5" i="2"/>
  <c r="E36" i="2" l="1"/>
  <c r="E39" i="2"/>
  <c r="E42" i="2"/>
  <c r="E43" i="2"/>
  <c r="E35" i="2"/>
  <c r="E38" i="2"/>
  <c r="E27" i="2"/>
  <c r="E33" i="2"/>
  <c r="E23" i="2"/>
  <c r="E41" i="2"/>
  <c r="E40" i="2"/>
  <c r="C59" i="7"/>
  <c r="F40" i="2" l="1"/>
  <c r="AD40" i="2" s="1"/>
  <c r="AE40" i="2" s="1"/>
  <c r="D62" i="7" s="1"/>
  <c r="AC40" i="2"/>
  <c r="F27" i="2"/>
  <c r="AD27" i="2" s="1"/>
  <c r="AE27" i="2" s="1"/>
  <c r="D49" i="7" s="1"/>
  <c r="AC27" i="2"/>
  <c r="F42" i="2"/>
  <c r="AD42" i="2" s="1"/>
  <c r="AE42" i="2" s="1"/>
  <c r="D64" i="7" s="1"/>
  <c r="AC42" i="2"/>
  <c r="AC41" i="2"/>
  <c r="AF41" i="2" s="1"/>
  <c r="F41" i="2"/>
  <c r="AD41" i="2" s="1"/>
  <c r="AE41" i="2" s="1"/>
  <c r="D63" i="7" s="1"/>
  <c r="AC38" i="2"/>
  <c r="F38" i="2"/>
  <c r="AD38" i="2" s="1"/>
  <c r="AE38" i="2" s="1"/>
  <c r="D60" i="7" s="1"/>
  <c r="AC39" i="2"/>
  <c r="AF39" i="2" s="1"/>
  <c r="F39" i="2"/>
  <c r="AD39" i="2" s="1"/>
  <c r="AE39" i="2" s="1"/>
  <c r="D61" i="7" s="1"/>
  <c r="F23" i="2"/>
  <c r="AC23" i="2"/>
  <c r="E44" i="2"/>
  <c r="AC35" i="2"/>
  <c r="F35" i="2"/>
  <c r="AD35" i="2" s="1"/>
  <c r="AE35" i="2" s="1"/>
  <c r="D57" i="7" s="1"/>
  <c r="AC36" i="2"/>
  <c r="AF36" i="2" s="1"/>
  <c r="F36" i="2"/>
  <c r="AD36" i="2" s="1"/>
  <c r="AE36" i="2" s="1"/>
  <c r="D58" i="7" s="1"/>
  <c r="AC33" i="2"/>
  <c r="F33" i="2"/>
  <c r="AD33" i="2" s="1"/>
  <c r="AE33" i="2" s="1"/>
  <c r="D55" i="7" s="1"/>
  <c r="AC43" i="2"/>
  <c r="F43" i="2"/>
  <c r="AD43" i="2" s="1"/>
  <c r="AE43" i="2" s="1"/>
  <c r="D65" i="7" s="1"/>
  <c r="E59" i="7"/>
  <c r="AF42" i="2" l="1"/>
  <c r="AF40" i="2"/>
  <c r="J29" i="1"/>
  <c r="AF43" i="2"/>
  <c r="AD23" i="2"/>
  <c r="AE23" i="2" s="1"/>
  <c r="D45" i="7" s="1"/>
  <c r="F44" i="2"/>
  <c r="AF38" i="2"/>
  <c r="AF33" i="2"/>
  <c r="AF35" i="2"/>
  <c r="AF27" i="2"/>
  <c r="C49" i="7"/>
  <c r="C63" i="7"/>
  <c r="C58" i="7"/>
  <c r="C48" i="7"/>
  <c r="C54" i="7"/>
  <c r="C51" i="7"/>
  <c r="C56" i="7"/>
  <c r="C50" i="7"/>
  <c r="C47" i="7"/>
  <c r="C52" i="7"/>
  <c r="C46" i="7"/>
  <c r="C53" i="7"/>
  <c r="AF23" i="2" l="1"/>
  <c r="AD44" i="2"/>
  <c r="J27" i="1"/>
  <c r="C61" i="7"/>
  <c r="C62" i="7"/>
  <c r="E62" i="7" s="1"/>
  <c r="C64" i="7"/>
  <c r="C57" i="7"/>
  <c r="C60" i="7"/>
  <c r="E51" i="7"/>
  <c r="C45" i="7"/>
  <c r="E52" i="7"/>
  <c r="E56" i="7"/>
  <c r="E54" i="7"/>
  <c r="E49" i="7"/>
  <c r="E63" i="7"/>
  <c r="E46" i="7"/>
  <c r="C55" i="7"/>
  <c r="J28" i="1"/>
  <c r="E58" i="7"/>
  <c r="E48" i="7"/>
  <c r="E53" i="7"/>
  <c r="C65" i="7"/>
  <c r="E47" i="7"/>
  <c r="E50" i="7"/>
  <c r="J30" i="1" l="1"/>
  <c r="E61" i="7"/>
  <c r="E55" i="7"/>
  <c r="E57" i="7"/>
  <c r="E60" i="7"/>
  <c r="E64" i="7"/>
  <c r="E65" i="7"/>
  <c r="E45" i="7"/>
</calcChain>
</file>

<file path=xl/sharedStrings.xml><?xml version="1.0" encoding="utf-8"?>
<sst xmlns="http://schemas.openxmlformats.org/spreadsheetml/2006/main" count="747" uniqueCount="244">
  <si>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</si>
  <si>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</si>
  <si>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</si>
  <si>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</si>
  <si>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</si>
  <si>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</si>
  <si>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</si>
  <si>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</si>
  <si>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</si>
  <si>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</si>
  <si>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</si>
  <si>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</si>
  <si>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</si>
  <si>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</si>
  <si>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</si>
  <si>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</si>
  <si>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</si>
  <si>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</si>
  <si>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</si>
  <si>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</si>
  <si>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</si>
  <si>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</si>
  <si>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</si>
  <si>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</si>
  <si>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</si>
  <si>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</si>
  <si>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</si>
  <si>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</si>
  <si>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</si>
  <si>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</si>
  <si>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</si>
  <si>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</si>
  <si>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</si>
  <si>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</si>
  <si>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</si>
  <si>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</si>
  <si>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</si>
  <si>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</si>
  <si>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</si>
  <si>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</si>
  <si>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</si>
  <si>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</si>
  <si>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</si>
  <si>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</si>
  <si>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</si>
  <si>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</si>
  <si>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</si>
  <si>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</si>
  <si>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</si>
  <si>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</si>
  <si>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</si>
  <si>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</si>
  <si>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</si>
  <si>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</si>
  <si>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</si>
  <si>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</si>
  <si>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</si>
  <si>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</si>
  <si>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</si>
  <si>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</si>
  <si>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</si>
  <si>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</si>
  <si>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</si>
  <si>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</si>
  <si>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</si>
  <si>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</si>
  <si>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</si>
  <si>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</si>
  <si>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</si>
  <si>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</si>
  <si>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</si>
  <si>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</si>
  <si>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</si>
  <si>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</si>
  <si>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</si>
  <si>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</si>
  <si>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</si>
  <si>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</si>
  <si>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</si>
  <si>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</si>
  <si>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</si>
  <si>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</si>
  <si>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</si>
  <si>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</si>
  <si>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</si>
  <si>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</si>
  <si>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</si>
  <si>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</si>
  <si>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</si>
  <si>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</si>
  <si>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</si>
  <si>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</si>
  <si>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</si>
  <si>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</si>
  <si>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</si>
  <si>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</si>
  <si>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</si>
  <si>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</si>
  <si>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</si>
  <si>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</si>
  <si>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</si>
  <si>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</si>
  <si>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</si>
  <si>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</si>
  <si>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</si>
  <si>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</si>
  <si>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</si>
  <si>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</si>
  <si>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</si>
  <si>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</si>
  <si>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</si>
  <si>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</si>
  <si>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</si>
  <si>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</si>
  <si>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</si>
  <si>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</si>
  <si>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</si>
  <si>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</si>
  <si>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</si>
  <si>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</si>
  <si>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</si>
  <si>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</si>
  <si>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</si>
  <si>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</si>
  <si>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</si>
  <si>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</si>
  <si>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</si>
  <si>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</si>
  <si>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</si>
  <si>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</si>
  <si>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</si>
  <si>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</si>
  <si>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</si>
  <si>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</si>
  <si>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</si>
  <si>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</si>
  <si>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</si>
  <si>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</si>
  <si>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</si>
  <si>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</si>
  <si>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</si>
  <si>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</si>
  <si>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</si>
  <si>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</si>
  <si>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</si>
  <si>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</si>
  <si>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</si>
  <si>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</si>
  <si>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</si>
  <si>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</si>
  <si>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</si>
  <si>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</si>
  <si>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</si>
  <si>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</si>
  <si>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</si>
  <si>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</si>
  <si>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</si>
  <si>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</si>
  <si>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</si>
  <si>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</si>
  <si>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</si>
  <si>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</si>
  <si>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</si>
  <si>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</si>
  <si>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</si>
  <si>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</si>
  <si>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</si>
  <si>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</si>
  <si>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</si>
  <si>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</si>
  <si>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</si>
  <si>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</si>
  <si>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</si>
  <si>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</si>
  <si>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</si>
  <si>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</si>
  <si>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AC1-223 - Upgrade on E. Frankfort - University Park 345 kV</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</si>
  <si>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</si>
  <si>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</si>
  <si>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</si>
  <si>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</si>
  <si>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</si>
  <si>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</si>
  <si>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</si>
  <si>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</si>
  <si>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</si>
  <si>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</si>
  <si>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</si>
  <si>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</si>
  <si>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W4-005 Radford's Run Wind Farm (effective 2019/2020)</t>
  </si>
  <si>
    <t xml:space="preserve">Final Zonal Capacity Prices &amp; Adjusted Zonal CTR Credit Rates are determined based on the results of the Base Residual Auction, 1st, 2nd, and 3rd IncrementalAuctions for the DY. </t>
  </si>
  <si>
    <t>2022/2023 DY BRA CTRs</t>
  </si>
  <si>
    <t xml:space="preserve">2022/2023 BRA ICTRs </t>
  </si>
  <si>
    <t>2022/2023 BRA Load Pricing Results</t>
  </si>
  <si>
    <t>2022/2023 BRA Resource Clearing Results</t>
  </si>
  <si>
    <t>2022/2023 BRA Summary of Auction Results</t>
  </si>
  <si>
    <t>2020 W/N Coincident Peak Load                     [MW]</t>
  </si>
  <si>
    <t>DOM *</t>
  </si>
  <si>
    <t>2022/2023 Prelim. Zonal Peak Load Forecast                     [MW]</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</si>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</sst>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5" formatCode="&quot;$&quot;#,##0.000000"/>
    <numFmt numFmtId="177" formatCode="&quot;$&quot;#,##0.00000000"/>
    <numFmt numFmtId="178" formatCode="_(* #,##0.0000000_);_(* \(#,##0.0000000\);_(* &quot;-&quot;??_);_(@_)"/>
    <numFmt numFmtId="179" formatCode="&quot;$&quot;#,##0.0000000"/>
    <numFmt numFmtId="182" formatCode="&quot;$&quot;#,##0.0"/>
  </numFmts>
  <fonts count="28"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02">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9"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0" fontId="12" fillId="0" borderId="1" xfId="0" applyFont="1" applyBorder="1"/>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167" fontId="12" fillId="0" borderId="1" xfId="0" applyNumberFormat="1" applyFont="1" applyBorder="1"/>
    <xf numFmtId="172" fontId="12" fillId="0" borderId="1" xfId="1" applyNumberFormat="1" applyFont="1" applyFill="1" applyBorder="1"/>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172" fontId="4" fillId="0" borderId="0" xfId="0" applyNumberFormat="1" applyFont="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2" borderId="1" xfId="0" applyNumberFormat="1" applyFont="1" applyFill="1" applyBorder="1"/>
    <xf numFmtId="165" fontId="12" fillId="2" borderId="1" xfId="0" applyNumberFormat="1" applyFont="1" applyFill="1" applyBorder="1" applyAlignment="1">
      <alignment horizontal="right"/>
    </xf>
    <xf numFmtId="165" fontId="11" fillId="2" borderId="1" xfId="0" applyNumberFormat="1" applyFont="1" applyFill="1" applyBorder="1" applyAlignment="1">
      <alignment horizontal="right"/>
    </xf>
    <xf numFmtId="165" fontId="12" fillId="2" borderId="1" xfId="3" applyNumberFormat="1" applyFont="1" applyFill="1" applyBorder="1" applyAlignment="1">
      <alignment horizontal="right"/>
    </xf>
    <xf numFmtId="165" fontId="12" fillId="2" borderId="1" xfId="1" applyNumberFormat="1" applyFont="1" applyFill="1" applyBorder="1" applyAlignment="1">
      <alignment horizontal="right"/>
    </xf>
    <xf numFmtId="165" fontId="11" fillId="2" borderId="1" xfId="3" applyNumberFormat="1" applyFont="1" applyFill="1" applyBorder="1"/>
    <xf numFmtId="0" fontId="16" fillId="3" borderId="15" xfId="0" applyFont="1" applyFill="1" applyBorder="1" applyAlignment="1">
      <alignment horizontal="center"/>
    </xf>
    <xf numFmtId="0" fontId="16" fillId="4" borderId="19" xfId="0" applyFont="1" applyFill="1" applyBorder="1" applyAlignment="1">
      <alignment horizontal="center"/>
    </xf>
    <xf numFmtId="0" fontId="16" fillId="5"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2" fillId="0" borderId="1" xfId="0" applyFont="1" applyBorder="1"/>
    <xf numFmtId="0" fontId="11" fillId="0" borderId="1" xfId="0" applyFont="1" applyFill="1" applyBorder="1" applyAlignment="1">
      <alignment horizontal="right"/>
    </xf>
    <xf numFmtId="0" fontId="16" fillId="5"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4" borderId="19" xfId="0" applyFont="1" applyFill="1" applyBorder="1" applyAlignment="1">
      <alignment horizontal="center" wrapText="1"/>
    </xf>
    <xf numFmtId="0" fontId="11" fillId="0" borderId="1" xfId="0" applyNumberFormat="1" applyFont="1" applyBorder="1" applyAlignment="1">
      <alignment horizontal="center" wrapText="1"/>
    </xf>
    <xf numFmtId="172" fontId="12" fillId="0" borderId="1" xfId="1" applyNumberFormat="1" applyFont="1" applyFill="1" applyBorder="1" applyAlignment="1"/>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7"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3"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2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4" fillId="0" borderId="0" xfId="0"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1" xfId="0" applyFont="1" applyFill="1" applyBorder="1" applyAlignment="1">
      <alignment horizontal="left"/>
    </xf>
    <xf numFmtId="164" fontId="12" fillId="0" borderId="1" xfId="1" applyNumberFormat="1" applyFont="1" applyFill="1" applyBorder="1" applyAlignment="1">
      <alignment horizontal="right"/>
    </xf>
    <xf numFmtId="0" fontId="12" fillId="0" borderId="22"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4" xfId="0" applyFont="1" applyFill="1" applyBorder="1" applyAlignment="1">
      <alignment horizontal="left"/>
    </xf>
    <xf numFmtId="164" fontId="12" fillId="0" borderId="45" xfId="1" applyNumberFormat="1" applyFont="1" applyBorder="1"/>
    <xf numFmtId="169" fontId="12" fillId="0" borderId="45" xfId="0" applyNumberFormat="1" applyFont="1" applyBorder="1" applyAlignment="1">
      <alignment horizontal="right"/>
    </xf>
    <xf numFmtId="165" fontId="4" fillId="0" borderId="0" xfId="0" applyNumberFormat="1" applyFont="1"/>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0" fontId="4" fillId="0" borderId="0" xfId="0" applyFont="1" applyFill="1" applyBorder="1" applyAlignment="1">
      <alignment horizontal="center"/>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0" fontId="4" fillId="0" borderId="0" xfId="0" applyFont="1" applyBorder="1" applyAlignment="1">
      <alignment horizontal="center" vertical="center" wrapText="1"/>
    </xf>
    <xf numFmtId="177" fontId="4" fillId="0" borderId="0" xfId="0" applyNumberFormat="1" applyFont="1"/>
    <xf numFmtId="165" fontId="12" fillId="9" borderId="1" xfId="0" applyNumberFormat="1" applyFont="1" applyFill="1" applyBorder="1" applyAlignment="1">
      <alignment horizontal="right"/>
    </xf>
    <xf numFmtId="0" fontId="11" fillId="10" borderId="1" xfId="0" applyNumberFormat="1" applyFont="1" applyFill="1" applyBorder="1" applyAlignment="1">
      <alignment horizontal="center" wrapText="1"/>
    </xf>
    <xf numFmtId="165" fontId="12" fillId="10" borderId="1" xfId="0" applyNumberFormat="1" applyFont="1" applyFill="1" applyBorder="1" applyAlignment="1">
      <alignment horizontal="right"/>
    </xf>
    <xf numFmtId="44" fontId="15" fillId="0" borderId="41" xfId="3" applyFont="1" applyFill="1" applyBorder="1" applyAlignment="1">
      <alignment horizontal="center" vertical="center" wrapText="1"/>
    </xf>
    <xf numFmtId="178" fontId="4" fillId="0" borderId="0" xfId="0" applyNumberFormat="1" applyFont="1"/>
    <xf numFmtId="0" fontId="11" fillId="0" borderId="22" xfId="0" applyFont="1" applyBorder="1" applyAlignment="1">
      <alignment horizontal="center" vertical="center" wrapText="1"/>
    </xf>
    <xf numFmtId="169" fontId="12" fillId="0" borderId="22" xfId="0" applyNumberFormat="1" applyFont="1" applyBorder="1" applyAlignment="1">
      <alignment horizontal="right"/>
    </xf>
    <xf numFmtId="169" fontId="11" fillId="0" borderId="22"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79" fontId="4" fillId="0" borderId="0" xfId="0" applyNumberFormat="1" applyFont="1"/>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6" borderId="19" xfId="0" applyFont="1" applyFill="1" applyBorder="1" applyAlignment="1">
      <alignment horizontal="center" vertical="center" wrapText="1"/>
    </xf>
    <xf numFmtId="0" fontId="11" fillId="0" borderId="32"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9" fontId="0" fillId="0" borderId="0" xfId="0" applyNumberFormat="1"/>
    <xf numFmtId="2" fontId="12" fillId="0" borderId="0" xfId="0" applyNumberFormat="1" applyFont="1" applyBorder="1"/>
    <xf numFmtId="0" fontId="11" fillId="9" borderId="6" xfId="0" applyNumberFormat="1" applyFont="1" applyFill="1" applyBorder="1" applyAlignment="1">
      <alignment horizontal="center" wrapText="1"/>
    </xf>
    <xf numFmtId="0" fontId="11" fillId="9" borderId="7" xfId="0" applyNumberFormat="1" applyFont="1" applyFill="1" applyBorder="1" applyAlignment="1">
      <alignment horizontal="center" wrapText="1"/>
    </xf>
    <xf numFmtId="165" fontId="12" fillId="9" borderId="3" xfId="0" applyNumberFormat="1" applyFont="1" applyFill="1" applyBorder="1" applyAlignment="1">
      <alignment horizontal="right"/>
    </xf>
    <xf numFmtId="165" fontId="12" fillId="9" borderId="19" xfId="0" applyNumberFormat="1" applyFont="1" applyFill="1" applyBorder="1" applyAlignment="1">
      <alignment horizontal="right"/>
    </xf>
    <xf numFmtId="165" fontId="12" fillId="9" borderId="11" xfId="0" applyNumberFormat="1" applyFont="1" applyFill="1" applyBorder="1" applyAlignment="1">
      <alignment horizontal="right"/>
    </xf>
    <xf numFmtId="0" fontId="11" fillId="11" borderId="7" xfId="0" applyFont="1" applyFill="1" applyBorder="1" applyAlignment="1">
      <alignment horizontal="center" vertical="center" wrapText="1"/>
    </xf>
    <xf numFmtId="164" fontId="12" fillId="11" borderId="3" xfId="1" applyNumberFormat="1" applyFont="1" applyFill="1" applyBorder="1" applyAlignment="1">
      <alignment horizontal="right"/>
    </xf>
    <xf numFmtId="164" fontId="12" fillId="11" borderId="11" xfId="1" applyNumberFormat="1" applyFont="1" applyFill="1" applyBorder="1" applyAlignment="1">
      <alignment horizontal="right"/>
    </xf>
    <xf numFmtId="164" fontId="12" fillId="11" borderId="46" xfId="1" applyNumberFormat="1" applyFont="1" applyFill="1" applyBorder="1" applyAlignment="1">
      <alignment horizontal="right"/>
    </xf>
    <xf numFmtId="0" fontId="11" fillId="11" borderId="31" xfId="0" applyFont="1" applyFill="1" applyBorder="1" applyAlignment="1">
      <alignment horizontal="right" vertical="center" wrapText="1"/>
    </xf>
    <xf numFmtId="164" fontId="11" fillId="11" borderId="9" xfId="0" applyNumberFormat="1" applyFont="1" applyFill="1" applyBorder="1" applyAlignment="1">
      <alignment horizontal="right" vertical="center"/>
    </xf>
    <xf numFmtId="164" fontId="11" fillId="11" borderId="24" xfId="0" applyNumberFormat="1" applyFont="1" applyFill="1" applyBorder="1" applyAlignment="1">
      <alignment horizontal="right" vertical="center"/>
    </xf>
    <xf numFmtId="0" fontId="11" fillId="0" borderId="29" xfId="0" applyFont="1" applyBorder="1" applyAlignment="1">
      <alignment horizontal="center" vertical="center"/>
    </xf>
    <xf numFmtId="0" fontId="11" fillId="0" borderId="47" xfId="0" applyFont="1" applyBorder="1" applyAlignment="1">
      <alignment horizontal="center" wrapText="1"/>
    </xf>
    <xf numFmtId="0" fontId="11" fillId="0" borderId="48" xfId="0" applyFont="1" applyBorder="1" applyAlignment="1">
      <alignment horizontal="center" wrapText="1"/>
    </xf>
    <xf numFmtId="0" fontId="12" fillId="0" borderId="44" xfId="0" applyFont="1" applyFill="1" applyBorder="1"/>
    <xf numFmtId="165" fontId="11" fillId="0" borderId="46"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1" xfId="0" applyFont="1" applyFill="1" applyBorder="1" applyAlignment="1">
      <alignment horizontal="left" vertical="center"/>
    </xf>
    <xf numFmtId="0" fontId="11" fillId="0" borderId="29" xfId="0" applyFont="1" applyFill="1" applyBorder="1" applyAlignment="1">
      <alignment horizontal="center" wrapText="1"/>
    </xf>
    <xf numFmtId="0" fontId="11" fillId="0" borderId="20" xfId="0" applyFont="1" applyFill="1" applyBorder="1" applyAlignment="1">
      <alignment horizontal="center" wrapText="1"/>
    </xf>
    <xf numFmtId="164" fontId="12" fillId="0" borderId="52" xfId="0" applyNumberFormat="1" applyFont="1" applyFill="1" applyBorder="1" applyAlignment="1">
      <alignment horizontal="right" vertical="center"/>
    </xf>
    <xf numFmtId="0" fontId="12" fillId="0" borderId="5" xfId="0" applyFont="1" applyBorder="1" applyAlignment="1">
      <alignment vertical="center"/>
    </xf>
    <xf numFmtId="0" fontId="12" fillId="0" borderId="30" xfId="0" applyFont="1" applyBorder="1" applyAlignment="1">
      <alignment vertical="center"/>
    </xf>
    <xf numFmtId="164" fontId="11" fillId="11" borderId="24"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0" xfId="0" applyNumberFormat="1" applyFont="1" applyFill="1" applyBorder="1" applyAlignment="1">
      <alignment horizontal="right" vertical="center"/>
    </xf>
    <xf numFmtId="0" fontId="12" fillId="0" borderId="28" xfId="0" applyFont="1" applyBorder="1" applyAlignment="1">
      <alignment vertical="top" wrapText="1"/>
    </xf>
    <xf numFmtId="0" fontId="11" fillId="0" borderId="51" xfId="0" applyFont="1" applyBorder="1" applyAlignment="1">
      <alignment horizontal="left" vertical="center" wrapText="1"/>
    </xf>
    <xf numFmtId="0" fontId="12" fillId="0" borderId="53" xfId="0" applyFont="1" applyBorder="1" applyAlignment="1">
      <alignment vertical="center"/>
    </xf>
    <xf numFmtId="164" fontId="11" fillId="0" borderId="5" xfId="0" applyNumberFormat="1" applyFont="1" applyFill="1" applyBorder="1" applyAlignment="1">
      <alignment horizontal="right" vertical="center"/>
    </xf>
    <xf numFmtId="0" fontId="11" fillId="0" borderId="30" xfId="0" applyFont="1" applyFill="1" applyBorder="1" applyAlignment="1">
      <alignment vertical="center"/>
    </xf>
    <xf numFmtId="44" fontId="4" fillId="0" borderId="0" xfId="3" applyFont="1"/>
    <xf numFmtId="44" fontId="4" fillId="0" borderId="0" xfId="0" applyNumberFormat="1" applyFont="1"/>
    <xf numFmtId="43" fontId="12" fillId="0" borderId="0" xfId="1" applyFont="1" applyFill="1" applyBorder="1" applyAlignment="1">
      <alignment horizontal="right"/>
    </xf>
    <xf numFmtId="44" fontId="12" fillId="0" borderId="0" xfId="3" applyFont="1"/>
    <xf numFmtId="44" fontId="12" fillId="0" borderId="0" xfId="0" applyNumberFormat="1" applyFont="1"/>
    <xf numFmtId="175" fontId="12" fillId="2" borderId="1" xfId="0" applyNumberFormat="1" applyFont="1" applyFill="1" applyBorder="1" applyAlignment="1">
      <alignment horizontal="right"/>
    </xf>
    <xf numFmtId="43" fontId="12" fillId="0" borderId="0" xfId="1" applyFont="1" applyBorder="1"/>
    <xf numFmtId="44" fontId="4" fillId="0" borderId="0" xfId="3" applyFont="1" applyBorder="1"/>
    <xf numFmtId="44" fontId="4" fillId="0" borderId="0" xfId="0" applyNumberFormat="1" applyFont="1" applyBorder="1"/>
    <xf numFmtId="43" fontId="17" fillId="0" borderId="0" xfId="0" applyNumberFormat="1" applyFont="1"/>
    <xf numFmtId="0" fontId="1" fillId="0" borderId="0" xfId="0" applyFont="1"/>
    <xf numFmtId="0" fontId="12" fillId="0" borderId="49"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49" xfId="0" applyNumberFormat="1" applyFont="1" applyFill="1" applyBorder="1" applyAlignment="1">
      <alignment horizontal="right" vertical="center"/>
    </xf>
    <xf numFmtId="164" fontId="12" fillId="0" borderId="54"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82" fontId="12" fillId="0" borderId="6" xfId="0" applyNumberFormat="1" applyFont="1" applyBorder="1"/>
    <xf numFmtId="182" fontId="12" fillId="0" borderId="1" xfId="0" applyNumberFormat="1" applyFont="1" applyBorder="1"/>
    <xf numFmtId="182" fontId="12" fillId="0" borderId="19" xfId="0" applyNumberFormat="1" applyFont="1" applyBorder="1"/>
    <xf numFmtId="182" fontId="12" fillId="0" borderId="8" xfId="0" applyNumberFormat="1" applyFont="1" applyBorder="1"/>
    <xf numFmtId="182" fontId="11" fillId="0" borderId="45"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0"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5"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1"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1" borderId="1" xfId="0" applyFont="1" applyFill="1" applyBorder="1" applyAlignment="1">
      <alignment horizontal="center" vertical="center"/>
    </xf>
    <xf numFmtId="172" fontId="12" fillId="9" borderId="1" xfId="2" applyNumberFormat="1" applyFont="1" applyFill="1" applyBorder="1" applyAlignment="1">
      <alignment vertical="center"/>
    </xf>
    <xf numFmtId="165" fontId="12" fillId="9"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1" borderId="19" xfId="0" applyFont="1" applyFill="1" applyBorder="1" applyAlignment="1">
      <alignment horizontal="center" vertical="center" wrapText="1"/>
    </xf>
    <xf numFmtId="0" fontId="12" fillId="11" borderId="1" xfId="0" applyFont="1" applyFill="1" applyBorder="1" applyAlignment="1">
      <alignment horizontal="center"/>
    </xf>
    <xf numFmtId="165" fontId="12" fillId="9" borderId="1" xfId="2" applyNumberFormat="1" applyFont="1" applyFill="1" applyBorder="1"/>
    <xf numFmtId="169" fontId="12" fillId="9" borderId="1" xfId="2" applyNumberFormat="1" applyFont="1" applyFill="1" applyBorder="1"/>
    <xf numFmtId="169" fontId="12" fillId="0" borderId="0" xfId="2" applyNumberFormat="1" applyFont="1" applyFill="1" applyBorder="1"/>
    <xf numFmtId="172" fontId="11" fillId="9" borderId="1" xfId="2" applyNumberFormat="1" applyFont="1" applyFill="1" applyBorder="1" applyAlignment="1">
      <alignment horizontal="center" vertical="center" wrapText="1"/>
    </xf>
    <xf numFmtId="165" fontId="12" fillId="9" borderId="1" xfId="0" applyNumberFormat="1" applyFont="1" applyFill="1" applyBorder="1" applyAlignment="1">
      <alignment vertical="center"/>
    </xf>
    <xf numFmtId="0" fontId="11" fillId="0" borderId="19" xfId="0" applyFont="1" applyBorder="1" applyAlignment="1">
      <alignment horizontal="right" vertical="center"/>
    </xf>
    <xf numFmtId="172" fontId="11" fillId="9"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0"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0" xfId="0" applyFont="1" applyFill="1" applyBorder="1" applyAlignment="1">
      <alignment horizontal="left" vertical="center" wrapText="1"/>
    </xf>
    <xf numFmtId="165" fontId="12" fillId="0" borderId="50" xfId="0" applyNumberFormat="1" applyFont="1" applyBorder="1" applyAlignment="1">
      <alignment horizontal="right" vertical="center"/>
    </xf>
    <xf numFmtId="0" fontId="12" fillId="0" borderId="23" xfId="0" applyFont="1" applyFill="1" applyBorder="1" applyAlignment="1">
      <alignment horizontal="left" vertical="center" wrapText="1"/>
    </xf>
    <xf numFmtId="165" fontId="12" fillId="0" borderId="25"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4" xfId="0" applyFont="1" applyBorder="1" applyAlignment="1">
      <alignment vertical="top" wrapText="1"/>
    </xf>
    <xf numFmtId="0" fontId="11" fillId="0" borderId="12" xfId="0" applyFont="1" applyFill="1" applyBorder="1" applyAlignment="1">
      <alignment horizontal="right"/>
    </xf>
    <xf numFmtId="0" fontId="11" fillId="9"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9" borderId="22" xfId="0" applyFont="1" applyFill="1" applyBorder="1" applyAlignment="1">
      <alignment horizontal="center" vertical="center"/>
    </xf>
    <xf numFmtId="0" fontId="11" fillId="9" borderId="26" xfId="0" applyFont="1" applyFill="1" applyBorder="1" applyAlignment="1">
      <alignment horizontal="center" vertical="center"/>
    </xf>
    <xf numFmtId="0" fontId="11" fillId="9" borderId="25" xfId="0" applyFont="1" applyFill="1" applyBorder="1" applyAlignment="1">
      <alignment horizontal="center" vertical="center"/>
    </xf>
    <xf numFmtId="0" fontId="0" fillId="0" borderId="0" xfId="0" applyFill="1" applyBorder="1" applyAlignment="1">
      <alignment horizontal="center"/>
    </xf>
    <xf numFmtId="0" fontId="0" fillId="0" borderId="0" xfId="0" applyBorder="1" applyAlignment="1">
      <alignment horizontal="center"/>
    </xf>
    <xf numFmtId="0" fontId="16" fillId="8" borderId="1" xfId="0" applyFont="1" applyFill="1" applyBorder="1" applyAlignment="1">
      <alignment horizontal="center"/>
    </xf>
    <xf numFmtId="0" fontId="16" fillId="5" borderId="19" xfId="0" applyFont="1" applyFill="1" applyBorder="1" applyAlignment="1">
      <alignment horizontal="center" vertical="center"/>
    </xf>
    <xf numFmtId="0" fontId="16" fillId="4" borderId="1" xfId="0" applyFont="1" applyFill="1" applyBorder="1" applyAlignment="1">
      <alignment horizontal="center"/>
    </xf>
    <xf numFmtId="0" fontId="16" fillId="4" borderId="22" xfId="0" applyFont="1" applyFill="1" applyBorder="1" applyAlignment="1">
      <alignment horizontal="center"/>
    </xf>
    <xf numFmtId="0" fontId="16" fillId="7" borderId="22" xfId="0" applyFont="1" applyFill="1" applyBorder="1" applyAlignment="1">
      <alignment horizontal="center"/>
    </xf>
    <xf numFmtId="0" fontId="16" fillId="7" borderId="26" xfId="0" applyFont="1" applyFill="1" applyBorder="1" applyAlignment="1">
      <alignment horizontal="center"/>
    </xf>
    <xf numFmtId="0" fontId="16" fillId="3" borderId="40" xfId="0" applyFont="1" applyFill="1" applyBorder="1" applyAlignment="1">
      <alignment horizontal="center"/>
    </xf>
    <xf numFmtId="0" fontId="16" fillId="3" borderId="43" xfId="0" applyFont="1" applyFill="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1" fillId="0" borderId="16" xfId="0" applyFont="1" applyFill="1" applyBorder="1" applyAlignment="1">
      <alignment horizontal="right"/>
    </xf>
    <xf numFmtId="0" fontId="11" fillId="0" borderId="39" xfId="0" applyFont="1" applyFill="1" applyBorder="1" applyAlignment="1">
      <alignment horizontal="right"/>
    </xf>
    <xf numFmtId="0" fontId="11" fillId="0" borderId="27" xfId="0" applyFont="1" applyFill="1" applyBorder="1" applyAlignment="1">
      <alignment horizontal="right"/>
    </xf>
    <xf numFmtId="0" fontId="16" fillId="4" borderId="1" xfId="0" applyFont="1" applyFill="1" applyBorder="1" applyAlignment="1">
      <alignment vertical="center" wrapText="1"/>
    </xf>
    <xf numFmtId="165" fontId="11" fillId="0" borderId="32" xfId="0" applyNumberFormat="1" applyFont="1" applyBorder="1" applyAlignment="1">
      <alignment horizontal="center" vertical="center"/>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0" fontId="16" fillId="5" borderId="20" xfId="0" applyFont="1" applyFill="1" applyBorder="1" applyAlignment="1">
      <alignment horizontal="center" vertical="center" wrapText="1"/>
    </xf>
    <xf numFmtId="0" fontId="23" fillId="5" borderId="42" xfId="0" applyFont="1" applyFill="1" applyBorder="1"/>
  </cellXfs>
  <cellStyles count="11">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8"/>
  <sheetViews>
    <sheetView tabSelected="1" workbookViewId="0">
      <pane xSplit="1" topLeftCell="B1" activePane="topRight" state="frozen"/>
      <selection pane="topRight"/>
    </sheetView>
  </sheetViews>
  <sheetFormatPr defaultRowHeight="13.2" x14ac:dyDescent="0.25"/>
  <cols>
    <col min="1" max="21" width="16.6640625" customWidth="1"/>
    <col min="22" max="22" width="12.6640625" customWidth="1"/>
  </cols>
  <sheetData>
    <row r="1" spans="1:18" ht="18" x14ac:dyDescent="0.35">
      <c r="A1" s="333" t="s">
        <v>195</v>
      </c>
      <c r="B1" s="333"/>
      <c r="C1" s="333"/>
      <c r="D1" s="333"/>
      <c r="E1" s="333"/>
      <c r="F1" s="333"/>
      <c r="G1" s="333"/>
      <c r="H1" s="156"/>
      <c r="I1" s="156"/>
      <c r="J1" s="156"/>
      <c r="K1" s="156"/>
      <c r="L1" s="156"/>
      <c r="M1" s="156"/>
      <c r="N1" s="156"/>
      <c r="O1" s="156"/>
      <c r="P1" s="156"/>
      <c r="Q1" s="156"/>
      <c r="R1" s="156"/>
    </row>
    <row r="2" spans="1:18" ht="13.8" x14ac:dyDescent="0.3">
      <c r="A2" s="21"/>
      <c r="B2" s="21"/>
      <c r="C2" s="21"/>
      <c r="D2" s="21"/>
      <c r="E2" s="21"/>
      <c r="F2" s="21"/>
      <c r="G2" s="21"/>
      <c r="H2" s="21"/>
      <c r="I2" s="21"/>
      <c r="J2" s="21"/>
      <c r="K2" s="21"/>
      <c r="L2" s="21"/>
      <c r="M2" s="21"/>
      <c r="N2" s="21"/>
      <c r="O2" s="21"/>
      <c r="P2" s="21"/>
      <c r="Q2" s="21"/>
      <c r="R2" s="21"/>
    </row>
    <row r="3" spans="1:18" ht="15.6" x14ac:dyDescent="0.3">
      <c r="A3" s="334" t="s">
        <v>180</v>
      </c>
      <c r="B3" s="328"/>
      <c r="C3" s="328"/>
      <c r="D3" s="328"/>
      <c r="E3" s="328"/>
      <c r="F3" s="145"/>
      <c r="G3" s="145"/>
      <c r="H3" s="145"/>
      <c r="I3" s="145"/>
      <c r="J3" s="145"/>
      <c r="K3" s="145"/>
      <c r="L3" s="145"/>
      <c r="M3" s="145"/>
      <c r="N3" s="145"/>
      <c r="O3" s="145"/>
      <c r="P3" s="145"/>
      <c r="Q3" s="145"/>
      <c r="R3" s="145"/>
    </row>
    <row r="4" spans="1:18" ht="27.6" x14ac:dyDescent="0.25">
      <c r="A4" s="335" t="s">
        <v>3</v>
      </c>
      <c r="B4" s="366" t="s">
        <v>94</v>
      </c>
    </row>
    <row r="5" spans="1:18" ht="13.8" x14ac:dyDescent="0.3">
      <c r="A5" s="336" t="s">
        <v>6</v>
      </c>
      <c r="B5" s="337">
        <f>'BRA Resource Clearing Results'!D5</f>
        <v>50</v>
      </c>
    </row>
    <row r="6" spans="1:18" ht="13.8" x14ac:dyDescent="0.3">
      <c r="A6" s="336" t="s">
        <v>28</v>
      </c>
      <c r="B6" s="337">
        <f>'BRA Resource Clearing Results'!D6</f>
        <v>95.789999999999992</v>
      </c>
    </row>
    <row r="7" spans="1:18" ht="13.8" x14ac:dyDescent="0.3">
      <c r="A7" s="336" t="s">
        <v>33</v>
      </c>
      <c r="B7" s="337">
        <f>'BRA Resource Clearing Results'!D7</f>
        <v>97.859999999999985</v>
      </c>
    </row>
    <row r="8" spans="1:18" ht="13.8" x14ac:dyDescent="0.3">
      <c r="A8" s="336" t="s">
        <v>5</v>
      </c>
      <c r="B8" s="337">
        <f>'BRA Resource Clearing Results'!D8</f>
        <v>95.789999999999992</v>
      </c>
    </row>
    <row r="9" spans="1:18" ht="13.8" x14ac:dyDescent="0.3">
      <c r="A9" s="336" t="s">
        <v>8</v>
      </c>
      <c r="B9" s="337">
        <f>'BRA Resource Clearing Results'!D9</f>
        <v>97.859999999999985</v>
      </c>
    </row>
    <row r="10" spans="1:18" ht="13.8" x14ac:dyDescent="0.3">
      <c r="A10" s="336" t="s">
        <v>34</v>
      </c>
      <c r="B10" s="337">
        <f>'BRA Resource Clearing Results'!D10</f>
        <v>97.859999999999985</v>
      </c>
    </row>
    <row r="11" spans="1:18" ht="13.8" x14ac:dyDescent="0.3">
      <c r="A11" s="336" t="s">
        <v>35</v>
      </c>
      <c r="B11" s="337">
        <f>'BRA Resource Clearing Results'!D11</f>
        <v>97.859999999999985</v>
      </c>
    </row>
    <row r="12" spans="1:18" ht="13.8" x14ac:dyDescent="0.3">
      <c r="A12" s="336" t="s">
        <v>15</v>
      </c>
      <c r="B12" s="337">
        <f>'BRA Resource Clearing Results'!D12</f>
        <v>95.789999999999992</v>
      </c>
    </row>
    <row r="13" spans="1:18" ht="13.8" x14ac:dyDescent="0.3">
      <c r="A13" s="336" t="s">
        <v>43</v>
      </c>
      <c r="B13" s="337">
        <f>'BRA Resource Clearing Results'!D13</f>
        <v>50</v>
      </c>
    </row>
    <row r="14" spans="1:18" ht="13.8" x14ac:dyDescent="0.3">
      <c r="A14" s="336" t="s">
        <v>99</v>
      </c>
      <c r="B14" s="337">
        <f>'BRA Resource Clearing Results'!D14</f>
        <v>50</v>
      </c>
    </row>
    <row r="15" spans="1:18" ht="13.8" x14ac:dyDescent="0.3">
      <c r="A15" s="336" t="s">
        <v>20</v>
      </c>
      <c r="B15" s="337">
        <f>'BRA Resource Clearing Results'!D15</f>
        <v>68.960000000000008</v>
      </c>
    </row>
    <row r="16" spans="1:18" ht="13.8" x14ac:dyDescent="0.3">
      <c r="A16" s="336" t="s">
        <v>11</v>
      </c>
      <c r="B16" s="337">
        <f>'BRA Resource Clearing Results'!D16</f>
        <v>126.5</v>
      </c>
    </row>
    <row r="17" spans="1:18" ht="13.8" x14ac:dyDescent="0.3">
      <c r="A17" s="336" t="s">
        <v>10</v>
      </c>
      <c r="B17" s="337">
        <f>'BRA Resource Clearing Results'!D17</f>
        <v>95.789999999999992</v>
      </c>
    </row>
    <row r="18" spans="1:18" ht="13.8" x14ac:dyDescent="0.3">
      <c r="A18" s="336" t="s">
        <v>21</v>
      </c>
      <c r="B18" s="337">
        <f>'BRA Resource Clearing Results'!D18</f>
        <v>50</v>
      </c>
    </row>
    <row r="19" spans="1:18" ht="13.8" x14ac:dyDescent="0.3">
      <c r="A19" s="336" t="s">
        <v>50</v>
      </c>
      <c r="B19" s="337">
        <f>'BRA Resource Clearing Results'!D19</f>
        <v>71.69</v>
      </c>
    </row>
    <row r="20" spans="1:18" ht="13.8" x14ac:dyDescent="0.3">
      <c r="A20" s="201" t="s">
        <v>24</v>
      </c>
      <c r="B20" s="201"/>
      <c r="D20" s="115"/>
      <c r="E20" s="115"/>
      <c r="F20" s="115"/>
      <c r="G20" s="115"/>
      <c r="H20" s="115"/>
      <c r="I20" s="115"/>
      <c r="J20" s="115"/>
      <c r="K20" s="115"/>
      <c r="L20" s="115"/>
      <c r="M20" s="115"/>
      <c r="N20" s="115"/>
      <c r="O20" s="115"/>
      <c r="P20" s="115"/>
      <c r="Q20" s="115"/>
      <c r="R20" s="115"/>
    </row>
    <row r="21" spans="1:18" ht="15.6" x14ac:dyDescent="0.3">
      <c r="A21" s="334" t="s">
        <v>181</v>
      </c>
      <c r="B21" s="145"/>
      <c r="C21" s="145"/>
      <c r="D21" s="145"/>
      <c r="E21" s="145"/>
      <c r="F21" s="21"/>
      <c r="G21" s="21"/>
      <c r="H21" s="21"/>
      <c r="I21" s="21"/>
      <c r="J21" s="21"/>
      <c r="K21" s="21"/>
      <c r="L21" s="21"/>
      <c r="M21" s="21"/>
      <c r="N21" s="21"/>
      <c r="O21" s="21"/>
      <c r="P21" s="21"/>
      <c r="Q21" s="21"/>
      <c r="R21" s="115"/>
    </row>
    <row r="22" spans="1:18" ht="27.6" x14ac:dyDescent="0.25">
      <c r="A22" s="367" t="s">
        <v>3</v>
      </c>
      <c r="B22" s="366" t="s">
        <v>94</v>
      </c>
    </row>
    <row r="23" spans="1:18" ht="27.6" x14ac:dyDescent="0.25">
      <c r="A23" s="367"/>
      <c r="B23" s="366" t="s">
        <v>182</v>
      </c>
    </row>
    <row r="24" spans="1:18" ht="13.8" x14ac:dyDescent="0.3">
      <c r="A24" s="336" t="s">
        <v>6</v>
      </c>
      <c r="B24" s="338">
        <f>'BRA Resource Clearing Results'!F26</f>
        <v>144477.29999999999</v>
      </c>
    </row>
    <row r="25" spans="1:18" ht="13.8" x14ac:dyDescent="0.3">
      <c r="A25" s="336" t="s">
        <v>28</v>
      </c>
      <c r="B25" s="338">
        <f>'BRA Resource Clearing Results'!F27</f>
        <v>64614.2</v>
      </c>
    </row>
    <row r="26" spans="1:18" ht="13.8" x14ac:dyDescent="0.3">
      <c r="A26" s="336" t="s">
        <v>33</v>
      </c>
      <c r="B26" s="338">
        <f>'BRA Resource Clearing Results'!F28</f>
        <v>29333.8</v>
      </c>
    </row>
    <row r="27" spans="1:18" ht="13.8" x14ac:dyDescent="0.3">
      <c r="A27" s="336" t="s">
        <v>5</v>
      </c>
      <c r="B27" s="338">
        <f>'BRA Resource Clearing Results'!F29</f>
        <v>8284.1</v>
      </c>
    </row>
    <row r="28" spans="1:18" ht="13.8" x14ac:dyDescent="0.3">
      <c r="A28" s="336" t="s">
        <v>8</v>
      </c>
      <c r="B28" s="338">
        <f>'BRA Resource Clearing Results'!F30</f>
        <v>4436.5</v>
      </c>
    </row>
    <row r="29" spans="1:18" ht="13.8" x14ac:dyDescent="0.3">
      <c r="A29" s="336" t="s">
        <v>34</v>
      </c>
      <c r="B29" s="338">
        <f>'BRA Resource Clearing Results'!F31</f>
        <v>2527.1999999999998</v>
      </c>
    </row>
    <row r="30" spans="1:18" ht="13.8" x14ac:dyDescent="0.3">
      <c r="A30" s="336" t="s">
        <v>35</v>
      </c>
      <c r="B30" s="338">
        <f>'BRA Resource Clearing Results'!F32</f>
        <v>1305.3</v>
      </c>
    </row>
    <row r="31" spans="1:18" ht="13.8" x14ac:dyDescent="0.3">
      <c r="A31" s="336" t="s">
        <v>15</v>
      </c>
      <c r="B31" s="338">
        <f>'BRA Resource Clearing Results'!F33</f>
        <v>3533.6</v>
      </c>
    </row>
    <row r="32" spans="1:18" ht="13.8" x14ac:dyDescent="0.3">
      <c r="A32" s="336" t="s">
        <v>43</v>
      </c>
      <c r="B32" s="338">
        <f>'BRA Resource Clearing Results'!F34</f>
        <v>10543.9</v>
      </c>
    </row>
    <row r="33" spans="1:18" ht="13.8" x14ac:dyDescent="0.3">
      <c r="A33" s="336" t="s">
        <v>99</v>
      </c>
      <c r="B33" s="338">
        <f>'BRA Resource Clearing Results'!F35</f>
        <v>1912.5</v>
      </c>
    </row>
    <row r="34" spans="1:18" ht="13.8" x14ac:dyDescent="0.3">
      <c r="A34" s="336" t="s">
        <v>20</v>
      </c>
      <c r="B34" s="338">
        <f>'BRA Resource Clearing Results'!F36</f>
        <v>19197.5</v>
      </c>
    </row>
    <row r="35" spans="1:18" ht="13.8" x14ac:dyDescent="0.3">
      <c r="A35" s="336" t="s">
        <v>11</v>
      </c>
      <c r="B35" s="338">
        <f>'BRA Resource Clearing Results'!F37</f>
        <v>2494.5</v>
      </c>
    </row>
    <row r="36" spans="1:18" ht="13.8" x14ac:dyDescent="0.3">
      <c r="A36" s="336" t="s">
        <v>10</v>
      </c>
      <c r="B36" s="338">
        <f>'BRA Resource Clearing Results'!F38</f>
        <v>10144.700000000001</v>
      </c>
    </row>
    <row r="37" spans="1:18" ht="13.8" x14ac:dyDescent="0.3">
      <c r="A37" s="336" t="s">
        <v>21</v>
      </c>
      <c r="B37" s="338">
        <f>'BRA Resource Clearing Results'!F39</f>
        <v>1253</v>
      </c>
    </row>
    <row r="38" spans="1:18" ht="13.8" x14ac:dyDescent="0.3">
      <c r="A38" s="336" t="s">
        <v>50</v>
      </c>
      <c r="B38" s="338">
        <f>'BRA Resource Clearing Results'!F40</f>
        <v>2114.8000000000002</v>
      </c>
    </row>
    <row r="39" spans="1:18" ht="13.8" x14ac:dyDescent="0.3">
      <c r="A39" s="25" t="s">
        <v>183</v>
      </c>
      <c r="B39" s="339"/>
      <c r="C39" s="339"/>
      <c r="D39" s="339"/>
      <c r="E39" s="339"/>
      <c r="F39" s="339"/>
      <c r="G39" s="339"/>
      <c r="H39" s="339"/>
      <c r="I39" s="339"/>
      <c r="J39" s="339"/>
      <c r="K39" s="339"/>
      <c r="L39" s="339"/>
      <c r="M39" s="339"/>
      <c r="N39" s="339"/>
      <c r="O39" s="339"/>
      <c r="P39" s="339"/>
      <c r="Q39" s="339"/>
      <c r="R39" s="21"/>
    </row>
    <row r="40" spans="1:18" ht="13.8" x14ac:dyDescent="0.3">
      <c r="A40" s="25" t="s">
        <v>184</v>
      </c>
      <c r="B40" s="339"/>
      <c r="C40" s="339"/>
      <c r="D40" s="339"/>
      <c r="E40" s="339"/>
      <c r="F40" s="339"/>
      <c r="G40" s="339"/>
      <c r="H40" s="339"/>
      <c r="I40" s="339"/>
      <c r="J40" s="339"/>
      <c r="K40" s="339"/>
      <c r="L40" s="339"/>
      <c r="M40" s="339"/>
      <c r="N40" s="339"/>
      <c r="O40" s="339"/>
      <c r="P40" s="339"/>
      <c r="Q40" s="339"/>
      <c r="R40" s="328"/>
    </row>
    <row r="41" spans="1:18" ht="15.6" x14ac:dyDescent="0.25">
      <c r="A41" s="334"/>
      <c r="B41" s="328"/>
      <c r="C41" s="328"/>
      <c r="D41" s="328"/>
      <c r="E41" s="328"/>
      <c r="F41" s="328"/>
      <c r="G41" s="328"/>
      <c r="H41" s="328"/>
      <c r="I41" s="328"/>
      <c r="J41" s="328"/>
      <c r="K41" s="328"/>
      <c r="L41" s="328"/>
      <c r="M41" s="328"/>
      <c r="N41" s="328"/>
      <c r="O41" s="328"/>
      <c r="P41" s="328"/>
      <c r="Q41" s="328"/>
      <c r="R41" s="328"/>
    </row>
    <row r="42" spans="1:18" ht="15.6" x14ac:dyDescent="0.25">
      <c r="A42" s="334" t="s">
        <v>95</v>
      </c>
      <c r="B42" s="328"/>
      <c r="C42" s="328"/>
      <c r="D42" s="328"/>
      <c r="E42" s="328"/>
      <c r="F42" s="328"/>
      <c r="G42" s="328"/>
      <c r="H42" s="328"/>
      <c r="I42" s="328"/>
      <c r="J42" s="328"/>
      <c r="K42" s="328"/>
      <c r="L42" s="328"/>
      <c r="M42" s="328"/>
      <c r="N42" s="328"/>
      <c r="O42" s="328"/>
      <c r="P42" s="328"/>
      <c r="Q42" s="328"/>
      <c r="R42" s="328"/>
    </row>
    <row r="43" spans="1:18" ht="13.8" x14ac:dyDescent="0.25">
      <c r="A43" s="368" t="s">
        <v>7</v>
      </c>
      <c r="B43" s="369" t="s">
        <v>94</v>
      </c>
      <c r="C43" s="370"/>
      <c r="D43" s="370"/>
      <c r="E43" s="371"/>
      <c r="F43" s="328"/>
      <c r="G43" s="328"/>
      <c r="H43" s="328"/>
      <c r="I43" s="328"/>
      <c r="J43" s="328"/>
      <c r="K43" s="328"/>
      <c r="L43" s="328"/>
      <c r="M43" s="328"/>
      <c r="N43" s="328"/>
      <c r="O43" s="328"/>
      <c r="P43" s="328"/>
      <c r="Q43" s="328"/>
      <c r="R43" s="328"/>
    </row>
    <row r="44" spans="1:18" ht="55.2" x14ac:dyDescent="0.25">
      <c r="A44" s="368"/>
      <c r="B44" s="340" t="s">
        <v>179</v>
      </c>
      <c r="C44" s="340" t="s">
        <v>162</v>
      </c>
      <c r="D44" s="340" t="s">
        <v>96</v>
      </c>
      <c r="E44" s="340" t="s">
        <v>97</v>
      </c>
      <c r="F44" s="328"/>
      <c r="G44" s="328"/>
      <c r="H44" s="328"/>
      <c r="I44" s="328"/>
      <c r="J44" s="328"/>
      <c r="K44" s="328"/>
      <c r="L44" s="328"/>
      <c r="M44" s="328"/>
      <c r="N44" s="328"/>
      <c r="O44" s="328"/>
      <c r="P44" s="328"/>
      <c r="Q44" s="328"/>
      <c r="R44" s="328"/>
    </row>
    <row r="45" spans="1:18" ht="13.8" x14ac:dyDescent="0.25">
      <c r="A45" s="329" t="s">
        <v>16</v>
      </c>
      <c r="B45" s="330">
        <f>'BRA Load Pricing Results'!J40</f>
        <v>2856.4566671389393</v>
      </c>
      <c r="C45" s="331">
        <f>'BRA Load Pricing Results'!L40</f>
        <v>98.044334711212443</v>
      </c>
      <c r="D45" s="331">
        <f>'BRA CTRs'!AE23</f>
        <v>0.29007234098193302</v>
      </c>
      <c r="E45" s="331">
        <f>C45-D45</f>
        <v>97.754262370230506</v>
      </c>
      <c r="F45" s="328"/>
      <c r="G45" s="328"/>
      <c r="H45" s="328"/>
      <c r="I45" s="328"/>
      <c r="J45" s="328"/>
      <c r="K45" s="328"/>
      <c r="L45" s="328"/>
      <c r="M45" s="328"/>
      <c r="N45" s="328"/>
      <c r="O45" s="328"/>
      <c r="P45" s="328"/>
      <c r="Q45" s="328"/>
      <c r="R45" s="328"/>
    </row>
    <row r="46" spans="1:18" ht="13.8" x14ac:dyDescent="0.25">
      <c r="A46" s="329" t="s">
        <v>185</v>
      </c>
      <c r="B46" s="330">
        <f>'BRA Load Pricing Results'!J41</f>
        <v>13261.918954658155</v>
      </c>
      <c r="C46" s="331">
        <f>'BRA Load Pricing Results'!L41</f>
        <v>50.094678600733346</v>
      </c>
      <c r="D46" s="331">
        <f>'BRA CTRs'!AE24</f>
        <v>0</v>
      </c>
      <c r="E46" s="341">
        <f>C46-D46</f>
        <v>50.094678600733346</v>
      </c>
      <c r="F46" s="328"/>
      <c r="G46" s="328"/>
      <c r="H46" s="328"/>
      <c r="I46" s="328"/>
      <c r="J46" s="328"/>
      <c r="K46" s="328"/>
      <c r="L46" s="328"/>
      <c r="M46" s="328"/>
      <c r="N46" s="328"/>
      <c r="O46" s="328"/>
      <c r="P46" s="328"/>
      <c r="Q46" s="328"/>
      <c r="R46" s="328"/>
    </row>
    <row r="47" spans="1:18" ht="13.8" x14ac:dyDescent="0.25">
      <c r="A47" s="329" t="s">
        <v>19</v>
      </c>
      <c r="B47" s="330">
        <f>'BRA Load Pricing Results'!J42</f>
        <v>10258.787223918358</v>
      </c>
      <c r="C47" s="331">
        <f>'BRA Load Pricing Results'!L42</f>
        <v>50.094678600733346</v>
      </c>
      <c r="D47" s="331">
        <f>'BRA CTRs'!AE25</f>
        <v>0</v>
      </c>
      <c r="E47" s="341">
        <f>C47-D47</f>
        <v>50.094678600733346</v>
      </c>
      <c r="F47" s="328"/>
      <c r="G47" s="328"/>
      <c r="H47" s="328"/>
      <c r="I47" s="328"/>
      <c r="J47" s="328"/>
      <c r="K47" s="328"/>
      <c r="L47" s="328"/>
      <c r="M47" s="328"/>
      <c r="N47" s="328"/>
      <c r="O47" s="328"/>
      <c r="P47" s="328"/>
      <c r="Q47" s="328"/>
      <c r="R47" s="328"/>
    </row>
    <row r="48" spans="1:18" ht="13.8" x14ac:dyDescent="0.25">
      <c r="A48" s="329" t="s">
        <v>43</v>
      </c>
      <c r="B48" s="330">
        <f>'BRA Load Pricing Results'!J43</f>
        <v>14272.785557915347</v>
      </c>
      <c r="C48" s="331">
        <f>'BRA Load Pricing Results'!L43</f>
        <v>50.094678600733346</v>
      </c>
      <c r="D48" s="331">
        <f>'BRA CTRs'!AE26</f>
        <v>0</v>
      </c>
      <c r="E48" s="341">
        <f>C48-D48</f>
        <v>50.094678600733346</v>
      </c>
      <c r="F48" s="328"/>
      <c r="G48" s="328"/>
      <c r="H48" s="328"/>
      <c r="I48" s="328"/>
      <c r="J48" s="328"/>
      <c r="K48" s="328"/>
      <c r="L48" s="328"/>
      <c r="M48" s="328"/>
      <c r="N48" s="328"/>
      <c r="O48" s="328"/>
      <c r="P48" s="328"/>
      <c r="Q48" s="328"/>
      <c r="R48" s="328"/>
    </row>
    <row r="49" spans="1:18" ht="13.8" x14ac:dyDescent="0.25">
      <c r="A49" s="329" t="s">
        <v>11</v>
      </c>
      <c r="B49" s="330">
        <f>'BRA Load Pricing Results'!J44</f>
        <v>7611.28166792508</v>
      </c>
      <c r="C49" s="331">
        <f>'BRA Load Pricing Results'!L44</f>
        <v>127.06960502759289</v>
      </c>
      <c r="D49" s="331">
        <f>'BRA CTRs'!AE27</f>
        <v>19.145455966511946</v>
      </c>
      <c r="E49" s="341">
        <f t="shared" ref="E49:E64" si="0">C49-D49</f>
        <v>107.92414906108094</v>
      </c>
      <c r="F49" s="328"/>
      <c r="G49" s="328"/>
      <c r="H49" s="328"/>
      <c r="I49" s="328"/>
      <c r="J49" s="328"/>
      <c r="K49" s="328"/>
      <c r="L49" s="328"/>
      <c r="M49" s="328"/>
      <c r="N49" s="328"/>
      <c r="O49" s="328"/>
      <c r="P49" s="328"/>
      <c r="Q49" s="328"/>
      <c r="R49" s="328"/>
    </row>
    <row r="50" spans="1:18" ht="13.8" x14ac:dyDescent="0.25">
      <c r="A50" s="329" t="s">
        <v>20</v>
      </c>
      <c r="B50" s="330">
        <f>'BRA Load Pricing Results'!J45</f>
        <v>22940.695003792902</v>
      </c>
      <c r="C50" s="331">
        <f>'BRA Load Pricing Results'!L45</f>
        <v>69.130480673896727</v>
      </c>
      <c r="D50" s="331">
        <f>'BRA CTRs'!AE28</f>
        <v>1.9564366844375398</v>
      </c>
      <c r="E50" s="341">
        <f t="shared" si="0"/>
        <v>67.174043989459193</v>
      </c>
      <c r="F50" s="328"/>
      <c r="G50" s="328"/>
      <c r="H50" s="328"/>
      <c r="I50" s="328"/>
      <c r="J50" s="328"/>
      <c r="K50" s="328"/>
      <c r="L50" s="328"/>
      <c r="M50" s="328"/>
      <c r="N50" s="328"/>
      <c r="O50" s="328"/>
      <c r="P50" s="328"/>
      <c r="Q50" s="328"/>
      <c r="R50" s="328"/>
    </row>
    <row r="51" spans="1:18" ht="13.8" x14ac:dyDescent="0.25">
      <c r="A51" s="329" t="s">
        <v>21</v>
      </c>
      <c r="B51" s="330">
        <f>'BRA Load Pricing Results'!J46</f>
        <v>3940.3905562070404</v>
      </c>
      <c r="C51" s="331">
        <f>'BRA Load Pricing Results'!L46</f>
        <v>50.094678600733346</v>
      </c>
      <c r="D51" s="331">
        <f>'BRA CTRs'!AE29</f>
        <v>0</v>
      </c>
      <c r="E51" s="341">
        <f t="shared" si="0"/>
        <v>50.094678600733346</v>
      </c>
      <c r="F51" s="328"/>
      <c r="G51" s="328"/>
      <c r="H51" s="328"/>
      <c r="I51" s="328"/>
      <c r="J51" s="328"/>
      <c r="K51" s="328"/>
      <c r="L51" s="328"/>
      <c r="M51" s="328"/>
      <c r="N51" s="328"/>
      <c r="O51" s="328"/>
      <c r="P51" s="328"/>
      <c r="Q51" s="328"/>
      <c r="R51" s="328"/>
    </row>
    <row r="52" spans="1:18" ht="13.8" x14ac:dyDescent="0.25">
      <c r="A52" s="329" t="s">
        <v>186</v>
      </c>
      <c r="B52" s="330">
        <f>'BRA Load Pricing Results'!J47</f>
        <v>5304.6096237726624</v>
      </c>
      <c r="C52" s="331">
        <f>'BRA Load Pricing Results'!L47</f>
        <v>71.784678600733344</v>
      </c>
      <c r="D52" s="331">
        <f>'BRA CTRs'!AE30</f>
        <v>12.409022606420187</v>
      </c>
      <c r="E52" s="341">
        <f t="shared" si="0"/>
        <v>59.375655994313156</v>
      </c>
      <c r="F52" s="328"/>
      <c r="G52" s="328"/>
      <c r="H52" s="328"/>
      <c r="I52" s="328"/>
      <c r="J52" s="328"/>
      <c r="K52" s="328"/>
      <c r="L52" s="328"/>
      <c r="M52" s="328"/>
      <c r="N52" s="328"/>
      <c r="O52" s="328"/>
      <c r="P52" s="328"/>
      <c r="Q52" s="328"/>
      <c r="R52" s="328"/>
    </row>
    <row r="53" spans="1:18" ht="13.8" x14ac:dyDescent="0.25">
      <c r="A53" s="329" t="s">
        <v>42</v>
      </c>
      <c r="B53" s="330">
        <f>'BRA Load Pricing Results'!J48</f>
        <v>3160.3855560780785</v>
      </c>
      <c r="C53" s="331">
        <f>'BRA Load Pricing Results'!L48</f>
        <v>50.094678600733346</v>
      </c>
      <c r="D53" s="331">
        <f>'BRA CTRs'!AE31</f>
        <v>0</v>
      </c>
      <c r="E53" s="341">
        <f t="shared" si="0"/>
        <v>50.094678600733346</v>
      </c>
      <c r="F53" s="328"/>
      <c r="G53" s="328"/>
      <c r="H53" s="328"/>
      <c r="I53" s="328"/>
      <c r="J53" s="328"/>
      <c r="K53" s="328"/>
      <c r="L53" s="328"/>
      <c r="M53" s="328"/>
      <c r="N53" s="328"/>
      <c r="O53" s="328"/>
      <c r="P53" s="328"/>
      <c r="Q53" s="328"/>
      <c r="R53" s="328"/>
    </row>
    <row r="54" spans="1:18" ht="13.8" x14ac:dyDescent="0.25">
      <c r="A54" s="329" t="s">
        <v>30</v>
      </c>
      <c r="B54" s="330">
        <f>'BRA Load Pricing Results'!J49</f>
        <v>3407.9463412067507</v>
      </c>
      <c r="C54" s="331">
        <f>'BRA Load Pricing Results'!L49</f>
        <v>50.094678600733346</v>
      </c>
      <c r="D54" s="331">
        <f>'BRA CTRs'!AE32</f>
        <v>0</v>
      </c>
      <c r="E54" s="341">
        <f t="shared" si="0"/>
        <v>50.094678600733346</v>
      </c>
      <c r="F54" s="328"/>
      <c r="G54" s="328"/>
      <c r="H54" s="328"/>
      <c r="I54" s="328"/>
      <c r="J54" s="328"/>
      <c r="K54" s="328"/>
      <c r="L54" s="328"/>
      <c r="M54" s="328"/>
      <c r="N54" s="328"/>
      <c r="O54" s="328"/>
      <c r="P54" s="328"/>
      <c r="Q54" s="328"/>
      <c r="R54" s="328"/>
    </row>
    <row r="55" spans="1:18" ht="13.8" x14ac:dyDescent="0.25">
      <c r="A55" s="329" t="s">
        <v>17</v>
      </c>
      <c r="B55" s="330">
        <f>'BRA Load Pricing Results'!J50</f>
        <v>4429.5261118434673</v>
      </c>
      <c r="C55" s="331">
        <f>'BRA Load Pricing Results'!L50</f>
        <v>98.044334711212443</v>
      </c>
      <c r="D55" s="331">
        <f>'BRA CTRs'!AE33</f>
        <v>0.29007234098193296</v>
      </c>
      <c r="E55" s="341">
        <f t="shared" si="0"/>
        <v>97.754262370230506</v>
      </c>
      <c r="F55" s="328"/>
      <c r="G55" s="328"/>
      <c r="H55" s="328"/>
      <c r="I55" s="328"/>
      <c r="J55" s="328"/>
      <c r="K55" s="328"/>
      <c r="L55" s="328"/>
      <c r="M55" s="328"/>
      <c r="N55" s="328"/>
      <c r="O55" s="328"/>
      <c r="P55" s="328"/>
      <c r="Q55" s="328"/>
      <c r="R55" s="328"/>
    </row>
    <row r="56" spans="1:18" ht="13.8" x14ac:dyDescent="0.25">
      <c r="A56" s="329" t="s">
        <v>187</v>
      </c>
      <c r="B56" s="330">
        <f>'BRA Load Pricing Results'!J51</f>
        <v>2758.4045050089062</v>
      </c>
      <c r="C56" s="331">
        <f>'BRA Load Pricing Results'!L51</f>
        <v>50.094678600733346</v>
      </c>
      <c r="D56" s="331">
        <f>'BRA CTRs'!AE34</f>
        <v>0</v>
      </c>
      <c r="E56" s="341">
        <f t="shared" si="0"/>
        <v>50.094678600733346</v>
      </c>
      <c r="F56" s="328"/>
      <c r="G56" s="328"/>
      <c r="H56" s="328"/>
      <c r="I56" s="328"/>
      <c r="J56" s="328"/>
      <c r="K56" s="328"/>
      <c r="L56" s="328"/>
      <c r="M56" s="328"/>
      <c r="N56" s="328"/>
      <c r="O56" s="328"/>
      <c r="P56" s="328"/>
      <c r="Q56" s="328"/>
      <c r="R56" s="328"/>
    </row>
    <row r="57" spans="1:18" ht="13.8" x14ac:dyDescent="0.25">
      <c r="A57" s="329" t="s">
        <v>12</v>
      </c>
      <c r="B57" s="330">
        <f>'BRA Load Pricing Results'!J52</f>
        <v>6694.7461122179875</v>
      </c>
      <c r="C57" s="331">
        <f>'BRA Load Pricing Results'!L52</f>
        <v>98.044334711212443</v>
      </c>
      <c r="D57" s="331">
        <f>'BRA CTRs'!AE35</f>
        <v>0.29007234098193296</v>
      </c>
      <c r="E57" s="341">
        <f t="shared" si="0"/>
        <v>97.754262370230506</v>
      </c>
      <c r="F57" s="328"/>
      <c r="G57" s="328"/>
      <c r="H57" s="328"/>
      <c r="I57" s="328"/>
      <c r="J57" s="328"/>
      <c r="K57" s="328"/>
      <c r="L57" s="328"/>
      <c r="M57" s="328"/>
      <c r="N57" s="328"/>
      <c r="O57" s="328"/>
      <c r="P57" s="328"/>
      <c r="Q57" s="328"/>
      <c r="R57" s="328"/>
    </row>
    <row r="58" spans="1:18" ht="13.8" x14ac:dyDescent="0.25">
      <c r="A58" s="329" t="s">
        <v>13</v>
      </c>
      <c r="B58" s="330">
        <f>'BRA Load Pricing Results'!J53</f>
        <v>3548.607222808932</v>
      </c>
      <c r="C58" s="331">
        <f>'BRA Load Pricing Results'!L53</f>
        <v>96.415672522912232</v>
      </c>
      <c r="D58" s="331">
        <f>'BRA CTRs'!AE36</f>
        <v>0</v>
      </c>
      <c r="E58" s="341">
        <f t="shared" si="0"/>
        <v>96.415672522912232</v>
      </c>
      <c r="F58" s="328"/>
      <c r="G58" s="328"/>
      <c r="H58" s="328"/>
      <c r="I58" s="328"/>
      <c r="J58" s="328"/>
      <c r="K58" s="328"/>
      <c r="L58" s="328"/>
      <c r="M58" s="328"/>
      <c r="N58" s="328"/>
      <c r="O58" s="328"/>
      <c r="P58" s="328"/>
      <c r="Q58" s="328"/>
      <c r="R58" s="328"/>
    </row>
    <row r="59" spans="1:18" ht="13.8" x14ac:dyDescent="0.25">
      <c r="A59" s="329" t="s">
        <v>199</v>
      </c>
      <c r="B59" s="330">
        <f>'BRA Load Pricing Results'!J54</f>
        <v>65.297222233018147</v>
      </c>
      <c r="C59" s="331">
        <f>'BRA Load Pricing Results'!L54</f>
        <v>50.094678600733346</v>
      </c>
      <c r="D59" s="331">
        <f>'BRA CTRs'!AE37</f>
        <v>0</v>
      </c>
      <c r="E59" s="341">
        <f t="shared" ref="E59" si="1">C59-D59</f>
        <v>50.094678600733346</v>
      </c>
      <c r="F59" s="328"/>
      <c r="G59" s="328"/>
      <c r="H59" s="328"/>
      <c r="I59" s="328"/>
      <c r="J59" s="328"/>
      <c r="K59" s="328"/>
      <c r="L59" s="328"/>
      <c r="M59" s="328"/>
      <c r="N59" s="328"/>
      <c r="O59" s="328"/>
      <c r="P59" s="328"/>
      <c r="Q59" s="328"/>
      <c r="R59" s="328"/>
    </row>
    <row r="60" spans="1:18" ht="13.8" x14ac:dyDescent="0.25">
      <c r="A60" s="329" t="s">
        <v>9</v>
      </c>
      <c r="B60" s="330">
        <f>'BRA Load Pricing Results'!J55</f>
        <v>9678.2355571557073</v>
      </c>
      <c r="C60" s="331">
        <f>'BRA Load Pricing Results'!L55</f>
        <v>98.044334711212443</v>
      </c>
      <c r="D60" s="331">
        <f>'BRA CTRs'!AE38</f>
        <v>0.29007234098193307</v>
      </c>
      <c r="E60" s="341">
        <f t="shared" si="0"/>
        <v>97.754262370230506</v>
      </c>
      <c r="F60" s="328"/>
      <c r="G60" s="328"/>
      <c r="H60" s="328"/>
      <c r="I60" s="328"/>
      <c r="J60" s="328"/>
      <c r="K60" s="328"/>
      <c r="L60" s="328"/>
      <c r="M60" s="328"/>
      <c r="N60" s="328"/>
      <c r="O60" s="328"/>
      <c r="P60" s="328"/>
      <c r="Q60" s="328"/>
      <c r="R60" s="328"/>
    </row>
    <row r="61" spans="1:18" ht="13.8" x14ac:dyDescent="0.25">
      <c r="A61" s="329" t="s">
        <v>14</v>
      </c>
      <c r="B61" s="330">
        <f>'BRA Load Pricing Results'!J56</f>
        <v>3350.3411116650404</v>
      </c>
      <c r="C61" s="331">
        <f>'BRA Load Pricing Results'!L56</f>
        <v>96.415672522912232</v>
      </c>
      <c r="D61" s="331">
        <f>'BRA CTRs'!AE39</f>
        <v>0</v>
      </c>
      <c r="E61" s="341">
        <f t="shared" si="0"/>
        <v>96.415672522912232</v>
      </c>
      <c r="F61" s="328"/>
      <c r="G61" s="328"/>
      <c r="H61" s="328"/>
      <c r="I61" s="328"/>
      <c r="J61" s="328"/>
      <c r="K61" s="328"/>
      <c r="L61" s="328"/>
      <c r="M61" s="328"/>
      <c r="N61" s="328"/>
      <c r="O61" s="328"/>
      <c r="P61" s="328"/>
      <c r="Q61" s="328"/>
      <c r="R61" s="328"/>
    </row>
    <row r="62" spans="1:18" ht="13.8" x14ac:dyDescent="0.25">
      <c r="A62" s="329" t="s">
        <v>15</v>
      </c>
      <c r="B62" s="330">
        <f>'BRA Load Pricing Results'!J57</f>
        <v>6698.3077788852443</v>
      </c>
      <c r="C62" s="331">
        <f>'BRA Load Pricing Results'!L57</f>
        <v>95.971546269102916</v>
      </c>
      <c r="D62" s="331">
        <f>'BRA CTRs'!AE40</f>
        <v>0</v>
      </c>
      <c r="E62" s="341">
        <f t="shared" si="0"/>
        <v>95.971546269102916</v>
      </c>
      <c r="F62" s="328"/>
      <c r="G62" s="328"/>
      <c r="H62" s="328"/>
      <c r="I62" s="328"/>
      <c r="J62" s="328"/>
      <c r="K62" s="328"/>
      <c r="L62" s="328"/>
      <c r="M62" s="328"/>
      <c r="N62" s="328"/>
      <c r="O62" s="328"/>
      <c r="P62" s="328"/>
      <c r="Q62" s="328"/>
      <c r="R62" s="328"/>
    </row>
    <row r="63" spans="1:18" ht="13.8" x14ac:dyDescent="0.25">
      <c r="A63" s="329" t="s">
        <v>10</v>
      </c>
      <c r="B63" s="330">
        <f>'BRA Load Pricing Results'!J58</f>
        <v>8596.6761125324447</v>
      </c>
      <c r="C63" s="331">
        <f>'BRA Load Pricing Results'!L58</f>
        <v>96.415672522912232</v>
      </c>
      <c r="D63" s="331">
        <f>'BRA CTRs'!AE41</f>
        <v>0</v>
      </c>
      <c r="E63" s="341">
        <f t="shared" si="0"/>
        <v>96.415672522912232</v>
      </c>
      <c r="F63" s="328"/>
      <c r="G63" s="328"/>
      <c r="H63" s="328"/>
      <c r="I63" s="328"/>
      <c r="J63" s="328"/>
      <c r="K63" s="328"/>
      <c r="L63" s="328"/>
      <c r="M63" s="328"/>
      <c r="N63" s="328"/>
      <c r="O63" s="328"/>
      <c r="P63" s="328"/>
      <c r="Q63" s="328"/>
      <c r="R63" s="328"/>
    </row>
    <row r="64" spans="1:18" ht="13.8" x14ac:dyDescent="0.25">
      <c r="A64" s="329" t="s">
        <v>8</v>
      </c>
      <c r="B64" s="330">
        <f>'BRA Load Pricing Results'!J59</f>
        <v>11196.692779628982</v>
      </c>
      <c r="C64" s="331">
        <f>'BRA Load Pricing Results'!L59</f>
        <v>98.044334711212443</v>
      </c>
      <c r="D64" s="331">
        <f>'BRA CTRs'!AE42</f>
        <v>0.29007234098193302</v>
      </c>
      <c r="E64" s="341">
        <f t="shared" si="0"/>
        <v>97.754262370230506</v>
      </c>
      <c r="F64" s="328"/>
      <c r="G64" s="328"/>
      <c r="H64" s="328"/>
      <c r="I64" s="328"/>
      <c r="J64" s="328"/>
      <c r="K64" s="328"/>
      <c r="L64" s="328"/>
      <c r="M64" s="328"/>
      <c r="N64" s="328"/>
      <c r="O64" s="328"/>
      <c r="P64" s="328"/>
      <c r="Q64" s="328"/>
      <c r="R64" s="328"/>
    </row>
    <row r="65" spans="1:18" ht="13.8" x14ac:dyDescent="0.25">
      <c r="A65" s="329" t="s">
        <v>18</v>
      </c>
      <c r="B65" s="330">
        <f>'BRA Load Pricing Results'!J60</f>
        <v>445.20833340694185</v>
      </c>
      <c r="C65" s="331">
        <f>'BRA Load Pricing Results'!L60</f>
        <v>98.044334711212443</v>
      </c>
      <c r="D65" s="331">
        <f>'BRA CTRs'!AE43</f>
        <v>0.29007234098193296</v>
      </c>
      <c r="E65" s="341">
        <f>C65-D65</f>
        <v>97.754262370230506</v>
      </c>
      <c r="F65" s="328"/>
      <c r="G65" s="328"/>
      <c r="H65" s="328"/>
      <c r="I65" s="328"/>
      <c r="J65" s="328"/>
      <c r="K65" s="328"/>
      <c r="L65" s="328"/>
      <c r="M65" s="328"/>
      <c r="N65" s="328"/>
      <c r="O65" s="328"/>
      <c r="P65" s="328"/>
      <c r="Q65" s="328"/>
      <c r="R65" s="328"/>
    </row>
    <row r="66" spans="1:18" ht="13.8" x14ac:dyDescent="0.25">
      <c r="A66" s="342" t="s">
        <v>48</v>
      </c>
      <c r="B66" s="343">
        <f>SUM(B45:B65)</f>
        <v>144477.29999999999</v>
      </c>
      <c r="C66" s="24"/>
      <c r="D66" s="24"/>
      <c r="E66" s="24"/>
      <c r="F66" s="328"/>
      <c r="G66" s="328"/>
      <c r="H66" s="328"/>
      <c r="I66" s="328"/>
      <c r="J66" s="328"/>
      <c r="K66" s="328"/>
      <c r="L66" s="328"/>
      <c r="M66" s="328"/>
      <c r="N66" s="328"/>
      <c r="O66" s="328"/>
      <c r="P66" s="328"/>
      <c r="Q66" s="328"/>
      <c r="R66" s="328"/>
    </row>
    <row r="67" spans="1:18" ht="13.8" x14ac:dyDescent="0.25">
      <c r="A67" s="344" t="s">
        <v>190</v>
      </c>
      <c r="B67" s="345"/>
      <c r="C67" s="345"/>
      <c r="D67" s="345"/>
      <c r="E67" s="345"/>
      <c r="F67" s="345"/>
      <c r="G67" s="345"/>
      <c r="H67" s="345"/>
      <c r="I67" s="345"/>
      <c r="J67" s="345"/>
      <c r="K67" s="345"/>
      <c r="L67" s="345"/>
      <c r="M67" s="345"/>
      <c r="N67" s="345"/>
      <c r="O67" s="345"/>
      <c r="P67" s="345"/>
      <c r="Q67" s="345"/>
      <c r="R67" s="346"/>
    </row>
    <row r="68" spans="1:18" ht="13.8" x14ac:dyDescent="0.3">
      <c r="A68" s="347" t="s">
        <v>188</v>
      </c>
      <c r="B68" s="347"/>
      <c r="C68" s="347"/>
      <c r="D68" s="347"/>
      <c r="E68" s="347"/>
      <c r="F68" s="347"/>
      <c r="G68" s="347"/>
      <c r="H68" s="347"/>
      <c r="I68" s="347"/>
      <c r="J68" s="347"/>
      <c r="K68" s="347"/>
      <c r="L68" s="347"/>
      <c r="M68" s="347"/>
      <c r="N68" s="347"/>
      <c r="O68" s="347"/>
      <c r="P68" s="347"/>
      <c r="Q68" s="347"/>
      <c r="R68" s="347"/>
    </row>
  </sheetData>
  <mergeCells count="3">
    <mergeCell ref="A22:A23"/>
    <mergeCell ref="A43:A44"/>
    <mergeCell ref="B43:E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xSplit="1" topLeftCell="B1" activePane="topRight" state="frozen"/>
      <selection pane="topRight"/>
    </sheetView>
  </sheetViews>
  <sheetFormatPr defaultColWidth="9.109375" defaultRowHeight="13.2" x14ac:dyDescent="0.25"/>
  <cols>
    <col min="1" max="12" width="16.6640625" style="4" customWidth="1"/>
    <col min="13" max="22" width="14.6640625" style="4" customWidth="1"/>
    <col min="23" max="16384" width="9.109375" style="4"/>
  </cols>
  <sheetData>
    <row r="1" spans="1:21" ht="18" x14ac:dyDescent="0.35">
      <c r="A1" s="59" t="s">
        <v>194</v>
      </c>
    </row>
    <row r="2" spans="1:21" ht="15" customHeight="1" x14ac:dyDescent="0.35">
      <c r="A2" s="57"/>
      <c r="B2" s="7"/>
      <c r="E2" s="20"/>
      <c r="F2" s="231"/>
      <c r="G2" s="7"/>
      <c r="H2" s="7"/>
      <c r="I2" s="7"/>
      <c r="J2" s="7"/>
      <c r="K2" s="7"/>
      <c r="L2" s="7"/>
      <c r="M2" s="7"/>
      <c r="N2" s="198"/>
      <c r="O2" s="198"/>
      <c r="P2" s="198"/>
      <c r="Q2" s="198"/>
    </row>
    <row r="3" spans="1:21" ht="15.6" x14ac:dyDescent="0.25">
      <c r="A3" s="375" t="s">
        <v>52</v>
      </c>
      <c r="B3" s="375"/>
      <c r="C3" s="63"/>
      <c r="D3" s="204" t="s">
        <v>24</v>
      </c>
      <c r="F3" s="7"/>
      <c r="G3" s="232"/>
      <c r="H3" s="232"/>
      <c r="I3" s="232"/>
      <c r="J3" s="232"/>
      <c r="K3" s="232"/>
      <c r="L3" s="232"/>
      <c r="M3" s="232"/>
      <c r="N3" s="232"/>
      <c r="O3" s="232"/>
      <c r="P3" s="232"/>
      <c r="Q3" s="232"/>
      <c r="R3" s="232"/>
      <c r="S3" s="232"/>
      <c r="T3" s="232"/>
      <c r="U3" s="232"/>
    </row>
    <row r="4" spans="1:21" s="6" customFormat="1" ht="50.1" customHeight="1" x14ac:dyDescent="0.3">
      <c r="A4" s="176" t="s">
        <v>3</v>
      </c>
      <c r="B4" s="157" t="s">
        <v>112</v>
      </c>
      <c r="C4" s="157" t="s">
        <v>136</v>
      </c>
      <c r="D4" s="176" t="s">
        <v>149</v>
      </c>
      <c r="E4" s="27"/>
      <c r="F4" s="232"/>
      <c r="G4" s="232"/>
      <c r="H4" s="232"/>
      <c r="I4" s="232"/>
      <c r="J4" s="232"/>
      <c r="K4" s="232"/>
      <c r="L4" s="232"/>
      <c r="M4" s="232"/>
      <c r="N4" s="232"/>
      <c r="O4" s="232"/>
      <c r="P4" s="232"/>
      <c r="Q4" s="232"/>
      <c r="R4" s="232"/>
      <c r="S4" s="232"/>
      <c r="T4" s="232"/>
      <c r="U4" s="232"/>
    </row>
    <row r="5" spans="1:21" ht="13.8" x14ac:dyDescent="0.3">
      <c r="A5" s="30" t="s">
        <v>6</v>
      </c>
      <c r="B5" s="31">
        <v>50</v>
      </c>
      <c r="C5" s="31">
        <v>0</v>
      </c>
      <c r="D5" s="35">
        <f>B5+C5</f>
        <v>50</v>
      </c>
      <c r="E5" s="32"/>
      <c r="F5" s="7"/>
      <c r="G5" s="232"/>
      <c r="H5" s="232"/>
      <c r="I5" s="232"/>
      <c r="J5" s="232"/>
      <c r="K5" s="232"/>
      <c r="L5" s="232"/>
      <c r="M5" s="232"/>
      <c r="N5" s="232"/>
      <c r="O5" s="232"/>
      <c r="P5" s="232"/>
      <c r="Q5" s="232"/>
      <c r="R5" s="232"/>
      <c r="S5" s="232"/>
      <c r="T5" s="232"/>
      <c r="U5" s="232"/>
    </row>
    <row r="6" spans="1:21" ht="13.8" x14ac:dyDescent="0.3">
      <c r="A6" s="30" t="s">
        <v>28</v>
      </c>
      <c r="B6" s="31">
        <f>$B$5</f>
        <v>50</v>
      </c>
      <c r="C6" s="31">
        <v>45.79</v>
      </c>
      <c r="D6" s="35">
        <f>B6+C6</f>
        <v>95.789999999999992</v>
      </c>
      <c r="E6" s="32"/>
      <c r="F6" s="7"/>
      <c r="G6" s="232"/>
      <c r="H6" s="232"/>
      <c r="I6" s="232"/>
      <c r="J6" s="232"/>
      <c r="K6" s="232"/>
      <c r="L6" s="232"/>
      <c r="M6" s="232"/>
      <c r="N6" s="232"/>
      <c r="O6" s="232"/>
      <c r="P6" s="232"/>
      <c r="Q6" s="232"/>
      <c r="R6" s="232"/>
      <c r="S6" s="232"/>
      <c r="T6" s="232"/>
      <c r="U6" s="232"/>
    </row>
    <row r="7" spans="1:21" ht="13.8" x14ac:dyDescent="0.3">
      <c r="A7" s="30" t="s">
        <v>33</v>
      </c>
      <c r="B7" s="31">
        <f t="shared" ref="B7:B19" si="0">$B$5</f>
        <v>50</v>
      </c>
      <c r="C7" s="31">
        <v>2.0699999999999998</v>
      </c>
      <c r="D7" s="35">
        <f>B7+C6+C7</f>
        <v>97.859999999999985</v>
      </c>
      <c r="E7" s="32" t="s">
        <v>24</v>
      </c>
      <c r="F7" s="7"/>
      <c r="G7" s="232"/>
      <c r="H7" s="232"/>
      <c r="I7" s="232"/>
      <c r="J7" s="232"/>
      <c r="K7" s="232"/>
      <c r="L7" s="232"/>
      <c r="M7" s="232"/>
      <c r="N7" s="232"/>
      <c r="O7" s="232"/>
      <c r="P7" s="232"/>
      <c r="Q7" s="232"/>
      <c r="R7" s="232"/>
      <c r="S7" s="232"/>
      <c r="T7" s="232"/>
      <c r="U7" s="232"/>
    </row>
    <row r="8" spans="1:21" ht="13.8" x14ac:dyDescent="0.3">
      <c r="A8" s="30" t="s">
        <v>5</v>
      </c>
      <c r="B8" s="31">
        <f t="shared" si="0"/>
        <v>50</v>
      </c>
      <c r="C8" s="31">
        <v>0</v>
      </c>
      <c r="D8" s="35">
        <f>B8+C6+C8</f>
        <v>95.789999999999992</v>
      </c>
      <c r="E8" s="32" t="s">
        <v>24</v>
      </c>
      <c r="F8" s="7"/>
      <c r="G8" s="232"/>
      <c r="H8" s="232"/>
      <c r="I8" s="232"/>
      <c r="J8" s="232"/>
      <c r="K8" s="232"/>
      <c r="L8" s="232"/>
      <c r="M8" s="232"/>
      <c r="N8" s="232"/>
      <c r="O8" s="232"/>
      <c r="P8" s="232"/>
      <c r="Q8" s="232"/>
      <c r="R8" s="232"/>
      <c r="S8" s="232"/>
      <c r="T8" s="232"/>
      <c r="U8" s="232"/>
    </row>
    <row r="9" spans="1:21" ht="13.8" x14ac:dyDescent="0.3">
      <c r="A9" s="30" t="s">
        <v>8</v>
      </c>
      <c r="B9" s="31">
        <f t="shared" si="0"/>
        <v>50</v>
      </c>
      <c r="C9" s="31">
        <v>0</v>
      </c>
      <c r="D9" s="35">
        <f>B9+C6+C7+C9</f>
        <v>97.859999999999985</v>
      </c>
      <c r="E9" s="32" t="s">
        <v>24</v>
      </c>
      <c r="F9" s="7"/>
      <c r="G9" s="232"/>
      <c r="H9" s="232"/>
      <c r="I9" s="232"/>
      <c r="J9" s="232"/>
      <c r="K9" s="232"/>
      <c r="L9" s="232"/>
      <c r="M9" s="232"/>
      <c r="N9" s="232"/>
      <c r="O9" s="232"/>
      <c r="P9" s="232"/>
      <c r="Q9" s="232"/>
      <c r="R9" s="232"/>
      <c r="S9" s="232"/>
      <c r="T9" s="232"/>
      <c r="U9" s="232"/>
    </row>
    <row r="10" spans="1:21" ht="13.8" x14ac:dyDescent="0.3">
      <c r="A10" s="30" t="s">
        <v>34</v>
      </c>
      <c r="B10" s="31">
        <f t="shared" si="0"/>
        <v>50</v>
      </c>
      <c r="C10" s="31">
        <v>0</v>
      </c>
      <c r="D10" s="35">
        <f>B10+C6+C7+C9+C10</f>
        <v>97.859999999999985</v>
      </c>
      <c r="E10" s="32"/>
      <c r="F10" s="7"/>
      <c r="G10" s="232"/>
      <c r="H10" s="232"/>
      <c r="I10" s="232"/>
      <c r="J10" s="232"/>
      <c r="K10" s="232"/>
      <c r="L10" s="232"/>
      <c r="M10" s="232"/>
      <c r="N10" s="232"/>
      <c r="O10" s="232"/>
      <c r="P10" s="232"/>
      <c r="Q10" s="232"/>
      <c r="R10" s="232"/>
      <c r="S10" s="232"/>
      <c r="T10" s="232"/>
      <c r="U10" s="232"/>
    </row>
    <row r="11" spans="1:21" ht="13.8" x14ac:dyDescent="0.3">
      <c r="A11" s="30" t="s">
        <v>35</v>
      </c>
      <c r="B11" s="31">
        <f t="shared" si="0"/>
        <v>50</v>
      </c>
      <c r="C11" s="31">
        <v>0</v>
      </c>
      <c r="D11" s="35">
        <f>B11+C6+C7+C11</f>
        <v>97.859999999999985</v>
      </c>
      <c r="E11" s="32" t="s">
        <v>24</v>
      </c>
      <c r="G11" s="232"/>
      <c r="H11" s="232"/>
      <c r="I11" s="232"/>
      <c r="J11" s="232"/>
      <c r="K11" s="232"/>
      <c r="L11" s="232"/>
      <c r="M11" s="232"/>
      <c r="N11" s="232"/>
      <c r="O11" s="232"/>
      <c r="P11" s="232"/>
      <c r="Q11" s="232"/>
      <c r="R11" s="232"/>
      <c r="S11" s="232"/>
      <c r="T11" s="232"/>
      <c r="U11" s="232"/>
    </row>
    <row r="12" spans="1:21" ht="13.8" x14ac:dyDescent="0.3">
      <c r="A12" s="22" t="s">
        <v>15</v>
      </c>
      <c r="B12" s="31">
        <f t="shared" si="0"/>
        <v>50</v>
      </c>
      <c r="C12" s="31">
        <v>0</v>
      </c>
      <c r="D12" s="35">
        <f>B12+C6+C8+C12</f>
        <v>95.789999999999992</v>
      </c>
      <c r="E12" s="32" t="s">
        <v>24</v>
      </c>
      <c r="G12" s="232"/>
      <c r="H12" s="232"/>
      <c r="I12" s="232"/>
      <c r="J12" s="232"/>
      <c r="K12" s="232"/>
      <c r="L12" s="232"/>
      <c r="M12" s="232"/>
      <c r="N12" s="232"/>
      <c r="O12" s="232"/>
      <c r="P12" s="232"/>
      <c r="Q12" s="232"/>
      <c r="R12" s="232"/>
      <c r="S12" s="232"/>
      <c r="T12" s="232"/>
      <c r="U12" s="232"/>
    </row>
    <row r="13" spans="1:21" ht="13.8" x14ac:dyDescent="0.3">
      <c r="A13" s="22" t="s">
        <v>43</v>
      </c>
      <c r="B13" s="31">
        <f t="shared" si="0"/>
        <v>50</v>
      </c>
      <c r="C13" s="31">
        <v>0</v>
      </c>
      <c r="D13" s="35">
        <f>B13+C13</f>
        <v>50</v>
      </c>
      <c r="E13" s="32"/>
      <c r="G13" s="232"/>
      <c r="H13" s="232"/>
      <c r="I13" s="232"/>
      <c r="J13" s="232"/>
      <c r="K13" s="232"/>
      <c r="L13" s="232"/>
      <c r="M13" s="232"/>
      <c r="N13" s="232"/>
      <c r="O13" s="232"/>
      <c r="P13" s="232"/>
      <c r="Q13" s="232"/>
      <c r="R13" s="232"/>
      <c r="S13" s="232"/>
      <c r="T13" s="232"/>
      <c r="U13" s="232"/>
    </row>
    <row r="14" spans="1:21" ht="13.8" x14ac:dyDescent="0.3">
      <c r="A14" s="22" t="s">
        <v>99</v>
      </c>
      <c r="B14" s="31">
        <f t="shared" si="0"/>
        <v>50</v>
      </c>
      <c r="C14" s="31">
        <v>0</v>
      </c>
      <c r="D14" s="35">
        <f>B14+C13+C14</f>
        <v>50</v>
      </c>
      <c r="E14" s="32"/>
      <c r="F14" s="32" t="s">
        <v>24</v>
      </c>
      <c r="G14" s="232"/>
      <c r="H14" s="232"/>
      <c r="I14" s="232"/>
      <c r="J14" s="232"/>
      <c r="K14" s="232"/>
      <c r="L14" s="232"/>
      <c r="M14" s="232"/>
      <c r="N14" s="232"/>
      <c r="O14" s="232"/>
      <c r="P14" s="232"/>
      <c r="Q14" s="232"/>
      <c r="R14" s="232"/>
      <c r="S14" s="232"/>
      <c r="T14" s="232"/>
      <c r="U14" s="232"/>
    </row>
    <row r="15" spans="1:21" ht="13.8" x14ac:dyDescent="0.3">
      <c r="A15" s="22" t="s">
        <v>20</v>
      </c>
      <c r="B15" s="31">
        <f t="shared" si="0"/>
        <v>50</v>
      </c>
      <c r="C15" s="31">
        <v>18.96</v>
      </c>
      <c r="D15" s="35">
        <f>B15+C15</f>
        <v>68.960000000000008</v>
      </c>
      <c r="E15" s="32" t="s">
        <v>24</v>
      </c>
      <c r="F15" s="36" t="s">
        <v>24</v>
      </c>
      <c r="G15" s="232"/>
      <c r="H15" s="232"/>
      <c r="I15" s="232"/>
      <c r="J15" s="232"/>
      <c r="K15" s="232"/>
      <c r="L15" s="232"/>
      <c r="M15" s="232"/>
      <c r="N15" s="232"/>
      <c r="O15" s="232"/>
      <c r="P15" s="232"/>
      <c r="Q15" s="232"/>
      <c r="R15" s="232"/>
      <c r="S15" s="232"/>
      <c r="T15" s="232"/>
      <c r="U15" s="232"/>
    </row>
    <row r="16" spans="1:21" ht="13.8" x14ac:dyDescent="0.3">
      <c r="A16" s="22" t="s">
        <v>11</v>
      </c>
      <c r="B16" s="31">
        <f t="shared" si="0"/>
        <v>50</v>
      </c>
      <c r="C16" s="31">
        <v>30.71</v>
      </c>
      <c r="D16" s="35">
        <f>B16+C6+C8+C16</f>
        <v>126.5</v>
      </c>
      <c r="E16" s="32"/>
      <c r="F16" s="32"/>
      <c r="G16" s="232"/>
      <c r="H16" s="232"/>
      <c r="I16" s="232"/>
      <c r="J16" s="232"/>
      <c r="K16" s="232"/>
      <c r="L16" s="232"/>
      <c r="M16" s="232"/>
      <c r="N16" s="232"/>
      <c r="O16" s="232"/>
      <c r="P16" s="232"/>
      <c r="Q16" s="232"/>
      <c r="R16" s="232"/>
      <c r="S16" s="232"/>
      <c r="T16" s="232"/>
      <c r="U16" s="232"/>
    </row>
    <row r="17" spans="1:21" ht="13.8" x14ac:dyDescent="0.3">
      <c r="A17" s="22" t="s">
        <v>10</v>
      </c>
      <c r="B17" s="31">
        <f t="shared" si="0"/>
        <v>50</v>
      </c>
      <c r="C17" s="31">
        <v>0</v>
      </c>
      <c r="D17" s="35">
        <f>B17+C6+C17</f>
        <v>95.789999999999992</v>
      </c>
      <c r="E17" s="32" t="s">
        <v>24</v>
      </c>
      <c r="F17" s="32"/>
      <c r="G17" s="232"/>
      <c r="H17" s="232"/>
      <c r="I17" s="232"/>
      <c r="J17" s="232"/>
      <c r="K17" s="232"/>
      <c r="L17" s="232"/>
      <c r="M17" s="232"/>
      <c r="N17" s="232"/>
      <c r="O17" s="232"/>
      <c r="P17" s="232"/>
      <c r="Q17" s="232"/>
      <c r="R17" s="232"/>
      <c r="S17" s="232"/>
      <c r="T17" s="232"/>
      <c r="U17" s="232"/>
    </row>
    <row r="18" spans="1:21" ht="13.8" x14ac:dyDescent="0.3">
      <c r="A18" s="22" t="s">
        <v>21</v>
      </c>
      <c r="B18" s="31">
        <f t="shared" si="0"/>
        <v>50</v>
      </c>
      <c r="C18" s="31">
        <v>0</v>
      </c>
      <c r="D18" s="35">
        <f>B18+C18</f>
        <v>50</v>
      </c>
      <c r="E18" s="117" t="s">
        <v>24</v>
      </c>
      <c r="F18" s="32"/>
      <c r="G18" s="232"/>
      <c r="H18" s="232"/>
      <c r="I18" s="232"/>
      <c r="J18" s="232"/>
      <c r="K18" s="232"/>
      <c r="L18" s="232"/>
      <c r="M18" s="232"/>
      <c r="N18" s="232"/>
      <c r="O18" s="232"/>
      <c r="P18" s="232"/>
      <c r="Q18" s="232"/>
      <c r="R18" s="232"/>
      <c r="S18" s="232"/>
      <c r="T18" s="232"/>
      <c r="U18" s="232"/>
    </row>
    <row r="19" spans="1:21" ht="13.8" x14ac:dyDescent="0.3">
      <c r="A19" s="22" t="s">
        <v>50</v>
      </c>
      <c r="B19" s="31">
        <f t="shared" si="0"/>
        <v>50</v>
      </c>
      <c r="C19" s="31">
        <v>21.69</v>
      </c>
      <c r="D19" s="35">
        <f>B19+C19</f>
        <v>71.69</v>
      </c>
      <c r="E19" s="32"/>
      <c r="F19" s="32"/>
      <c r="G19" s="232"/>
      <c r="H19" s="232"/>
      <c r="I19" s="232"/>
      <c r="J19" s="232"/>
      <c r="K19" s="232"/>
      <c r="L19" s="232"/>
      <c r="M19" s="232"/>
      <c r="N19" s="232"/>
      <c r="O19" s="232"/>
      <c r="P19" s="232"/>
      <c r="Q19" s="232"/>
      <c r="R19" s="232"/>
      <c r="S19" s="232"/>
      <c r="T19" s="232"/>
      <c r="U19" s="232"/>
    </row>
    <row r="20" spans="1:21" ht="15" customHeight="1" x14ac:dyDescent="0.3">
      <c r="A20" s="25" t="s">
        <v>123</v>
      </c>
      <c r="B20" s="34"/>
      <c r="C20" s="33"/>
      <c r="D20" s="33"/>
      <c r="E20" s="33"/>
      <c r="F20" s="33"/>
      <c r="G20" s="33"/>
      <c r="H20" s="33"/>
      <c r="I20" s="32"/>
      <c r="J20" s="32"/>
      <c r="K20"/>
    </row>
    <row r="21" spans="1:21" ht="15" customHeight="1" x14ac:dyDescent="0.3">
      <c r="A21" s="205" t="s">
        <v>135</v>
      </c>
      <c r="B21" s="200"/>
      <c r="C21" s="200"/>
      <c r="D21" s="200"/>
      <c r="E21" s="200"/>
      <c r="F21" s="200"/>
      <c r="G21" s="200"/>
      <c r="H21" s="200"/>
      <c r="I21" s="62" t="s">
        <v>24</v>
      </c>
      <c r="J21" s="40"/>
      <c r="K21"/>
    </row>
    <row r="22" spans="1:21" ht="12.75" customHeight="1" x14ac:dyDescent="0.3">
      <c r="A22" s="199"/>
      <c r="B22" s="189"/>
      <c r="C22" s="189"/>
      <c r="D22" s="189"/>
      <c r="E22" s="189"/>
      <c r="F22" s="189"/>
      <c r="G22" s="189"/>
      <c r="H22" s="189"/>
      <c r="I22" s="62"/>
      <c r="J22" s="40"/>
      <c r="K22"/>
    </row>
    <row r="23" spans="1:21" ht="13.8" x14ac:dyDescent="0.3">
      <c r="A23" s="23"/>
      <c r="B23" s="34"/>
      <c r="C23" s="34"/>
      <c r="D23" s="34"/>
      <c r="E23" s="38"/>
      <c r="F23" s="39"/>
      <c r="G23" s="39"/>
      <c r="H23" s="39"/>
      <c r="I23" s="40"/>
      <c r="J23" s="40"/>
      <c r="K23"/>
    </row>
    <row r="24" spans="1:21" ht="15.6" x14ac:dyDescent="0.3">
      <c r="A24" s="376" t="s">
        <v>53</v>
      </c>
      <c r="B24" s="377"/>
      <c r="C24" s="221" t="s">
        <v>24</v>
      </c>
      <c r="D24" s="221"/>
      <c r="E24" s="221" t="s">
        <v>24</v>
      </c>
      <c r="F24" s="221"/>
      <c r="G24" s="40"/>
      <c r="H24"/>
      <c r="I24" s="62" t="s">
        <v>24</v>
      </c>
      <c r="J24" s="62" t="s">
        <v>24</v>
      </c>
      <c r="K24" s="62" t="s">
        <v>24</v>
      </c>
      <c r="L24" s="62" t="s">
        <v>24</v>
      </c>
      <c r="M24" s="62" t="s">
        <v>24</v>
      </c>
      <c r="N24" s="62" t="s">
        <v>24</v>
      </c>
      <c r="O24" s="62" t="s">
        <v>24</v>
      </c>
      <c r="P24" s="62" t="s">
        <v>24</v>
      </c>
      <c r="Q24" s="62" t="s">
        <v>24</v>
      </c>
      <c r="R24" s="62" t="s">
        <v>24</v>
      </c>
      <c r="S24" s="62" t="s">
        <v>24</v>
      </c>
    </row>
    <row r="25" spans="1:21" ht="60" customHeight="1" x14ac:dyDescent="0.3">
      <c r="A25" s="176" t="s">
        <v>3</v>
      </c>
      <c r="B25" s="157" t="s">
        <v>137</v>
      </c>
      <c r="C25" s="157" t="s">
        <v>150</v>
      </c>
      <c r="D25" s="157" t="s">
        <v>151</v>
      </c>
      <c r="E25" s="157" t="s">
        <v>152</v>
      </c>
      <c r="F25" s="157" t="s">
        <v>143</v>
      </c>
      <c r="G25" s="157" t="s">
        <v>142</v>
      </c>
      <c r="H25" s="218"/>
      <c r="I25" s="61"/>
      <c r="J25" s="61"/>
      <c r="K25" s="61"/>
      <c r="L25" s="61"/>
      <c r="M25" s="61"/>
      <c r="N25" s="61"/>
      <c r="O25" s="61"/>
      <c r="P25" s="61"/>
      <c r="Q25" s="61"/>
      <c r="R25" s="61"/>
      <c r="S25" s="61"/>
    </row>
    <row r="26" spans="1:21" ht="13.8" x14ac:dyDescent="0.3">
      <c r="A26" s="30" t="s">
        <v>163</v>
      </c>
      <c r="B26" s="158">
        <v>143790.5</v>
      </c>
      <c r="C26" s="158">
        <v>686.8</v>
      </c>
      <c r="D26" s="158">
        <v>686.8</v>
      </c>
      <c r="E26" s="158">
        <f>MIN(C26:D26)</f>
        <v>686.8</v>
      </c>
      <c r="F26" s="158">
        <f>B26+E26</f>
        <v>144477.29999999999</v>
      </c>
      <c r="G26" s="158">
        <v>0</v>
      </c>
      <c r="H26" s="32"/>
      <c r="I26" s="61"/>
      <c r="J26" s="61"/>
      <c r="K26" s="61"/>
      <c r="L26" s="61"/>
      <c r="M26" s="61"/>
      <c r="N26" s="61"/>
      <c r="O26" s="61"/>
      <c r="P26" s="61"/>
      <c r="Q26" s="61"/>
      <c r="R26" s="61"/>
      <c r="S26" s="61"/>
    </row>
    <row r="27" spans="1:21" ht="13.8" x14ac:dyDescent="0.3">
      <c r="A27" s="30" t="s">
        <v>28</v>
      </c>
      <c r="B27" s="158">
        <v>64449.599999999999</v>
      </c>
      <c r="C27" s="158">
        <v>345.9</v>
      </c>
      <c r="D27" s="158">
        <v>164.6</v>
      </c>
      <c r="E27" s="158">
        <f t="shared" ref="E27:E40" si="1">MIN(C27:D27)</f>
        <v>164.6</v>
      </c>
      <c r="F27" s="158">
        <f>B27+E27</f>
        <v>64614.2</v>
      </c>
      <c r="G27" s="158">
        <v>0</v>
      </c>
      <c r="H27" s="45"/>
      <c r="I27" s="61"/>
      <c r="J27" s="61"/>
      <c r="K27" s="61"/>
      <c r="L27" s="61"/>
      <c r="M27" s="61"/>
      <c r="N27" s="61"/>
      <c r="O27" s="61"/>
      <c r="P27" s="61"/>
      <c r="Q27" s="61"/>
      <c r="R27" s="61"/>
      <c r="S27" s="61"/>
    </row>
    <row r="28" spans="1:21" ht="13.8" x14ac:dyDescent="0.3">
      <c r="A28" s="30" t="s">
        <v>33</v>
      </c>
      <c r="B28" s="158">
        <v>29333.8</v>
      </c>
      <c r="C28" s="158">
        <v>150.30000000000001</v>
      </c>
      <c r="D28" s="158">
        <v>0</v>
      </c>
      <c r="E28" s="158">
        <f t="shared" si="1"/>
        <v>0</v>
      </c>
      <c r="F28" s="158">
        <f>B28+E28</f>
        <v>29333.8</v>
      </c>
      <c r="G28" s="158">
        <v>0</v>
      </c>
      <c r="H28" s="32"/>
      <c r="I28" s="61"/>
      <c r="J28" s="61"/>
      <c r="K28" s="61"/>
      <c r="L28" s="61"/>
      <c r="M28" s="61"/>
      <c r="N28" s="61"/>
      <c r="O28" s="61"/>
      <c r="P28" s="61"/>
      <c r="Q28" s="61"/>
      <c r="R28" s="61"/>
      <c r="S28" s="61"/>
    </row>
    <row r="29" spans="1:21" ht="13.8" x14ac:dyDescent="0.3">
      <c r="A29" s="30" t="s">
        <v>5</v>
      </c>
      <c r="B29" s="158">
        <v>8284.1</v>
      </c>
      <c r="C29" s="158">
        <v>175.6</v>
      </c>
      <c r="D29" s="158">
        <v>0</v>
      </c>
      <c r="E29" s="158">
        <f t="shared" si="1"/>
        <v>0</v>
      </c>
      <c r="F29" s="158">
        <f>B29+E29</f>
        <v>8284.1</v>
      </c>
      <c r="G29" s="158">
        <v>0</v>
      </c>
      <c r="H29" s="45"/>
      <c r="I29" s="61"/>
      <c r="J29" s="61"/>
      <c r="K29" s="61"/>
      <c r="L29" s="61"/>
      <c r="M29" s="61"/>
      <c r="N29" s="61"/>
      <c r="O29" s="61"/>
      <c r="P29" s="61"/>
      <c r="Q29" s="61"/>
      <c r="R29" s="61"/>
      <c r="S29" s="61"/>
    </row>
    <row r="30" spans="1:21" ht="13.8" x14ac:dyDescent="0.3">
      <c r="A30" s="30" t="s">
        <v>8</v>
      </c>
      <c r="B30" s="158">
        <v>4436.5</v>
      </c>
      <c r="C30" s="158">
        <v>17.7</v>
      </c>
      <c r="D30" s="158">
        <v>0</v>
      </c>
      <c r="E30" s="158">
        <f t="shared" si="1"/>
        <v>0</v>
      </c>
      <c r="F30" s="158">
        <f>B30+E30</f>
        <v>4436.5</v>
      </c>
      <c r="G30" s="158">
        <v>0</v>
      </c>
      <c r="H30" s="32"/>
      <c r="I30" s="61"/>
      <c r="J30" s="61"/>
      <c r="K30" s="61"/>
      <c r="L30" s="61"/>
      <c r="M30" s="61"/>
      <c r="N30" s="61"/>
      <c r="O30" s="61"/>
      <c r="P30" s="61"/>
      <c r="Q30" s="61"/>
      <c r="R30" s="61"/>
      <c r="S30" s="61"/>
    </row>
    <row r="31" spans="1:21" ht="13.8" x14ac:dyDescent="0.3">
      <c r="A31" s="30" t="s">
        <v>34</v>
      </c>
      <c r="B31" s="158">
        <v>2527.1999999999998</v>
      </c>
      <c r="C31" s="158">
        <v>7.7</v>
      </c>
      <c r="D31" s="158">
        <v>0</v>
      </c>
      <c r="E31" s="158">
        <f t="shared" si="1"/>
        <v>0</v>
      </c>
      <c r="F31" s="158">
        <f t="shared" ref="F31:F40" si="2">B31+E31</f>
        <v>2527.1999999999998</v>
      </c>
      <c r="G31" s="158">
        <v>0</v>
      </c>
      <c r="H31" s="32"/>
      <c r="I31" s="61"/>
      <c r="J31" s="61"/>
      <c r="K31" s="61"/>
      <c r="L31" s="61"/>
      <c r="M31" s="61"/>
      <c r="N31" s="61"/>
      <c r="O31" s="61"/>
      <c r="P31" s="61"/>
      <c r="Q31" s="61"/>
      <c r="R31" s="61"/>
      <c r="S31" s="61"/>
    </row>
    <row r="32" spans="1:21" ht="13.8" x14ac:dyDescent="0.3">
      <c r="A32" s="30" t="s">
        <v>35</v>
      </c>
      <c r="B32" s="158">
        <v>1305.3</v>
      </c>
      <c r="C32" s="158">
        <v>0</v>
      </c>
      <c r="D32" s="158">
        <v>0</v>
      </c>
      <c r="E32" s="158">
        <f t="shared" si="1"/>
        <v>0</v>
      </c>
      <c r="F32" s="158">
        <f t="shared" si="2"/>
        <v>1305.3</v>
      </c>
      <c r="G32" s="158">
        <v>0</v>
      </c>
      <c r="H32" s="23"/>
      <c r="I32" s="61"/>
      <c r="J32" s="61"/>
      <c r="K32" s="61"/>
      <c r="L32" s="61"/>
      <c r="M32" s="61"/>
      <c r="N32" s="61"/>
      <c r="O32" s="61"/>
      <c r="P32" s="61"/>
      <c r="Q32" s="61"/>
      <c r="R32" s="61"/>
      <c r="S32" s="61"/>
    </row>
    <row r="33" spans="1:19" ht="13.8" x14ac:dyDescent="0.3">
      <c r="A33" s="22" t="s">
        <v>15</v>
      </c>
      <c r="B33" s="158">
        <v>3533.6</v>
      </c>
      <c r="C33" s="158">
        <v>174.9</v>
      </c>
      <c r="D33" s="158">
        <v>0</v>
      </c>
      <c r="E33" s="158">
        <f t="shared" si="1"/>
        <v>0</v>
      </c>
      <c r="F33" s="158">
        <f t="shared" si="2"/>
        <v>3533.6</v>
      </c>
      <c r="G33" s="158">
        <v>0</v>
      </c>
      <c r="H33" s="45"/>
      <c r="I33" s="61"/>
      <c r="J33" s="61"/>
      <c r="K33" s="61"/>
      <c r="L33" s="61"/>
      <c r="M33" s="61"/>
      <c r="N33" s="61"/>
      <c r="O33" s="61"/>
      <c r="P33" s="61"/>
      <c r="Q33" s="61"/>
      <c r="R33" s="61"/>
      <c r="S33" s="61"/>
    </row>
    <row r="34" spans="1:19" ht="13.8" x14ac:dyDescent="0.3">
      <c r="A34" s="22" t="s">
        <v>43</v>
      </c>
      <c r="B34" s="158">
        <v>10543.9</v>
      </c>
      <c r="C34" s="158">
        <v>13.4</v>
      </c>
      <c r="D34" s="158">
        <v>0</v>
      </c>
      <c r="E34" s="158">
        <f t="shared" si="1"/>
        <v>0</v>
      </c>
      <c r="F34" s="158">
        <f t="shared" si="2"/>
        <v>10543.9</v>
      </c>
      <c r="G34" s="158">
        <v>0</v>
      </c>
      <c r="H34" s="32"/>
      <c r="I34" s="61"/>
      <c r="J34" s="61"/>
      <c r="K34" s="61"/>
      <c r="L34" s="61"/>
      <c r="M34" s="61"/>
      <c r="N34" s="61"/>
      <c r="O34" s="61"/>
      <c r="P34" s="61"/>
      <c r="Q34" s="61"/>
      <c r="R34" s="61"/>
      <c r="S34" s="61"/>
    </row>
    <row r="35" spans="1:19" ht="13.8" x14ac:dyDescent="0.3">
      <c r="A35" s="22" t="s">
        <v>99</v>
      </c>
      <c r="B35" s="158">
        <v>1912.5</v>
      </c>
      <c r="C35" s="158">
        <v>0.9</v>
      </c>
      <c r="D35" s="158">
        <v>0</v>
      </c>
      <c r="E35" s="158">
        <f t="shared" si="1"/>
        <v>0</v>
      </c>
      <c r="F35" s="158">
        <f t="shared" si="2"/>
        <v>1912.5</v>
      </c>
      <c r="G35" s="158">
        <v>0</v>
      </c>
      <c r="H35" s="32"/>
      <c r="I35" s="61"/>
      <c r="J35" s="61"/>
      <c r="K35" s="61"/>
      <c r="L35" s="61"/>
      <c r="M35" s="61"/>
      <c r="N35" s="61"/>
      <c r="O35" s="61"/>
      <c r="P35" s="61"/>
      <c r="Q35" s="61"/>
      <c r="R35" s="61"/>
      <c r="S35" s="61"/>
    </row>
    <row r="36" spans="1:19" ht="13.8" x14ac:dyDescent="0.3">
      <c r="A36" s="22" t="s">
        <v>20</v>
      </c>
      <c r="B36" s="158">
        <v>18914.8</v>
      </c>
      <c r="C36" s="158">
        <v>282.7</v>
      </c>
      <c r="D36" s="158">
        <v>335.5</v>
      </c>
      <c r="E36" s="158">
        <f t="shared" si="1"/>
        <v>282.7</v>
      </c>
      <c r="F36" s="158">
        <f t="shared" si="2"/>
        <v>19197.5</v>
      </c>
      <c r="G36" s="158">
        <v>0</v>
      </c>
      <c r="H36" s="32"/>
      <c r="I36" s="61"/>
      <c r="J36" s="61"/>
      <c r="K36" s="61"/>
      <c r="L36" s="61"/>
      <c r="M36" s="61"/>
      <c r="N36" s="61"/>
      <c r="O36" s="61"/>
      <c r="P36" s="61"/>
      <c r="Q36" s="61"/>
      <c r="R36" s="61"/>
      <c r="S36" s="61"/>
    </row>
    <row r="37" spans="1:19" ht="13.8" x14ac:dyDescent="0.3">
      <c r="A37" s="22" t="s">
        <v>11</v>
      </c>
      <c r="B37" s="158">
        <v>2494.5</v>
      </c>
      <c r="C37" s="158">
        <v>0.7</v>
      </c>
      <c r="D37" s="158">
        <v>0</v>
      </c>
      <c r="E37" s="158">
        <f t="shared" si="1"/>
        <v>0</v>
      </c>
      <c r="F37" s="158">
        <f t="shared" si="2"/>
        <v>2494.5</v>
      </c>
      <c r="G37" s="158">
        <v>0</v>
      </c>
      <c r="H37" s="32"/>
      <c r="I37" s="61"/>
      <c r="J37" s="61"/>
      <c r="K37" s="61"/>
      <c r="L37" s="61"/>
      <c r="M37" s="61"/>
      <c r="N37" s="61"/>
      <c r="O37" s="61"/>
      <c r="P37" s="61"/>
      <c r="Q37" s="61"/>
      <c r="R37" s="61"/>
      <c r="S37" s="61"/>
    </row>
    <row r="38" spans="1:19" ht="13.8" x14ac:dyDescent="0.3">
      <c r="A38" s="22" t="s">
        <v>10</v>
      </c>
      <c r="B38" s="158">
        <v>10129.700000000001</v>
      </c>
      <c r="C38" s="158">
        <v>15</v>
      </c>
      <c r="D38" s="158">
        <v>56.7</v>
      </c>
      <c r="E38" s="158">
        <f t="shared" si="1"/>
        <v>15</v>
      </c>
      <c r="F38" s="158">
        <f t="shared" si="2"/>
        <v>10144.700000000001</v>
      </c>
      <c r="G38" s="158">
        <v>0</v>
      </c>
      <c r="H38" s="32"/>
      <c r="I38" s="61"/>
      <c r="J38" s="61"/>
      <c r="K38" s="61"/>
      <c r="L38" s="61"/>
      <c r="M38" s="61"/>
      <c r="N38" s="61"/>
      <c r="O38" s="61"/>
      <c r="P38" s="61"/>
      <c r="Q38" s="61"/>
      <c r="R38" s="61"/>
      <c r="S38" s="61"/>
    </row>
    <row r="39" spans="1:19" ht="13.8" x14ac:dyDescent="0.3">
      <c r="A39" s="22" t="s">
        <v>21</v>
      </c>
      <c r="B39" s="202">
        <v>1253</v>
      </c>
      <c r="C39" s="202">
        <v>10.5</v>
      </c>
      <c r="D39" s="202">
        <v>0</v>
      </c>
      <c r="E39" s="202">
        <f t="shared" si="1"/>
        <v>0</v>
      </c>
      <c r="F39" s="202">
        <f t="shared" si="2"/>
        <v>1253</v>
      </c>
      <c r="G39" s="202">
        <v>0</v>
      </c>
      <c r="H39" s="32"/>
      <c r="I39" s="61"/>
      <c r="J39" s="61"/>
      <c r="K39" s="61"/>
      <c r="L39" s="61"/>
      <c r="M39" s="61"/>
      <c r="N39" s="61"/>
      <c r="O39" s="61"/>
      <c r="P39" s="61"/>
      <c r="Q39" s="61"/>
      <c r="R39" s="61"/>
      <c r="S39" s="61"/>
    </row>
    <row r="40" spans="1:19" ht="13.8" x14ac:dyDescent="0.3">
      <c r="A40" s="22" t="s">
        <v>50</v>
      </c>
      <c r="B40" s="202">
        <v>2114.8000000000002</v>
      </c>
      <c r="C40" s="202">
        <v>5.8</v>
      </c>
      <c r="D40" s="202">
        <v>0</v>
      </c>
      <c r="E40" s="202">
        <f t="shared" si="1"/>
        <v>0</v>
      </c>
      <c r="F40" s="202">
        <f t="shared" si="2"/>
        <v>2114.8000000000002</v>
      </c>
      <c r="G40" s="202">
        <v>0</v>
      </c>
      <c r="H40" s="32"/>
      <c r="I40" s="61"/>
      <c r="J40" s="61"/>
      <c r="K40" s="61"/>
      <c r="L40" s="61"/>
      <c r="M40" s="61"/>
      <c r="N40" s="61"/>
      <c r="O40" s="61"/>
      <c r="P40" s="61"/>
      <c r="Q40" s="61"/>
      <c r="R40" s="61"/>
      <c r="S40" s="61"/>
    </row>
    <row r="41" spans="1:19" ht="13.8" x14ac:dyDescent="0.3">
      <c r="A41" s="201" t="s">
        <v>164</v>
      </c>
      <c r="B41" s="201"/>
      <c r="C41" s="201"/>
      <c r="D41" s="201"/>
      <c r="E41" s="201"/>
      <c r="F41" s="201"/>
      <c r="G41" s="201"/>
      <c r="H41" s="115"/>
      <c r="I41" s="115"/>
      <c r="J41" s="76"/>
      <c r="K41" s="223"/>
    </row>
    <row r="42" spans="1:19" ht="13.8" x14ac:dyDescent="0.3">
      <c r="A42" s="23"/>
      <c r="B42" s="34"/>
      <c r="C42" s="34"/>
      <c r="D42" s="34"/>
      <c r="E42" s="34"/>
      <c r="F42" s="39"/>
      <c r="G42" s="60"/>
      <c r="H42" s="61"/>
      <c r="I42" s="61"/>
      <c r="J42" s="372"/>
      <c r="K42" s="372"/>
      <c r="L42" s="7"/>
    </row>
    <row r="43" spans="1:19" ht="15.6" x14ac:dyDescent="0.3">
      <c r="A43" s="378" t="s">
        <v>51</v>
      </c>
      <c r="B43" s="379"/>
      <c r="C43" s="221" t="s">
        <v>24</v>
      </c>
      <c r="D43" s="221"/>
      <c r="E43" s="221"/>
      <c r="F43" s="207"/>
      <c r="G43" s="224" t="s">
        <v>24</v>
      </c>
      <c r="H43" s="61"/>
      <c r="I43" s="61"/>
      <c r="J43" s="227"/>
      <c r="K43" s="227"/>
      <c r="L43" s="7"/>
    </row>
    <row r="44" spans="1:19" ht="60" customHeight="1" x14ac:dyDescent="0.25">
      <c r="A44" s="176" t="s">
        <v>3</v>
      </c>
      <c r="B44" s="239" t="s">
        <v>137</v>
      </c>
      <c r="C44" s="157" t="s">
        <v>152</v>
      </c>
      <c r="D44" s="157" t="s">
        <v>143</v>
      </c>
      <c r="E44" s="176" t="s">
        <v>153</v>
      </c>
      <c r="F44" s="218"/>
      <c r="G44" s="218"/>
      <c r="H44" s="218"/>
      <c r="I44" s="218"/>
      <c r="J44" s="218"/>
    </row>
    <row r="45" spans="1:19" ht="13.8" x14ac:dyDescent="0.3">
      <c r="A45" s="30" t="s">
        <v>44</v>
      </c>
      <c r="B45" s="240">
        <f>B26-B27-B34-B36-B39-B40</f>
        <v>46514.399999999994</v>
      </c>
      <c r="C45" s="47">
        <f>E26-E27-E34-E36-E39-E40</f>
        <v>239.49999999999994</v>
      </c>
      <c r="D45" s="48">
        <f>B45+C45</f>
        <v>46753.899999999994</v>
      </c>
      <c r="E45" s="225">
        <f>D45*D5</f>
        <v>2337694.9999999995</v>
      </c>
      <c r="F45" s="54"/>
      <c r="G45" s="228"/>
      <c r="H45" s="228"/>
      <c r="I45" s="228"/>
      <c r="J45" s="36"/>
      <c r="K45" s="217" t="s">
        <v>24</v>
      </c>
    </row>
    <row r="46" spans="1:19" ht="13.8" x14ac:dyDescent="0.3">
      <c r="A46" s="30" t="s">
        <v>47</v>
      </c>
      <c r="B46" s="240">
        <f>B27-B28-B29-B38</f>
        <v>16702.000000000004</v>
      </c>
      <c r="C46" s="47">
        <f>E27-E28-E29-E38</f>
        <v>149.6</v>
      </c>
      <c r="D46" s="48">
        <f>B46+C46</f>
        <v>16851.600000000002</v>
      </c>
      <c r="E46" s="225">
        <f>D46*D6</f>
        <v>1614214.764</v>
      </c>
      <c r="F46" s="54" t="s">
        <v>24</v>
      </c>
      <c r="G46" s="228"/>
      <c r="H46" s="228"/>
      <c r="I46" s="228"/>
      <c r="J46" s="36"/>
      <c r="K46" s="217" t="s">
        <v>24</v>
      </c>
    </row>
    <row r="47" spans="1:19" ht="13.8" x14ac:dyDescent="0.3">
      <c r="A47" s="30" t="s">
        <v>46</v>
      </c>
      <c r="B47" s="240">
        <f>B28-B30-B32</f>
        <v>23592</v>
      </c>
      <c r="C47" s="47">
        <f>E28-E30-E32</f>
        <v>0</v>
      </c>
      <c r="D47" s="48">
        <f>B47+C47</f>
        <v>23592</v>
      </c>
      <c r="E47" s="225">
        <f t="shared" ref="E47:E59" si="3">D47*D7</f>
        <v>2308713.1199999996</v>
      </c>
      <c r="F47" s="54" t="s">
        <v>24</v>
      </c>
      <c r="G47" s="228"/>
      <c r="H47" s="228"/>
      <c r="I47" s="228"/>
      <c r="J47" s="36"/>
      <c r="K47" s="217" t="s">
        <v>24</v>
      </c>
    </row>
    <row r="48" spans="1:19" ht="13.8" x14ac:dyDescent="0.3">
      <c r="A48" s="30" t="s">
        <v>45</v>
      </c>
      <c r="B48" s="240">
        <f>B29-B33-B37</f>
        <v>2256</v>
      </c>
      <c r="C48" s="47">
        <f>E29-E33-E37</f>
        <v>0</v>
      </c>
      <c r="D48" s="48">
        <f t="shared" ref="D48:D59" si="4">B48+C48</f>
        <v>2256</v>
      </c>
      <c r="E48" s="225">
        <f t="shared" si="3"/>
        <v>216102.24</v>
      </c>
      <c r="F48" s="54"/>
      <c r="G48" s="228"/>
      <c r="H48" s="228"/>
      <c r="I48" s="228"/>
      <c r="J48" s="36"/>
      <c r="K48" s="217" t="s">
        <v>24</v>
      </c>
    </row>
    <row r="49" spans="1:13" ht="13.8" x14ac:dyDescent="0.3">
      <c r="A49" s="30" t="s">
        <v>37</v>
      </c>
      <c r="B49" s="240">
        <f>B30-B31</f>
        <v>1909.3000000000002</v>
      </c>
      <c r="C49" s="47">
        <f>E30-E31</f>
        <v>0</v>
      </c>
      <c r="D49" s="48">
        <f t="shared" si="4"/>
        <v>1909.3000000000002</v>
      </c>
      <c r="E49" s="225">
        <f t="shared" si="3"/>
        <v>186844.098</v>
      </c>
      <c r="F49" s="54"/>
      <c r="G49" s="228"/>
      <c r="H49" s="228"/>
      <c r="I49" s="228"/>
      <c r="J49" s="36"/>
      <c r="K49" s="217" t="s">
        <v>24</v>
      </c>
    </row>
    <row r="50" spans="1:13" ht="13.8" x14ac:dyDescent="0.3">
      <c r="A50" s="30" t="s">
        <v>34</v>
      </c>
      <c r="B50" s="240">
        <f t="shared" ref="B50:B52" si="5">B31</f>
        <v>2527.1999999999998</v>
      </c>
      <c r="C50" s="47">
        <f>E31</f>
        <v>0</v>
      </c>
      <c r="D50" s="48">
        <f t="shared" si="4"/>
        <v>2527.1999999999998</v>
      </c>
      <c r="E50" s="225">
        <f t="shared" si="3"/>
        <v>247311.79199999996</v>
      </c>
      <c r="F50" s="54"/>
      <c r="G50" s="228"/>
      <c r="H50" s="228"/>
      <c r="I50" s="228"/>
      <c r="J50" s="36"/>
      <c r="K50" s="217" t="s">
        <v>24</v>
      </c>
    </row>
    <row r="51" spans="1:13" ht="13.8" x14ac:dyDescent="0.3">
      <c r="A51" s="30" t="s">
        <v>35</v>
      </c>
      <c r="B51" s="240">
        <f t="shared" si="5"/>
        <v>1305.3</v>
      </c>
      <c r="C51" s="47">
        <f>E32</f>
        <v>0</v>
      </c>
      <c r="D51" s="48">
        <f t="shared" si="4"/>
        <v>1305.3</v>
      </c>
      <c r="E51" s="225">
        <f t="shared" si="3"/>
        <v>127736.65799999998</v>
      </c>
      <c r="F51" s="228"/>
      <c r="G51" s="228"/>
      <c r="H51" s="228"/>
      <c r="I51" s="228"/>
      <c r="J51" s="36"/>
      <c r="K51" s="217" t="s">
        <v>24</v>
      </c>
    </row>
    <row r="52" spans="1:13" ht="13.8" x14ac:dyDescent="0.3">
      <c r="A52" s="30" t="s">
        <v>15</v>
      </c>
      <c r="B52" s="240">
        <f t="shared" si="5"/>
        <v>3533.6</v>
      </c>
      <c r="C52" s="47">
        <f>E33</f>
        <v>0</v>
      </c>
      <c r="D52" s="48">
        <f t="shared" si="4"/>
        <v>3533.6</v>
      </c>
      <c r="E52" s="225">
        <f t="shared" si="3"/>
        <v>338483.54399999994</v>
      </c>
      <c r="F52" s="54"/>
      <c r="G52" s="228"/>
      <c r="H52" s="228"/>
      <c r="I52" s="228"/>
      <c r="J52" s="36"/>
      <c r="K52" s="217" t="s">
        <v>24</v>
      </c>
    </row>
    <row r="53" spans="1:13" ht="13.8" x14ac:dyDescent="0.3">
      <c r="A53" s="30" t="s">
        <v>100</v>
      </c>
      <c r="B53" s="240">
        <f>B34-B35</f>
        <v>8631.4</v>
      </c>
      <c r="C53" s="47">
        <f>E34-E35</f>
        <v>0</v>
      </c>
      <c r="D53" s="48">
        <f t="shared" si="4"/>
        <v>8631.4</v>
      </c>
      <c r="E53" s="225">
        <f t="shared" si="3"/>
        <v>431570</v>
      </c>
      <c r="F53" s="54"/>
      <c r="G53" s="228"/>
      <c r="H53" s="228"/>
      <c r="I53" s="228"/>
      <c r="J53" s="36"/>
      <c r="K53" s="217" t="s">
        <v>24</v>
      </c>
    </row>
    <row r="54" spans="1:13" ht="13.8" x14ac:dyDescent="0.3">
      <c r="A54" s="22" t="s">
        <v>99</v>
      </c>
      <c r="B54" s="240">
        <f t="shared" ref="B54:B59" si="6">B35</f>
        <v>1912.5</v>
      </c>
      <c r="C54" s="47">
        <f t="shared" ref="C54:C56" si="7">E35</f>
        <v>0</v>
      </c>
      <c r="D54" s="48">
        <f t="shared" si="4"/>
        <v>1912.5</v>
      </c>
      <c r="E54" s="225">
        <f t="shared" si="3"/>
        <v>95625</v>
      </c>
      <c r="F54" s="54"/>
      <c r="G54" s="228" t="s">
        <v>24</v>
      </c>
      <c r="H54" s="228"/>
      <c r="I54" s="228"/>
      <c r="J54" s="36"/>
      <c r="K54" s="217" t="s">
        <v>24</v>
      </c>
    </row>
    <row r="55" spans="1:13" ht="13.8" x14ac:dyDescent="0.3">
      <c r="A55" s="22" t="s">
        <v>20</v>
      </c>
      <c r="B55" s="240">
        <f t="shared" si="6"/>
        <v>18914.8</v>
      </c>
      <c r="C55" s="47">
        <f>E36</f>
        <v>282.7</v>
      </c>
      <c r="D55" s="48">
        <f t="shared" si="4"/>
        <v>19197.5</v>
      </c>
      <c r="E55" s="225">
        <f t="shared" si="3"/>
        <v>1323859.6000000001</v>
      </c>
      <c r="F55" s="54"/>
      <c r="G55" s="228"/>
      <c r="H55" s="228"/>
      <c r="I55" s="228"/>
      <c r="J55" s="36"/>
      <c r="K55" s="217" t="s">
        <v>24</v>
      </c>
    </row>
    <row r="56" spans="1:13" ht="13.8" x14ac:dyDescent="0.3">
      <c r="A56" s="22" t="s">
        <v>11</v>
      </c>
      <c r="B56" s="240">
        <f t="shared" si="6"/>
        <v>2494.5</v>
      </c>
      <c r="C56" s="47">
        <f t="shared" si="7"/>
        <v>0</v>
      </c>
      <c r="D56" s="48">
        <f t="shared" si="4"/>
        <v>2494.5</v>
      </c>
      <c r="E56" s="225">
        <f t="shared" si="3"/>
        <v>315554.25</v>
      </c>
      <c r="F56" s="54"/>
      <c r="G56" s="228"/>
      <c r="H56" s="228"/>
      <c r="I56" s="228"/>
      <c r="J56" s="36"/>
      <c r="K56" s="217" t="s">
        <v>24</v>
      </c>
    </row>
    <row r="57" spans="1:13" ht="13.8" x14ac:dyDescent="0.3">
      <c r="A57" s="22" t="s">
        <v>10</v>
      </c>
      <c r="B57" s="240">
        <f t="shared" si="6"/>
        <v>10129.700000000001</v>
      </c>
      <c r="C57" s="47">
        <f>E38</f>
        <v>15</v>
      </c>
      <c r="D57" s="48">
        <f t="shared" si="4"/>
        <v>10144.700000000001</v>
      </c>
      <c r="E57" s="225">
        <f t="shared" si="3"/>
        <v>971760.81299999997</v>
      </c>
      <c r="F57" s="54"/>
      <c r="G57" s="228"/>
      <c r="H57" s="228"/>
      <c r="I57" s="228"/>
      <c r="J57" s="36"/>
      <c r="K57" s="217" t="s">
        <v>24</v>
      </c>
    </row>
    <row r="58" spans="1:13" ht="13.8" x14ac:dyDescent="0.3">
      <c r="A58" s="22" t="s">
        <v>21</v>
      </c>
      <c r="B58" s="240">
        <f t="shared" si="6"/>
        <v>1253</v>
      </c>
      <c r="C58" s="47">
        <f>E39</f>
        <v>0</v>
      </c>
      <c r="D58" s="48">
        <f t="shared" si="4"/>
        <v>1253</v>
      </c>
      <c r="E58" s="225">
        <f t="shared" si="3"/>
        <v>62650</v>
      </c>
      <c r="F58" s="54"/>
      <c r="G58" s="228"/>
      <c r="H58" s="228"/>
      <c r="I58" s="228"/>
      <c r="J58" s="36"/>
      <c r="K58" s="217" t="s">
        <v>24</v>
      </c>
    </row>
    <row r="59" spans="1:13" ht="13.8" x14ac:dyDescent="0.3">
      <c r="A59" s="22" t="s">
        <v>50</v>
      </c>
      <c r="B59" s="240">
        <f t="shared" si="6"/>
        <v>2114.8000000000002</v>
      </c>
      <c r="C59" s="47">
        <f>E40</f>
        <v>0</v>
      </c>
      <c r="D59" s="48">
        <f t="shared" si="4"/>
        <v>2114.8000000000002</v>
      </c>
      <c r="E59" s="225">
        <f t="shared" si="3"/>
        <v>151610.01200000002</v>
      </c>
      <c r="F59" s="54"/>
      <c r="G59" s="228"/>
      <c r="H59" s="228"/>
      <c r="I59" s="228"/>
      <c r="J59" s="36"/>
      <c r="K59" s="217" t="s">
        <v>24</v>
      </c>
    </row>
    <row r="60" spans="1:13" ht="13.8" x14ac:dyDescent="0.3">
      <c r="A60" s="206" t="s">
        <v>48</v>
      </c>
      <c r="B60" s="241">
        <f t="shared" ref="B60" si="8">SUM(B45:B59)</f>
        <v>143790.5</v>
      </c>
      <c r="C60" s="53">
        <f>SUM(C45:C59)</f>
        <v>686.8</v>
      </c>
      <c r="D60" s="53">
        <f>SUM(D45:D59)</f>
        <v>144477.29999999999</v>
      </c>
      <c r="E60" s="226">
        <f>SUM(E45:E59)</f>
        <v>10729730.890999999</v>
      </c>
      <c r="F60" s="209"/>
      <c r="G60" s="61" t="s">
        <v>24</v>
      </c>
      <c r="H60" s="61"/>
      <c r="I60" s="61"/>
      <c r="J60" s="229"/>
      <c r="K60" s="217" t="s">
        <v>24</v>
      </c>
      <c r="L60" s="217" t="s">
        <v>24</v>
      </c>
    </row>
    <row r="61" spans="1:13" ht="13.8" x14ac:dyDescent="0.3">
      <c r="A61" s="208"/>
      <c r="B61" s="209"/>
      <c r="C61" s="209"/>
      <c r="D61" s="209" t="s">
        <v>24</v>
      </c>
      <c r="E61" s="209"/>
      <c r="F61" s="209"/>
      <c r="G61" s="209"/>
      <c r="H61" s="61"/>
      <c r="I61" s="61"/>
      <c r="J61" s="61"/>
      <c r="K61" s="40"/>
      <c r="L61" s="40"/>
      <c r="M61" s="40"/>
    </row>
    <row r="62" spans="1:13" ht="13.8" x14ac:dyDescent="0.3">
      <c r="A62" s="32"/>
      <c r="B62" s="54"/>
      <c r="C62" s="54"/>
      <c r="D62" s="373"/>
      <c r="E62" s="373"/>
      <c r="F62" s="37" t="s">
        <v>24</v>
      </c>
      <c r="G62" s="36"/>
      <c r="H62" s="54"/>
    </row>
    <row r="63" spans="1:13" ht="15.6" x14ac:dyDescent="0.3">
      <c r="A63" s="380" t="s">
        <v>109</v>
      </c>
      <c r="B63" s="381"/>
      <c r="C63" s="34"/>
      <c r="D63" s="198"/>
      <c r="E63" s="324" t="s">
        <v>24</v>
      </c>
      <c r="F63" s="36"/>
    </row>
    <row r="64" spans="1:13" ht="60" customHeight="1" x14ac:dyDescent="0.25">
      <c r="A64" s="176" t="s">
        <v>3</v>
      </c>
      <c r="B64" s="157" t="s">
        <v>138</v>
      </c>
      <c r="C64" s="177" t="s">
        <v>139</v>
      </c>
      <c r="D64" s="177" t="s">
        <v>140</v>
      </c>
      <c r="E64" s="177" t="s">
        <v>141</v>
      </c>
      <c r="F64" s="178" t="s">
        <v>113</v>
      </c>
      <c r="G64" s="176" t="s">
        <v>144</v>
      </c>
      <c r="H64" s="237" t="s">
        <v>24</v>
      </c>
      <c r="I64" s="7"/>
    </row>
    <row r="65" spans="1:8" ht="13.8" x14ac:dyDescent="0.3">
      <c r="A65" s="175" t="s">
        <v>44</v>
      </c>
      <c r="B65" s="47">
        <f>G26-G27-G34-G36</f>
        <v>0</v>
      </c>
      <c r="C65" s="31">
        <f>B65*D5</f>
        <v>0</v>
      </c>
      <c r="D65" s="31">
        <v>0</v>
      </c>
      <c r="E65" s="35">
        <v>0</v>
      </c>
      <c r="F65" s="31">
        <v>0</v>
      </c>
      <c r="G65" s="49">
        <f>C65+D65*184/365+E65*181/365+F65</f>
        <v>0</v>
      </c>
      <c r="H65" s="18" t="s">
        <v>24</v>
      </c>
    </row>
    <row r="66" spans="1:8" ht="13.8" x14ac:dyDescent="0.3">
      <c r="A66" s="175" t="s">
        <v>47</v>
      </c>
      <c r="B66" s="47">
        <f>G27-G28-G29-G38</f>
        <v>0</v>
      </c>
      <c r="C66" s="31">
        <f t="shared" ref="C66:C77" si="9">B66*D6</f>
        <v>0</v>
      </c>
      <c r="D66" s="31">
        <v>0</v>
      </c>
      <c r="E66" s="35">
        <v>21.05</v>
      </c>
      <c r="F66" s="31">
        <v>0</v>
      </c>
      <c r="G66" s="49">
        <f>C66+D66*184/365+E66*181/365+F66</f>
        <v>10.438493150684932</v>
      </c>
    </row>
    <row r="67" spans="1:8" ht="13.8" x14ac:dyDescent="0.3">
      <c r="A67" s="175" t="s">
        <v>46</v>
      </c>
      <c r="B67" s="47">
        <f>G28-G30-G32</f>
        <v>0</v>
      </c>
      <c r="C67" s="31">
        <f t="shared" si="9"/>
        <v>0</v>
      </c>
      <c r="D67" s="31">
        <v>0</v>
      </c>
      <c r="E67" s="35">
        <v>0</v>
      </c>
      <c r="F67" s="31">
        <v>0</v>
      </c>
      <c r="G67" s="49">
        <f>C67+D67*184/365+E67*181/365+F67</f>
        <v>0</v>
      </c>
    </row>
    <row r="68" spans="1:8" ht="13.8" x14ac:dyDescent="0.3">
      <c r="A68" s="175" t="s">
        <v>45</v>
      </c>
      <c r="B68" s="47">
        <f>G29-G33-G37</f>
        <v>0</v>
      </c>
      <c r="C68" s="31">
        <f t="shared" si="9"/>
        <v>0</v>
      </c>
      <c r="D68" s="31">
        <v>0</v>
      </c>
      <c r="E68" s="35">
        <v>0</v>
      </c>
      <c r="F68" s="31">
        <v>0</v>
      </c>
      <c r="G68" s="49">
        <f>C68+D68*184/365+E68*181/365+F68</f>
        <v>0</v>
      </c>
    </row>
    <row r="69" spans="1:8" ht="13.8" x14ac:dyDescent="0.3">
      <c r="A69" s="175" t="s">
        <v>37</v>
      </c>
      <c r="B69" s="47">
        <f>G30-G31</f>
        <v>0</v>
      </c>
      <c r="C69" s="31">
        <f t="shared" si="9"/>
        <v>0</v>
      </c>
      <c r="D69" s="31">
        <v>0</v>
      </c>
      <c r="E69" s="35">
        <v>0</v>
      </c>
      <c r="F69" s="31">
        <v>0</v>
      </c>
      <c r="G69" s="49">
        <f t="shared" ref="G69:G79" si="10">C69+D69*184/365+E69*181/365+F69</f>
        <v>0</v>
      </c>
    </row>
    <row r="70" spans="1:8" ht="13.8" x14ac:dyDescent="0.3">
      <c r="A70" s="175" t="s">
        <v>34</v>
      </c>
      <c r="B70" s="47">
        <f>G31</f>
        <v>0</v>
      </c>
      <c r="C70" s="31">
        <f t="shared" si="9"/>
        <v>0</v>
      </c>
      <c r="D70" s="31">
        <v>0</v>
      </c>
      <c r="E70" s="35">
        <v>0</v>
      </c>
      <c r="F70" s="31">
        <v>0</v>
      </c>
      <c r="G70" s="49">
        <f t="shared" si="10"/>
        <v>0</v>
      </c>
    </row>
    <row r="71" spans="1:8" ht="13.8" x14ac:dyDescent="0.3">
      <c r="A71" s="175" t="s">
        <v>35</v>
      </c>
      <c r="B71" s="47">
        <f>G32</f>
        <v>0</v>
      </c>
      <c r="C71" s="31">
        <f t="shared" si="9"/>
        <v>0</v>
      </c>
      <c r="D71" s="31">
        <v>0</v>
      </c>
      <c r="E71" s="35">
        <v>0</v>
      </c>
      <c r="F71" s="31">
        <v>0</v>
      </c>
      <c r="G71" s="49">
        <f t="shared" si="10"/>
        <v>0</v>
      </c>
    </row>
    <row r="72" spans="1:8" ht="13.8" x14ac:dyDescent="0.3">
      <c r="A72" s="175" t="s">
        <v>15</v>
      </c>
      <c r="B72" s="47">
        <f>G33</f>
        <v>0</v>
      </c>
      <c r="C72" s="31">
        <f t="shared" si="9"/>
        <v>0</v>
      </c>
      <c r="D72" s="31">
        <v>0</v>
      </c>
      <c r="E72" s="35">
        <v>0</v>
      </c>
      <c r="F72" s="31">
        <v>0</v>
      </c>
      <c r="G72" s="49">
        <f t="shared" si="10"/>
        <v>0</v>
      </c>
    </row>
    <row r="73" spans="1:8" ht="13.8" x14ac:dyDescent="0.3">
      <c r="A73" s="175" t="s">
        <v>100</v>
      </c>
      <c r="B73" s="47">
        <f>G34-G35</f>
        <v>0</v>
      </c>
      <c r="C73" s="31">
        <f t="shared" si="9"/>
        <v>0</v>
      </c>
      <c r="D73" s="31">
        <v>0</v>
      </c>
      <c r="E73" s="35">
        <v>0</v>
      </c>
      <c r="F73" s="31">
        <v>0</v>
      </c>
      <c r="G73" s="49">
        <f t="shared" si="10"/>
        <v>0</v>
      </c>
    </row>
    <row r="74" spans="1:8" ht="13.8" x14ac:dyDescent="0.3">
      <c r="A74" s="175" t="s">
        <v>99</v>
      </c>
      <c r="B74" s="47">
        <f t="shared" ref="B74:B79" si="11">G35</f>
        <v>0</v>
      </c>
      <c r="C74" s="31">
        <f t="shared" si="9"/>
        <v>0</v>
      </c>
      <c r="D74" s="31">
        <v>0</v>
      </c>
      <c r="E74" s="35">
        <v>0</v>
      </c>
      <c r="F74" s="31">
        <v>0</v>
      </c>
      <c r="G74" s="49">
        <f t="shared" si="10"/>
        <v>0</v>
      </c>
    </row>
    <row r="75" spans="1:8" ht="13.8" x14ac:dyDescent="0.3">
      <c r="A75" s="22" t="s">
        <v>20</v>
      </c>
      <c r="B75" s="47">
        <f t="shared" si="11"/>
        <v>0</v>
      </c>
      <c r="C75" s="31">
        <f>B75*D15</f>
        <v>0</v>
      </c>
      <c r="D75" s="31">
        <v>3449.5520000000001</v>
      </c>
      <c r="E75" s="35">
        <v>0</v>
      </c>
      <c r="F75" s="31">
        <v>0</v>
      </c>
      <c r="G75" s="49">
        <f>C75+D75*184/365+E75*181/365+F75</f>
        <v>1738.9522410958903</v>
      </c>
    </row>
    <row r="76" spans="1:8" ht="13.8" x14ac:dyDescent="0.3">
      <c r="A76" s="22" t="s">
        <v>11</v>
      </c>
      <c r="B76" s="47">
        <f t="shared" si="11"/>
        <v>0</v>
      </c>
      <c r="C76" s="31">
        <f t="shared" si="9"/>
        <v>0</v>
      </c>
      <c r="D76" s="31">
        <v>0</v>
      </c>
      <c r="E76" s="35">
        <v>0</v>
      </c>
      <c r="F76" s="31">
        <v>0</v>
      </c>
      <c r="G76" s="49">
        <f t="shared" si="10"/>
        <v>0</v>
      </c>
    </row>
    <row r="77" spans="1:8" ht="13.8" x14ac:dyDescent="0.3">
      <c r="A77" s="22" t="s">
        <v>10</v>
      </c>
      <c r="B77" s="47">
        <f t="shared" si="11"/>
        <v>0</v>
      </c>
      <c r="C77" s="31">
        <f t="shared" si="9"/>
        <v>0</v>
      </c>
      <c r="D77" s="31">
        <v>0</v>
      </c>
      <c r="E77" s="35">
        <v>0</v>
      </c>
      <c r="F77" s="31">
        <v>0</v>
      </c>
      <c r="G77" s="49">
        <f>C77+D77*184/365+E77*181/365+F77</f>
        <v>0</v>
      </c>
    </row>
    <row r="78" spans="1:8" ht="13.8" x14ac:dyDescent="0.3">
      <c r="A78" s="22" t="s">
        <v>21</v>
      </c>
      <c r="B78" s="47">
        <f t="shared" si="11"/>
        <v>0</v>
      </c>
      <c r="C78" s="31">
        <v>0</v>
      </c>
      <c r="D78" s="31">
        <v>0</v>
      </c>
      <c r="E78" s="35">
        <v>0</v>
      </c>
      <c r="F78" s="31">
        <v>0</v>
      </c>
      <c r="G78" s="49">
        <f t="shared" si="10"/>
        <v>0</v>
      </c>
    </row>
    <row r="79" spans="1:8" ht="13.8" x14ac:dyDescent="0.3">
      <c r="A79" s="22" t="s">
        <v>50</v>
      </c>
      <c r="B79" s="47">
        <f t="shared" si="11"/>
        <v>0</v>
      </c>
      <c r="C79" s="31">
        <v>0</v>
      </c>
      <c r="D79" s="31">
        <v>0</v>
      </c>
      <c r="E79" s="35">
        <v>0</v>
      </c>
      <c r="F79" s="31">
        <v>0</v>
      </c>
      <c r="G79" s="49">
        <f t="shared" si="10"/>
        <v>0</v>
      </c>
    </row>
    <row r="80" spans="1:8" ht="13.8" x14ac:dyDescent="0.3">
      <c r="A80" s="206" t="s">
        <v>48</v>
      </c>
      <c r="B80" s="53">
        <f>SUM(B65:B79)</f>
        <v>0</v>
      </c>
      <c r="C80" s="42">
        <f>SUM(C65:C79)</f>
        <v>0</v>
      </c>
      <c r="D80" s="42">
        <f>SUM(D65:D79)</f>
        <v>3449.5520000000001</v>
      </c>
      <c r="E80" s="42">
        <f>SUM(E65:E77)</f>
        <v>21.05</v>
      </c>
      <c r="F80" s="42">
        <f>SUM(F65:F79)</f>
        <v>0</v>
      </c>
      <c r="G80" s="42">
        <f>SUM(G65:G79)</f>
        <v>1749.3907342465752</v>
      </c>
      <c r="H80" s="217" t="s">
        <v>24</v>
      </c>
    </row>
    <row r="81" spans="1:10" ht="13.8" x14ac:dyDescent="0.3">
      <c r="A81" s="32"/>
      <c r="B81" s="54"/>
      <c r="C81" s="54"/>
      <c r="D81" s="54"/>
      <c r="E81" s="56"/>
      <c r="F81" s="34"/>
      <c r="G81" s="34"/>
      <c r="H81" s="34"/>
      <c r="I81" s="36"/>
      <c r="J81" s="54"/>
    </row>
    <row r="82" spans="1:10" ht="15.6" x14ac:dyDescent="0.3">
      <c r="A82" s="374" t="s">
        <v>110</v>
      </c>
      <c r="B82" s="374"/>
      <c r="C82" s="374"/>
      <c r="D82" s="374"/>
      <c r="E82" s="21"/>
      <c r="F82" s="21"/>
      <c r="G82" s="21"/>
      <c r="H82" s="21"/>
      <c r="I82" s="21"/>
      <c r="J82" s="21"/>
    </row>
    <row r="83" spans="1:10" ht="80.099999999999994" customHeight="1" x14ac:dyDescent="0.3">
      <c r="A83" s="26" t="s">
        <v>58</v>
      </c>
      <c r="B83" s="26" t="s">
        <v>111</v>
      </c>
      <c r="C83" s="26" t="s">
        <v>165</v>
      </c>
      <c r="D83" s="26" t="s">
        <v>59</v>
      </c>
      <c r="E83" s="21"/>
      <c r="F83" s="21"/>
      <c r="G83" s="21"/>
      <c r="H83" s="21"/>
      <c r="I83" s="21"/>
      <c r="J83" s="21"/>
    </row>
    <row r="84" spans="1:10" ht="13.8" x14ac:dyDescent="0.3">
      <c r="A84" s="160" t="s">
        <v>28</v>
      </c>
      <c r="B84" s="160">
        <v>0</v>
      </c>
      <c r="C84" s="49">
        <f t="shared" ref="C84:C96" si="12">C6</f>
        <v>45.79</v>
      </c>
      <c r="D84" s="49">
        <f t="shared" ref="D84:D89" si="13">B84*C84</f>
        <v>0</v>
      </c>
      <c r="E84" s="21"/>
      <c r="F84" s="21"/>
      <c r="G84" s="21"/>
      <c r="H84" s="21"/>
      <c r="I84" s="21"/>
      <c r="J84" s="21"/>
    </row>
    <row r="85" spans="1:10" ht="13.8" x14ac:dyDescent="0.3">
      <c r="A85" s="160" t="s">
        <v>33</v>
      </c>
      <c r="B85" s="160">
        <v>0</v>
      </c>
      <c r="C85" s="49">
        <f t="shared" si="12"/>
        <v>2.0699999999999998</v>
      </c>
      <c r="D85" s="49">
        <f t="shared" si="13"/>
        <v>0</v>
      </c>
      <c r="E85" s="21"/>
      <c r="F85" s="21"/>
      <c r="G85" s="21"/>
      <c r="H85" s="21"/>
      <c r="I85" s="21"/>
      <c r="J85" s="21"/>
    </row>
    <row r="86" spans="1:10" ht="13.8" x14ac:dyDescent="0.3">
      <c r="A86" s="160" t="s">
        <v>5</v>
      </c>
      <c r="B86" s="160">
        <v>0</v>
      </c>
      <c r="C86" s="49">
        <f t="shared" si="12"/>
        <v>0</v>
      </c>
      <c r="D86" s="49">
        <f t="shared" si="13"/>
        <v>0</v>
      </c>
      <c r="E86" s="21"/>
      <c r="F86" s="21"/>
      <c r="G86" s="21"/>
      <c r="H86" s="21"/>
      <c r="I86" s="21"/>
      <c r="J86" s="21"/>
    </row>
    <row r="87" spans="1:10" ht="13.8" x14ac:dyDescent="0.3">
      <c r="A87" s="160" t="s">
        <v>8</v>
      </c>
      <c r="B87" s="160">
        <v>0</v>
      </c>
      <c r="C87" s="49">
        <f t="shared" si="12"/>
        <v>0</v>
      </c>
      <c r="D87" s="49">
        <f t="shared" si="13"/>
        <v>0</v>
      </c>
      <c r="E87" s="21"/>
      <c r="F87" s="21" t="s">
        <v>24</v>
      </c>
      <c r="G87" s="21"/>
      <c r="H87" s="21"/>
      <c r="I87" s="21"/>
      <c r="J87" s="21"/>
    </row>
    <row r="88" spans="1:10" ht="13.8" x14ac:dyDescent="0.3">
      <c r="A88" s="160" t="s">
        <v>34</v>
      </c>
      <c r="B88" s="160">
        <v>0</v>
      </c>
      <c r="C88" s="49">
        <f t="shared" si="12"/>
        <v>0</v>
      </c>
      <c r="D88" s="49">
        <f t="shared" si="13"/>
        <v>0</v>
      </c>
      <c r="E88" s="21"/>
      <c r="F88" s="21"/>
      <c r="G88" s="21"/>
      <c r="H88" s="21"/>
      <c r="I88" s="21"/>
      <c r="J88" s="21"/>
    </row>
    <row r="89" spans="1:10" ht="13.8" x14ac:dyDescent="0.3">
      <c r="A89" s="160" t="s">
        <v>35</v>
      </c>
      <c r="B89" s="160">
        <v>0</v>
      </c>
      <c r="C89" s="49">
        <f t="shared" si="12"/>
        <v>0</v>
      </c>
      <c r="D89" s="49">
        <f t="shared" si="13"/>
        <v>0</v>
      </c>
      <c r="E89" s="21"/>
      <c r="F89" s="21"/>
      <c r="G89" s="21"/>
      <c r="H89" s="21"/>
      <c r="I89" s="21"/>
      <c r="J89" s="21"/>
    </row>
    <row r="90" spans="1:10" ht="13.8" x14ac:dyDescent="0.3">
      <c r="A90" s="22" t="s">
        <v>15</v>
      </c>
      <c r="B90" s="160">
        <v>0</v>
      </c>
      <c r="C90" s="49">
        <f t="shared" si="12"/>
        <v>0</v>
      </c>
      <c r="D90" s="49">
        <f t="shared" ref="D90:D95" si="14">B90*C90</f>
        <v>0</v>
      </c>
      <c r="E90" s="21"/>
      <c r="F90" s="21"/>
      <c r="G90" s="21"/>
      <c r="H90" s="21"/>
      <c r="I90" s="21"/>
      <c r="J90" s="21"/>
    </row>
    <row r="91" spans="1:10" ht="13.8" x14ac:dyDescent="0.3">
      <c r="A91" s="22" t="s">
        <v>43</v>
      </c>
      <c r="B91" s="160">
        <v>0</v>
      </c>
      <c r="C91" s="49">
        <f t="shared" si="12"/>
        <v>0</v>
      </c>
      <c r="D91" s="49">
        <f t="shared" si="14"/>
        <v>0</v>
      </c>
      <c r="E91" s="21"/>
      <c r="F91" s="21"/>
      <c r="G91" s="21"/>
      <c r="H91" s="21"/>
      <c r="I91" s="21"/>
      <c r="J91" s="21"/>
    </row>
    <row r="92" spans="1:10" ht="13.8" x14ac:dyDescent="0.3">
      <c r="A92" s="22" t="s">
        <v>99</v>
      </c>
      <c r="B92" s="160">
        <v>0</v>
      </c>
      <c r="C92" s="49">
        <f t="shared" si="12"/>
        <v>0</v>
      </c>
      <c r="D92" s="49">
        <f t="shared" si="14"/>
        <v>0</v>
      </c>
      <c r="E92" s="21"/>
      <c r="F92" s="21"/>
      <c r="G92" s="21"/>
      <c r="H92" s="21"/>
      <c r="I92" s="21"/>
      <c r="J92" s="21"/>
    </row>
    <row r="93" spans="1:10" ht="13.8" x14ac:dyDescent="0.3">
      <c r="A93" s="22" t="s">
        <v>20</v>
      </c>
      <c r="B93" s="160">
        <v>0</v>
      </c>
      <c r="C93" s="49">
        <f>C15</f>
        <v>18.96</v>
      </c>
      <c r="D93" s="49">
        <f t="shared" si="14"/>
        <v>0</v>
      </c>
      <c r="E93" s="21"/>
      <c r="F93" s="21"/>
      <c r="G93" s="21"/>
      <c r="H93" s="21"/>
      <c r="I93" s="21"/>
      <c r="J93" s="21"/>
    </row>
    <row r="94" spans="1:10" ht="13.8" x14ac:dyDescent="0.3">
      <c r="A94" s="22" t="s">
        <v>11</v>
      </c>
      <c r="B94" s="160">
        <v>0</v>
      </c>
      <c r="C94" s="49">
        <f t="shared" si="12"/>
        <v>30.71</v>
      </c>
      <c r="D94" s="49">
        <f t="shared" si="14"/>
        <v>0</v>
      </c>
      <c r="E94" s="21"/>
      <c r="F94" s="21"/>
      <c r="G94" s="21"/>
      <c r="H94" s="21"/>
      <c r="I94" s="21"/>
      <c r="J94" s="21"/>
    </row>
    <row r="95" spans="1:10" ht="13.8" x14ac:dyDescent="0.3">
      <c r="A95" s="22" t="s">
        <v>10</v>
      </c>
      <c r="B95" s="160">
        <v>0</v>
      </c>
      <c r="C95" s="49">
        <f t="shared" si="12"/>
        <v>0</v>
      </c>
      <c r="D95" s="49">
        <f t="shared" si="14"/>
        <v>0</v>
      </c>
      <c r="E95" s="21"/>
      <c r="F95" s="21"/>
      <c r="G95" s="21"/>
      <c r="H95" s="21"/>
      <c r="I95" s="21"/>
      <c r="J95" s="21"/>
    </row>
    <row r="96" spans="1:10" ht="13.8" x14ac:dyDescent="0.3">
      <c r="A96" s="203" t="s">
        <v>21</v>
      </c>
      <c r="B96" s="175">
        <v>0</v>
      </c>
      <c r="C96" s="49">
        <f t="shared" si="12"/>
        <v>0</v>
      </c>
      <c r="D96" s="49">
        <f t="shared" ref="D96:D97" si="15">B96*C96</f>
        <v>0</v>
      </c>
      <c r="E96" s="21"/>
      <c r="F96" s="21"/>
      <c r="G96" s="21"/>
      <c r="H96" s="21"/>
      <c r="I96" s="21"/>
      <c r="J96" s="21"/>
    </row>
    <row r="97" spans="1:10" ht="13.8" x14ac:dyDescent="0.3">
      <c r="A97" s="203" t="s">
        <v>50</v>
      </c>
      <c r="B97" s="175">
        <v>0</v>
      </c>
      <c r="C97" s="49">
        <f>C19</f>
        <v>21.69</v>
      </c>
      <c r="D97" s="49">
        <f t="shared" si="15"/>
        <v>0</v>
      </c>
      <c r="E97" s="21"/>
      <c r="F97" s="21"/>
      <c r="G97" s="21"/>
      <c r="H97" s="21"/>
      <c r="I97" s="21"/>
      <c r="J97" s="21"/>
    </row>
    <row r="98" spans="1:10" ht="13.8" x14ac:dyDescent="0.3">
      <c r="A98" s="161" t="s">
        <v>48</v>
      </c>
      <c r="B98" s="160" t="s">
        <v>24</v>
      </c>
      <c r="C98" s="160"/>
      <c r="D98" s="66">
        <f>SUM(D84:D95)</f>
        <v>0</v>
      </c>
      <c r="E98" s="21"/>
      <c r="F98" s="21"/>
      <c r="G98" s="21"/>
      <c r="H98" s="21"/>
      <c r="I98" s="21"/>
      <c r="J98" s="21"/>
    </row>
    <row r="99" spans="1:10" ht="13.8" x14ac:dyDescent="0.3">
      <c r="A99" s="23" t="s">
        <v>166</v>
      </c>
      <c r="B99" s="21"/>
      <c r="C99" s="21"/>
      <c r="D99" s="21"/>
      <c r="E99" s="21"/>
      <c r="F99" s="21"/>
      <c r="G99" s="21"/>
      <c r="H99" s="21"/>
      <c r="I99" s="21"/>
      <c r="J99" s="21"/>
    </row>
    <row r="100" spans="1:10" ht="13.8" x14ac:dyDescent="0.3">
      <c r="A100" s="21"/>
      <c r="B100" s="21" t="s">
        <v>24</v>
      </c>
      <c r="C100" s="21"/>
      <c r="D100" s="21"/>
      <c r="E100" s="21"/>
      <c r="F100" s="21"/>
      <c r="G100" s="21"/>
      <c r="H100" s="21"/>
      <c r="I100" s="21"/>
      <c r="J100" s="21"/>
    </row>
    <row r="101" spans="1:10" x14ac:dyDescent="0.25">
      <c r="B101" s="4" t="s">
        <v>24</v>
      </c>
    </row>
    <row r="102" spans="1:10" x14ac:dyDescent="0.25">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ignoredErrors>
    <ignoredError sqref="D14 B53:C53 B73" formula="1"/>
    <ignoredError sqref="E26:E4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3"/>
  <sheetViews>
    <sheetView zoomScaleNormal="100" workbookViewId="0">
      <pane xSplit="1" topLeftCell="B1" activePane="topRight" state="frozen"/>
      <selection pane="topRight"/>
    </sheetView>
  </sheetViews>
  <sheetFormatPr defaultColWidth="9.109375" defaultRowHeight="13.2" x14ac:dyDescent="0.25"/>
  <cols>
    <col min="1" max="1" width="31" style="4" customWidth="1"/>
    <col min="2" max="2" width="12.88671875" style="4" customWidth="1"/>
    <col min="3" max="3" width="14.44140625" style="4" customWidth="1"/>
    <col min="4" max="4" width="15.5546875" style="4" customWidth="1"/>
    <col min="5" max="5" width="17.109375" style="4" customWidth="1"/>
    <col min="6" max="6" width="17.5546875" style="4" customWidth="1"/>
    <col min="7" max="7" width="20" style="4" customWidth="1"/>
    <col min="8" max="8" width="18.44140625" style="4" customWidth="1"/>
    <col min="9" max="9" width="18.109375" style="4" customWidth="1"/>
    <col min="10" max="10" width="18.44140625" style="4" customWidth="1"/>
    <col min="11" max="12" width="16.6640625" style="4" customWidth="1"/>
    <col min="13" max="13" width="12.6640625" style="4" customWidth="1"/>
    <col min="14" max="14" width="16.6640625" style="4" customWidth="1"/>
    <col min="15" max="15" width="15.6640625" style="4" customWidth="1"/>
    <col min="16" max="16" width="12.6640625" style="4" customWidth="1"/>
    <col min="17" max="16384" width="9.109375" style="4"/>
  </cols>
  <sheetData>
    <row r="1" spans="1:16" ht="18" x14ac:dyDescent="0.35">
      <c r="A1" s="99" t="s">
        <v>193</v>
      </c>
      <c r="E1" s="16" t="s">
        <v>24</v>
      </c>
      <c r="F1" s="16" t="s">
        <v>24</v>
      </c>
      <c r="G1" s="16" t="s">
        <v>24</v>
      </c>
    </row>
    <row r="2" spans="1:16" x14ac:dyDescent="0.25">
      <c r="A2" s="19"/>
    </row>
    <row r="3" spans="1:16" ht="15.6" x14ac:dyDescent="0.3">
      <c r="A3" s="162" t="s">
        <v>0</v>
      </c>
      <c r="B3" s="21"/>
      <c r="C3" s="21"/>
      <c r="D3" s="96" t="s">
        <v>24</v>
      </c>
      <c r="E3" s="21"/>
      <c r="F3" s="21"/>
      <c r="G3" s="21"/>
      <c r="H3" s="21"/>
      <c r="I3" s="21"/>
      <c r="J3" s="21"/>
      <c r="K3" s="21"/>
      <c r="L3" s="21"/>
      <c r="M3" s="21"/>
      <c r="N3" s="21"/>
      <c r="O3" s="21"/>
      <c r="P3" s="21"/>
    </row>
    <row r="4" spans="1:16" ht="12.75" customHeight="1" x14ac:dyDescent="0.3">
      <c r="A4" s="160" t="s">
        <v>1</v>
      </c>
      <c r="B4" s="164">
        <v>0.14499999999999999</v>
      </c>
      <c r="C4" s="21"/>
      <c r="D4" s="68" t="s">
        <v>24</v>
      </c>
      <c r="E4" s="28" t="s">
        <v>24</v>
      </c>
      <c r="F4" s="28" t="s">
        <v>24</v>
      </c>
      <c r="G4" s="28" t="s">
        <v>24</v>
      </c>
      <c r="H4" s="28" t="s">
        <v>24</v>
      </c>
      <c r="I4" s="28" t="s">
        <v>24</v>
      </c>
      <c r="J4" s="28" t="s">
        <v>24</v>
      </c>
      <c r="K4" s="21"/>
      <c r="L4" s="21"/>
      <c r="M4" s="21"/>
      <c r="N4" s="21"/>
      <c r="O4" s="28" t="s">
        <v>24</v>
      </c>
      <c r="P4" s="21"/>
    </row>
    <row r="5" spans="1:16" ht="12.75" customHeight="1" x14ac:dyDescent="0.3">
      <c r="A5" s="163" t="s">
        <v>2</v>
      </c>
      <c r="B5" s="136">
        <v>5.0799999999999998E-2</v>
      </c>
      <c r="C5" s="21"/>
      <c r="D5" s="32" t="s">
        <v>24</v>
      </c>
      <c r="E5" s="67" t="s">
        <v>24</v>
      </c>
      <c r="F5" s="69" t="s">
        <v>24</v>
      </c>
      <c r="G5" s="69" t="s">
        <v>24</v>
      </c>
      <c r="H5" s="69" t="s">
        <v>24</v>
      </c>
      <c r="I5" s="69" t="s">
        <v>24</v>
      </c>
      <c r="J5" s="28" t="s">
        <v>24</v>
      </c>
      <c r="K5" s="28" t="s">
        <v>24</v>
      </c>
      <c r="L5" s="28"/>
      <c r="M5" s="28"/>
      <c r="N5" s="28"/>
      <c r="O5" s="67" t="s">
        <v>24</v>
      </c>
      <c r="P5" s="21"/>
    </row>
    <row r="6" spans="1:16" ht="12.75" customHeight="1" x14ac:dyDescent="0.3">
      <c r="A6" s="160" t="s">
        <v>4</v>
      </c>
      <c r="B6" s="165">
        <v>1.0868</v>
      </c>
      <c r="C6" s="21"/>
      <c r="D6" s="32" t="s">
        <v>24</v>
      </c>
      <c r="E6" s="70" t="s">
        <v>24</v>
      </c>
      <c r="F6" s="64" t="s">
        <v>24</v>
      </c>
      <c r="G6" s="71" t="s">
        <v>24</v>
      </c>
      <c r="H6" s="72" t="s">
        <v>24</v>
      </c>
      <c r="I6" s="72" t="s">
        <v>24</v>
      </c>
      <c r="J6" s="72" t="s">
        <v>24</v>
      </c>
      <c r="K6" s="73" t="s">
        <v>24</v>
      </c>
      <c r="L6" s="73"/>
      <c r="M6" s="73"/>
      <c r="N6" s="73"/>
      <c r="O6" s="74" t="s">
        <v>24</v>
      </c>
      <c r="P6" s="21"/>
    </row>
    <row r="7" spans="1:16" ht="12.75" customHeight="1" x14ac:dyDescent="0.3">
      <c r="A7" s="160" t="s">
        <v>155</v>
      </c>
      <c r="B7" s="202">
        <f>132256.6+5205-I30*B6</f>
        <v>137211.636</v>
      </c>
      <c r="C7" s="303" t="s">
        <v>24</v>
      </c>
      <c r="D7" s="32" t="s">
        <v>24</v>
      </c>
      <c r="E7" s="67" t="s">
        <v>24</v>
      </c>
      <c r="F7" s="75" t="s">
        <v>24</v>
      </c>
      <c r="G7" s="64" t="s">
        <v>24</v>
      </c>
      <c r="H7" s="325" t="s">
        <v>24</v>
      </c>
      <c r="I7" s="64" t="s">
        <v>24</v>
      </c>
      <c r="J7" s="71" t="s">
        <v>24</v>
      </c>
      <c r="K7" s="72"/>
      <c r="L7" s="72"/>
      <c r="M7" s="72"/>
      <c r="N7" s="72"/>
      <c r="O7" s="67" t="s">
        <v>24</v>
      </c>
      <c r="P7" s="21"/>
    </row>
    <row r="8" spans="1:16" ht="12.75" customHeight="1" x14ac:dyDescent="0.3">
      <c r="A8" s="160" t="s">
        <v>23</v>
      </c>
      <c r="B8" s="166">
        <f>'BRA Resource Clearing Results'!D60/('BRA Load Pricing Results'!G61*'BRA Load Pricing Results'!B6)</f>
        <v>1.0924017504770995</v>
      </c>
      <c r="C8" s="32" t="s">
        <v>24</v>
      </c>
      <c r="D8" s="76" t="s">
        <v>24</v>
      </c>
      <c r="E8" s="67" t="s">
        <v>24</v>
      </c>
      <c r="F8" s="75" t="s">
        <v>24</v>
      </c>
      <c r="G8" s="71" t="s">
        <v>24</v>
      </c>
      <c r="H8" s="71" t="s">
        <v>24</v>
      </c>
      <c r="I8" s="71" t="s">
        <v>24</v>
      </c>
      <c r="J8" s="71" t="s">
        <v>24</v>
      </c>
      <c r="K8" s="72" t="s">
        <v>24</v>
      </c>
      <c r="L8" s="72"/>
      <c r="M8" s="72"/>
      <c r="N8" s="72"/>
      <c r="O8" s="67" t="s">
        <v>24</v>
      </c>
      <c r="P8" s="21"/>
    </row>
    <row r="9" spans="1:16" ht="13.8" x14ac:dyDescent="0.3">
      <c r="A9" s="21" t="s">
        <v>156</v>
      </c>
      <c r="B9" s="21"/>
      <c r="C9" s="21"/>
      <c r="D9" s="23" t="s">
        <v>24</v>
      </c>
      <c r="E9" s="77"/>
      <c r="F9" s="58"/>
      <c r="G9" s="77"/>
      <c r="H9" s="78" t="s">
        <v>24</v>
      </c>
      <c r="I9" s="21"/>
      <c r="J9" s="21"/>
      <c r="K9" s="21"/>
      <c r="L9" s="21"/>
      <c r="M9" s="21"/>
      <c r="N9" s="21"/>
      <c r="O9" s="21" t="s">
        <v>24</v>
      </c>
      <c r="P9" s="21"/>
    </row>
    <row r="10" spans="1:16" ht="13.8" x14ac:dyDescent="0.3">
      <c r="A10" s="23"/>
      <c r="B10" s="34"/>
      <c r="C10" s="34"/>
      <c r="D10" s="34"/>
      <c r="E10" s="38" t="s">
        <v>24</v>
      </c>
      <c r="F10" s="39"/>
      <c r="G10" s="39"/>
      <c r="H10" s="39"/>
      <c r="I10" s="40"/>
      <c r="J10" s="40"/>
      <c r="K10" s="40"/>
      <c r="L10" s="40"/>
      <c r="M10" s="40"/>
      <c r="N10" s="40"/>
      <c r="O10" s="41"/>
      <c r="P10" s="21"/>
    </row>
    <row r="11" spans="1:16" ht="15.6" x14ac:dyDescent="0.3">
      <c r="A11" s="153" t="s">
        <v>115</v>
      </c>
      <c r="B11" s="34"/>
      <c r="C11" s="34"/>
      <c r="D11" s="34"/>
      <c r="E11" s="40"/>
      <c r="F11" s="41"/>
      <c r="G11" s="21"/>
    </row>
    <row r="12" spans="1:16" ht="69.900000000000006" customHeight="1" x14ac:dyDescent="0.3">
      <c r="A12" s="176" t="s">
        <v>3</v>
      </c>
      <c r="B12" s="176" t="s">
        <v>55</v>
      </c>
      <c r="C12" s="176" t="s">
        <v>119</v>
      </c>
      <c r="D12" s="176" t="s">
        <v>167</v>
      </c>
      <c r="E12" s="176" t="s">
        <v>120</v>
      </c>
      <c r="F12" s="176" t="s">
        <v>77</v>
      </c>
      <c r="G12" s="21"/>
    </row>
    <row r="13" spans="1:16" ht="13.8" x14ac:dyDescent="0.3">
      <c r="A13" s="30" t="s">
        <v>6</v>
      </c>
      <c r="B13" s="44">
        <f>J61</f>
        <v>144477.29999999999</v>
      </c>
      <c r="C13" s="147">
        <f>'BRA Resource Clearing Results'!B5</f>
        <v>50</v>
      </c>
      <c r="D13" s="147">
        <f>'BRA Resource Clearing Results'!C5</f>
        <v>0</v>
      </c>
      <c r="E13" s="299">
        <f>'BRA Resource Clearing Results'!G65/B13</f>
        <v>0</v>
      </c>
      <c r="F13" s="148">
        <f t="shared" ref="F13:F22" si="0">C13+D13+E13</f>
        <v>50</v>
      </c>
      <c r="G13" s="21"/>
    </row>
    <row r="14" spans="1:16" ht="13.8" x14ac:dyDescent="0.3">
      <c r="A14" s="30" t="s">
        <v>28</v>
      </c>
      <c r="B14" s="44">
        <f>J40+J44+J50+J52+J53+J55+J56+J57+J58+J59+J60</f>
        <v>65106.079455208768</v>
      </c>
      <c r="C14" s="147">
        <f>'BRA Resource Clearing Results'!B6</f>
        <v>50</v>
      </c>
      <c r="D14" s="147">
        <f>'BRA Resource Clearing Results'!C6</f>
        <v>45.79</v>
      </c>
      <c r="E14" s="299">
        <f>E13+'BRA Resource Clearing Results'!G66/B14</f>
        <v>1.6033054421386769E-4</v>
      </c>
      <c r="F14" s="148">
        <f t="shared" si="0"/>
        <v>95.790160330544211</v>
      </c>
      <c r="G14" s="21"/>
    </row>
    <row r="15" spans="1:16" ht="13.8" x14ac:dyDescent="0.3">
      <c r="A15" s="30" t="s">
        <v>33</v>
      </c>
      <c r="B15" s="44">
        <f>J40+J50+J52+J55+J59+J60</f>
        <v>35300.86556139202</v>
      </c>
      <c r="C15" s="147">
        <f>'BRA Resource Clearing Results'!B7</f>
        <v>50</v>
      </c>
      <c r="D15" s="147">
        <f>'BRA Resource Clearing Results'!C6+'BRA Resource Clearing Results'!C7</f>
        <v>47.86</v>
      </c>
      <c r="E15" s="299">
        <f>E14+'BRA Resource Clearing Results'!G67/B15</f>
        <v>1.6033054421386769E-4</v>
      </c>
      <c r="F15" s="148">
        <f t="shared" si="0"/>
        <v>97.860160330544218</v>
      </c>
      <c r="G15" s="21"/>
    </row>
    <row r="16" spans="1:16" ht="13.8" x14ac:dyDescent="0.3">
      <c r="A16" s="30" t="s">
        <v>5</v>
      </c>
      <c r="B16" s="44">
        <f>J44+J57</f>
        <v>14309.589446810325</v>
      </c>
      <c r="C16" s="147">
        <f>'BRA Resource Clearing Results'!B8</f>
        <v>50</v>
      </c>
      <c r="D16" s="147">
        <f>'BRA Resource Clearing Results'!C6+'BRA Resource Clearing Results'!C8</f>
        <v>45.79</v>
      </c>
      <c r="E16" s="299">
        <f>E14+'BRA Resource Clearing Results'!G68/B16</f>
        <v>1.6033054421386769E-4</v>
      </c>
      <c r="F16" s="148">
        <f t="shared" si="0"/>
        <v>95.790160330544211</v>
      </c>
      <c r="G16" s="21"/>
    </row>
    <row r="17" spans="1:16" ht="13.8" x14ac:dyDescent="0.3">
      <c r="A17" s="30" t="s">
        <v>15</v>
      </c>
      <c r="B17" s="44">
        <f>J57</f>
        <v>6698.3077788852443</v>
      </c>
      <c r="C17" s="147">
        <f>'BRA Resource Clearing Results'!B12</f>
        <v>50</v>
      </c>
      <c r="D17" s="147">
        <f>'BRA Resource Clearing Results'!C6+'BRA Resource Clearing Results'!C8+'BRA Resource Clearing Results'!C12</f>
        <v>45.79</v>
      </c>
      <c r="E17" s="299">
        <f>E16+'BRA Resource Clearing Results'!G72/B17</f>
        <v>1.6033054421386769E-4</v>
      </c>
      <c r="F17" s="148">
        <f>C17+D17+E17</f>
        <v>95.790160330544211</v>
      </c>
      <c r="G17" s="21"/>
    </row>
    <row r="18" spans="1:16" ht="13.8" x14ac:dyDescent="0.3">
      <c r="A18" s="22" t="s">
        <v>20</v>
      </c>
      <c r="B18" s="44">
        <f>J45</f>
        <v>22940.695003792902</v>
      </c>
      <c r="C18" s="147">
        <f>'BRA Resource Clearing Results'!B15</f>
        <v>50</v>
      </c>
      <c r="D18" s="147">
        <f>'BRA Resource Clearing Results'!C15</f>
        <v>18.96</v>
      </c>
      <c r="E18" s="299">
        <f>E13+'BRA Resource Clearing Results'!G75/B18</f>
        <v>7.5802073163362335E-2</v>
      </c>
      <c r="F18" s="148">
        <f>C18+D18+E18</f>
        <v>69.035802073163367</v>
      </c>
      <c r="G18" s="21"/>
    </row>
    <row r="19" spans="1:16" ht="13.8" x14ac:dyDescent="0.3">
      <c r="A19" s="22" t="s">
        <v>11</v>
      </c>
      <c r="B19" s="44">
        <f>J44</f>
        <v>7611.28166792508</v>
      </c>
      <c r="C19" s="147">
        <f>'BRA Resource Clearing Results'!B16</f>
        <v>50</v>
      </c>
      <c r="D19" s="147">
        <f>'BRA Resource Clearing Results'!C6+'BRA Resource Clearing Results'!C8+'BRA Resource Clearing Results'!C16</f>
        <v>76.5</v>
      </c>
      <c r="E19" s="299">
        <f>E16+'BRA Resource Clearing Results'!G76/B19</f>
        <v>1.6033054421386769E-4</v>
      </c>
      <c r="F19" s="148">
        <f t="shared" si="0"/>
        <v>126.50016033054422</v>
      </c>
      <c r="G19" s="21"/>
    </row>
    <row r="20" spans="1:16" ht="13.8" x14ac:dyDescent="0.3">
      <c r="A20" s="22" t="s">
        <v>10</v>
      </c>
      <c r="B20" s="44">
        <f>J58</f>
        <v>8596.6761125324447</v>
      </c>
      <c r="C20" s="147">
        <f>'BRA Resource Clearing Results'!B17</f>
        <v>50</v>
      </c>
      <c r="D20" s="147">
        <f>'BRA Resource Clearing Results'!C6+'BRA Resource Clearing Results'!C17</f>
        <v>45.79</v>
      </c>
      <c r="E20" s="299">
        <f>E14+'BRA Resource Clearing Results'!G77/B20</f>
        <v>1.6033054421386769E-4</v>
      </c>
      <c r="F20" s="148">
        <f t="shared" si="0"/>
        <v>95.790160330544211</v>
      </c>
      <c r="G20" s="21"/>
      <c r="I20" s="304" t="s">
        <v>24</v>
      </c>
    </row>
    <row r="21" spans="1:16" ht="13.8" x14ac:dyDescent="0.3">
      <c r="A21" s="22" t="s">
        <v>21</v>
      </c>
      <c r="B21" s="44">
        <f>J46</f>
        <v>3940.3905562070404</v>
      </c>
      <c r="C21" s="147">
        <f>'BRA Resource Clearing Results'!B18</f>
        <v>50</v>
      </c>
      <c r="D21" s="147">
        <f>'BRA Resource Clearing Results'!C18</f>
        <v>0</v>
      </c>
      <c r="E21" s="299">
        <f>E13+'BRA Resource Clearing Results'!G78/B21</f>
        <v>0</v>
      </c>
      <c r="F21" s="148">
        <f t="shared" si="0"/>
        <v>50</v>
      </c>
      <c r="G21" s="21"/>
      <c r="I21" s="304" t="s">
        <v>24</v>
      </c>
    </row>
    <row r="22" spans="1:16" ht="13.8" x14ac:dyDescent="0.3">
      <c r="A22" s="22" t="s">
        <v>50</v>
      </c>
      <c r="B22" s="44">
        <f>J47</f>
        <v>5304.6096237726624</v>
      </c>
      <c r="C22" s="147">
        <f>'BRA Resource Clearing Results'!B19</f>
        <v>50</v>
      </c>
      <c r="D22" s="147">
        <f>'BRA Resource Clearing Results'!C19</f>
        <v>21.69</v>
      </c>
      <c r="E22" s="299">
        <f>E13+'BRA Resource Clearing Results'!G79/B22</f>
        <v>0</v>
      </c>
      <c r="F22" s="148">
        <f t="shared" si="0"/>
        <v>71.69</v>
      </c>
      <c r="G22" s="21"/>
    </row>
    <row r="23" spans="1:16" s="7" customFormat="1" ht="13.8" x14ac:dyDescent="0.3">
      <c r="A23" s="23" t="s">
        <v>168</v>
      </c>
      <c r="B23" s="34"/>
      <c r="C23" s="54"/>
      <c r="D23" s="54"/>
      <c r="E23" s="54"/>
      <c r="F23" s="56"/>
      <c r="G23" s="101"/>
      <c r="H23" s="34"/>
      <c r="I23" s="34"/>
      <c r="J23" s="54"/>
      <c r="K23" s="34"/>
      <c r="L23" s="34"/>
      <c r="M23" s="34"/>
      <c r="N23" s="34"/>
      <c r="O23" s="64"/>
      <c r="P23" s="32"/>
    </row>
    <row r="24" spans="1:16" s="7" customFormat="1" ht="13.8" x14ac:dyDescent="0.3">
      <c r="A24" s="23"/>
      <c r="B24" s="34"/>
      <c r="C24" s="54"/>
      <c r="D24" s="79" t="s">
        <v>24</v>
      </c>
      <c r="E24" s="79" t="s">
        <v>24</v>
      </c>
      <c r="F24" s="56"/>
      <c r="G24" s="32"/>
      <c r="H24" s="34"/>
      <c r="I24" s="34"/>
      <c r="J24" s="54"/>
      <c r="K24" s="34"/>
      <c r="L24" s="34"/>
      <c r="M24" s="34"/>
      <c r="N24" s="34"/>
      <c r="O24" s="64"/>
      <c r="P24" s="32"/>
    </row>
    <row r="25" spans="1:16" ht="31.2" x14ac:dyDescent="0.3">
      <c r="A25" s="167" t="s">
        <v>104</v>
      </c>
      <c r="B25" s="21"/>
      <c r="C25" s="190" t="s">
        <v>24</v>
      </c>
      <c r="D25" s="21"/>
      <c r="E25" s="58" t="s">
        <v>24</v>
      </c>
      <c r="F25" s="246" t="s">
        <v>24</v>
      </c>
      <c r="G25" s="246"/>
      <c r="H25" s="253" t="s">
        <v>157</v>
      </c>
      <c r="I25" s="21"/>
      <c r="J25" s="190" t="s">
        <v>24</v>
      </c>
      <c r="K25" s="21"/>
      <c r="L25" s="58" t="s">
        <v>24</v>
      </c>
      <c r="M25" s="246" t="s">
        <v>24</v>
      </c>
      <c r="N25" s="80"/>
      <c r="O25" s="21"/>
      <c r="P25" s="21"/>
    </row>
    <row r="26" spans="1:16" ht="80.099999999999994" customHeight="1" x14ac:dyDescent="0.3">
      <c r="A26" s="179" t="s">
        <v>54</v>
      </c>
      <c r="B26" s="176" t="s">
        <v>169</v>
      </c>
      <c r="C26" s="157" t="s">
        <v>72</v>
      </c>
      <c r="D26" s="157" t="s">
        <v>105</v>
      </c>
      <c r="E26" s="157" t="s">
        <v>117</v>
      </c>
      <c r="F26" s="157" t="s">
        <v>114</v>
      </c>
      <c r="G26" s="21"/>
      <c r="H26" s="184" t="s">
        <v>7</v>
      </c>
      <c r="I26" s="183" t="s">
        <v>158</v>
      </c>
      <c r="J26" s="183" t="s">
        <v>159</v>
      </c>
      <c r="K26" s="218"/>
      <c r="L26" s="218"/>
      <c r="M26" s="218"/>
    </row>
    <row r="27" spans="1:16" ht="13.8" x14ac:dyDescent="0.3">
      <c r="A27" s="160" t="s">
        <v>37</v>
      </c>
      <c r="B27" s="160"/>
      <c r="C27" s="47">
        <f>'BRA Resource Clearing Results'!D49</f>
        <v>1909.3000000000002</v>
      </c>
      <c r="D27" s="31">
        <f>'BRA Resource Clearing Results'!C9</f>
        <v>0</v>
      </c>
      <c r="E27" s="160"/>
      <c r="F27" s="160"/>
      <c r="G27" s="21"/>
      <c r="H27" s="22" t="s">
        <v>11</v>
      </c>
      <c r="I27" s="251">
        <v>80</v>
      </c>
      <c r="J27" s="35">
        <f>L44*$B$6*I27*I44/F44</f>
        <v>12068.788710616105</v>
      </c>
      <c r="K27" s="296"/>
      <c r="L27" s="228"/>
      <c r="M27" s="32"/>
    </row>
    <row r="28" spans="1:16" ht="13.8" x14ac:dyDescent="0.3">
      <c r="A28" s="160" t="s">
        <v>34</v>
      </c>
      <c r="B28" s="160"/>
      <c r="C28" s="47">
        <f>'BRA Resource Clearing Results'!D50</f>
        <v>2527.1999999999998</v>
      </c>
      <c r="D28" s="31">
        <f>'BRA Resource Clearing Results'!C9+'BRA Resource Clearing Results'!C10</f>
        <v>0</v>
      </c>
      <c r="E28" s="160"/>
      <c r="F28" s="160"/>
      <c r="G28" s="21"/>
      <c r="H28" s="22" t="s">
        <v>17</v>
      </c>
      <c r="I28" s="251">
        <v>40</v>
      </c>
      <c r="J28" s="35">
        <f>L50*$B$6*I28*I50/F50</f>
        <v>4656.0165180556023</v>
      </c>
      <c r="K28" s="296"/>
      <c r="L28" s="228"/>
      <c r="M28" s="32"/>
    </row>
    <row r="29" spans="1:16" ht="13.8" x14ac:dyDescent="0.3">
      <c r="A29" s="65" t="s">
        <v>8</v>
      </c>
      <c r="B29" s="146">
        <f>F15</f>
        <v>97.860160330544218</v>
      </c>
      <c r="C29" s="47">
        <f>C28+C27</f>
        <v>4436.5</v>
      </c>
      <c r="D29" s="149">
        <f>(C28*D28+C27*D27)/C29</f>
        <v>0</v>
      </c>
      <c r="E29" s="150">
        <f>('BRA Resource Clearing Results'!G69+'BRA Resource Clearing Results'!G70)/J59</f>
        <v>0</v>
      </c>
      <c r="F29" s="151">
        <f>B29+D29+E29</f>
        <v>97.860160330544218</v>
      </c>
      <c r="G29" s="21"/>
      <c r="H29" s="22" t="s">
        <v>15</v>
      </c>
      <c r="I29" s="251">
        <v>110</v>
      </c>
      <c r="J29" s="35">
        <f>L57*$B$6*I29*I57/F57</f>
        <v>12533.350769559993</v>
      </c>
      <c r="K29" s="248"/>
      <c r="L29" s="249"/>
      <c r="M29" s="32"/>
    </row>
    <row r="30" spans="1:16" ht="13.8" x14ac:dyDescent="0.3">
      <c r="A30" s="160" t="s">
        <v>36</v>
      </c>
      <c r="B30" s="160"/>
      <c r="C30" s="47">
        <v>3793.6</v>
      </c>
      <c r="D30" s="31">
        <v>0</v>
      </c>
      <c r="E30" s="160"/>
      <c r="F30" s="160"/>
      <c r="G30" s="220" t="s">
        <v>24</v>
      </c>
      <c r="H30" s="171" t="s">
        <v>160</v>
      </c>
      <c r="I30" s="252">
        <f>SUM(I27:I29)</f>
        <v>230</v>
      </c>
      <c r="J30" s="226">
        <f>SUM(J27:J29)</f>
        <v>29258.155998231698</v>
      </c>
      <c r="L30" s="36"/>
      <c r="M30" s="32"/>
    </row>
    <row r="31" spans="1:16" ht="13.8" x14ac:dyDescent="0.3">
      <c r="A31" s="160" t="s">
        <v>35</v>
      </c>
      <c r="B31" s="160"/>
      <c r="C31" s="47">
        <f>'BRA Resource Clearing Results'!D51</f>
        <v>1305.3</v>
      </c>
      <c r="D31" s="81">
        <f>'BRA Resource Clearing Results'!C11</f>
        <v>0</v>
      </c>
      <c r="E31" s="160"/>
      <c r="F31" s="160"/>
      <c r="G31" s="21"/>
      <c r="H31" s="21"/>
      <c r="L31" s="36"/>
      <c r="M31" s="32"/>
    </row>
    <row r="32" spans="1:16" ht="13.8" x14ac:dyDescent="0.3">
      <c r="A32" s="65" t="s">
        <v>17</v>
      </c>
      <c r="B32" s="146">
        <f>F15</f>
        <v>97.860160330544218</v>
      </c>
      <c r="C32" s="43">
        <f>C30+C31</f>
        <v>5098.8999999999996</v>
      </c>
      <c r="D32" s="149">
        <f>(C31*D31+C30*D30)/C32</f>
        <v>0</v>
      </c>
      <c r="E32" s="150">
        <f>'BRA Resource Clearing Results'!G71/'BRA Load Pricing Results'!J50</f>
        <v>0</v>
      </c>
      <c r="F32" s="151">
        <f>B32+D32+E32</f>
        <v>97.860160330544218</v>
      </c>
      <c r="G32" s="21"/>
      <c r="H32" s="21"/>
      <c r="L32" s="36"/>
      <c r="M32" s="32"/>
    </row>
    <row r="33" spans="1:16" ht="13.8" x14ac:dyDescent="0.3">
      <c r="A33" s="160" t="s">
        <v>100</v>
      </c>
      <c r="B33" s="160"/>
      <c r="C33" s="43">
        <f>'BRA Resource Clearing Results'!D53</f>
        <v>8631.4</v>
      </c>
      <c r="D33" s="31">
        <f>'BRA Resource Clearing Results'!C13</f>
        <v>0</v>
      </c>
      <c r="E33" s="160"/>
      <c r="F33" s="160"/>
      <c r="G33" s="21"/>
      <c r="H33" s="228"/>
      <c r="L33" s="36"/>
      <c r="M33" s="32"/>
    </row>
    <row r="34" spans="1:16" ht="13.8" x14ac:dyDescent="0.3">
      <c r="A34" s="160" t="s">
        <v>99</v>
      </c>
      <c r="B34" s="160"/>
      <c r="C34" s="47">
        <f>'BRA Resource Clearing Results'!D54</f>
        <v>1912.5</v>
      </c>
      <c r="D34" s="31">
        <f>'BRA Resource Clearing Results'!C13+'BRA Resource Clearing Results'!C14</f>
        <v>0</v>
      </c>
      <c r="E34" s="160"/>
      <c r="F34" s="160"/>
      <c r="G34" s="21"/>
      <c r="H34" s="21"/>
      <c r="L34" s="304" t="s">
        <v>24</v>
      </c>
    </row>
    <row r="35" spans="1:16" ht="13.8" x14ac:dyDescent="0.3">
      <c r="A35" s="65" t="s">
        <v>43</v>
      </c>
      <c r="B35" s="146">
        <f>F13</f>
        <v>50</v>
      </c>
      <c r="C35" s="47">
        <f>C34+C33</f>
        <v>10543.9</v>
      </c>
      <c r="D35" s="149">
        <f>(C34*D34+C33*D33)/C35</f>
        <v>0</v>
      </c>
      <c r="E35" s="150">
        <f>('BRA Resource Clearing Results'!G73+'BRA Resource Clearing Results'!G74)/'BRA Load Pricing Results'!J43</f>
        <v>0</v>
      </c>
      <c r="F35" s="151">
        <f>B35+D35+E35</f>
        <v>50</v>
      </c>
      <c r="G35" s="21"/>
      <c r="H35" s="21"/>
    </row>
    <row r="36" spans="1:16" ht="12.75" customHeight="1" x14ac:dyDescent="0.3">
      <c r="A36" s="104" t="s">
        <v>170</v>
      </c>
      <c r="B36" s="104"/>
      <c r="C36" s="82"/>
      <c r="D36" s="82"/>
      <c r="E36" s="82"/>
      <c r="F36" s="82"/>
      <c r="G36" s="102"/>
      <c r="H36" s="21"/>
      <c r="I36" s="21"/>
      <c r="J36" s="21"/>
      <c r="K36" s="21"/>
      <c r="L36" s="21"/>
      <c r="M36" s="21"/>
      <c r="N36" s="21"/>
      <c r="O36" s="21"/>
      <c r="P36" s="21"/>
    </row>
    <row r="37" spans="1:16" ht="13.8" x14ac:dyDescent="0.3">
      <c r="A37" s="32"/>
      <c r="B37" s="36"/>
      <c r="C37" s="36"/>
      <c r="D37" s="36" t="s">
        <v>24</v>
      </c>
      <c r="E37" s="45"/>
      <c r="F37" s="83" t="s">
        <v>24</v>
      </c>
      <c r="G37" s="332" t="s">
        <v>24</v>
      </c>
      <c r="H37" s="76"/>
      <c r="I37" s="76"/>
      <c r="J37" s="76"/>
      <c r="K37" s="76"/>
      <c r="L37" s="76"/>
      <c r="M37" s="76" t="s">
        <v>24</v>
      </c>
      <c r="N37" s="76"/>
      <c r="O37" s="84"/>
      <c r="P37" s="21"/>
    </row>
    <row r="38" spans="1:16" s="2" customFormat="1" ht="17.399999999999999" x14ac:dyDescent="0.3">
      <c r="A38" s="174" t="s">
        <v>39</v>
      </c>
      <c r="B38" s="97"/>
      <c r="C38" s="21"/>
      <c r="D38" s="21"/>
      <c r="E38" s="85"/>
      <c r="F38" s="85"/>
      <c r="G38" s="85"/>
      <c r="H38" s="85"/>
      <c r="I38" s="85"/>
      <c r="J38" s="85"/>
      <c r="K38" s="85"/>
      <c r="L38" s="85"/>
      <c r="M38" s="85"/>
      <c r="O38" s="98"/>
      <c r="P38" s="21"/>
    </row>
    <row r="39" spans="1:16" ht="54.9" customHeight="1" x14ac:dyDescent="0.3">
      <c r="A39" s="155" t="s">
        <v>7</v>
      </c>
      <c r="B39" s="155" t="s">
        <v>27</v>
      </c>
      <c r="C39" s="155" t="s">
        <v>26</v>
      </c>
      <c r="D39" s="155" t="s">
        <v>31</v>
      </c>
      <c r="E39" s="155" t="s">
        <v>196</v>
      </c>
      <c r="F39" s="155" t="s">
        <v>22</v>
      </c>
      <c r="G39" s="155" t="s">
        <v>198</v>
      </c>
      <c r="H39" s="168" t="s">
        <v>23</v>
      </c>
      <c r="I39" s="168" t="s">
        <v>25</v>
      </c>
      <c r="J39" s="155" t="s">
        <v>177</v>
      </c>
      <c r="K39" s="235" t="s">
        <v>32</v>
      </c>
      <c r="L39" s="235" t="s">
        <v>178</v>
      </c>
      <c r="M39" s="155" t="s">
        <v>7</v>
      </c>
    </row>
    <row r="40" spans="1:16" ht="13.8" x14ac:dyDescent="0.3">
      <c r="A40" s="160" t="s">
        <v>16</v>
      </c>
      <c r="B40" s="89" t="s">
        <v>28</v>
      </c>
      <c r="C40" s="89" t="s">
        <v>33</v>
      </c>
      <c r="D40" s="89"/>
      <c r="E40" s="169">
        <v>2400</v>
      </c>
      <c r="F40" s="91">
        <f>G40/E40</f>
        <v>1.0024999999999999</v>
      </c>
      <c r="G40" s="92">
        <v>2406</v>
      </c>
      <c r="H40" s="91">
        <f>$B$8</f>
        <v>1.0924017504770995</v>
      </c>
      <c r="I40" s="91">
        <f>H40*F40</f>
        <v>1.0951327548532923</v>
      </c>
      <c r="J40" s="92">
        <f>E40*I40*$B$6</f>
        <v>2856.4566671389393</v>
      </c>
      <c r="K40" s="236">
        <f>F15</f>
        <v>97.860160330544218</v>
      </c>
      <c r="L40" s="321">
        <v>98.044334711212443</v>
      </c>
      <c r="M40" s="160" t="s">
        <v>16</v>
      </c>
      <c r="O40" s="301"/>
      <c r="P40" s="302"/>
    </row>
    <row r="41" spans="1:16" ht="13.8" x14ac:dyDescent="0.3">
      <c r="A41" s="22" t="s">
        <v>171</v>
      </c>
      <c r="B41" s="89"/>
      <c r="C41" s="89"/>
      <c r="D41" s="89"/>
      <c r="E41" s="169">
        <v>10761.6</v>
      </c>
      <c r="F41" s="91">
        <v>1.0380003663364941</v>
      </c>
      <c r="G41" s="92">
        <f>E41*F41</f>
        <v>11170.544742366816</v>
      </c>
      <c r="H41" s="91">
        <f t="shared" ref="H41:H47" si="1">$B$8</f>
        <v>1.0924017504770995</v>
      </c>
      <c r="I41" s="91">
        <f>H41*F41</f>
        <v>1.1339134171818568</v>
      </c>
      <c r="J41" s="92">
        <f t="shared" ref="J41:J59" si="2">E41*I41*$B$6</f>
        <v>13261.918954658155</v>
      </c>
      <c r="K41" s="236">
        <f>F13</f>
        <v>50</v>
      </c>
      <c r="L41" s="321">
        <v>50.094678600733346</v>
      </c>
      <c r="M41" s="160" t="s">
        <v>171</v>
      </c>
      <c r="O41" s="301"/>
      <c r="P41" s="302"/>
    </row>
    <row r="42" spans="1:16" ht="13.8" x14ac:dyDescent="0.3">
      <c r="A42" s="160" t="s">
        <v>19</v>
      </c>
      <c r="B42" s="89" t="s">
        <v>24</v>
      </c>
      <c r="C42" s="89"/>
      <c r="D42" s="89"/>
      <c r="E42" s="169">
        <v>8620</v>
      </c>
      <c r="F42" s="91">
        <f t="shared" ref="F42:F60" si="3">G42/E42</f>
        <v>1.0024361948955915</v>
      </c>
      <c r="G42" s="92">
        <v>8641</v>
      </c>
      <c r="H42" s="91">
        <f t="shared" si="1"/>
        <v>1.0924017504770995</v>
      </c>
      <c r="I42" s="91">
        <f>H42*F42</f>
        <v>1.095063054045547</v>
      </c>
      <c r="J42" s="92">
        <f t="shared" si="2"/>
        <v>10258.787223918358</v>
      </c>
      <c r="K42" s="236">
        <f>F13</f>
        <v>50</v>
      </c>
      <c r="L42" s="321">
        <v>50.094678600733346</v>
      </c>
      <c r="M42" s="160" t="s">
        <v>19</v>
      </c>
      <c r="O42" s="301"/>
      <c r="P42" s="302"/>
    </row>
    <row r="43" spans="1:16" ht="13.8" x14ac:dyDescent="0.3">
      <c r="A43" s="160" t="s">
        <v>43</v>
      </c>
      <c r="B43" s="89"/>
      <c r="C43" s="89"/>
      <c r="D43" s="89" t="s">
        <v>43</v>
      </c>
      <c r="E43" s="169">
        <v>11490</v>
      </c>
      <c r="F43" s="91">
        <f t="shared" si="3"/>
        <v>1.0463011314186248</v>
      </c>
      <c r="G43" s="92">
        <v>12022</v>
      </c>
      <c r="H43" s="91">
        <f t="shared" si="1"/>
        <v>1.0924017504770995</v>
      </c>
      <c r="I43" s="91">
        <f>H43*F43</f>
        <v>1.1429811874878755</v>
      </c>
      <c r="J43" s="92">
        <f t="shared" si="2"/>
        <v>14272.785557915347</v>
      </c>
      <c r="K43" s="236">
        <f>F35</f>
        <v>50</v>
      </c>
      <c r="L43" s="321">
        <v>50.094678600733346</v>
      </c>
      <c r="M43" s="160" t="s">
        <v>43</v>
      </c>
      <c r="O43" s="301"/>
      <c r="P43" s="302"/>
    </row>
    <row r="44" spans="1:16" ht="13.8" x14ac:dyDescent="0.3">
      <c r="A44" s="160" t="s">
        <v>11</v>
      </c>
      <c r="B44" s="89" t="s">
        <v>28</v>
      </c>
      <c r="C44" s="89" t="s">
        <v>5</v>
      </c>
      <c r="D44" s="89" t="s">
        <v>11</v>
      </c>
      <c r="E44" s="169">
        <v>6330</v>
      </c>
      <c r="F44" s="91">
        <f t="shared" si="3"/>
        <v>1.0127962085308058</v>
      </c>
      <c r="G44" s="92">
        <v>6411</v>
      </c>
      <c r="H44" s="91">
        <f t="shared" si="1"/>
        <v>1.0924017504770995</v>
      </c>
      <c r="I44" s="91">
        <f t="shared" ref="I44:I59" si="4">H44*F44</f>
        <v>1.1063803510756218</v>
      </c>
      <c r="J44" s="92">
        <f>E44*I44*$B$6</f>
        <v>7611.28166792508</v>
      </c>
      <c r="K44" s="236">
        <f>F19</f>
        <v>126.50016033054422</v>
      </c>
      <c r="L44" s="321">
        <v>127.06960502759289</v>
      </c>
      <c r="M44" s="160" t="s">
        <v>11</v>
      </c>
      <c r="O44" s="301"/>
      <c r="P44" s="302"/>
    </row>
    <row r="45" spans="1:16" ht="13.8" x14ac:dyDescent="0.3">
      <c r="A45" s="160" t="s">
        <v>20</v>
      </c>
      <c r="B45" s="89"/>
      <c r="C45" s="89"/>
      <c r="D45" s="89" t="s">
        <v>20</v>
      </c>
      <c r="E45" s="169">
        <v>18490</v>
      </c>
      <c r="F45" s="91">
        <f t="shared" si="3"/>
        <v>1.0450513791238507</v>
      </c>
      <c r="G45" s="92">
        <v>19323</v>
      </c>
      <c r="H45" s="91">
        <f t="shared" si="1"/>
        <v>1.0924017504770995</v>
      </c>
      <c r="I45" s="91">
        <f t="shared" si="4"/>
        <v>1.1416159558934016</v>
      </c>
      <c r="J45" s="92">
        <f t="shared" si="2"/>
        <v>22940.695003792902</v>
      </c>
      <c r="K45" s="236">
        <f>F18</f>
        <v>69.035802073163367</v>
      </c>
      <c r="L45" s="321">
        <v>69.130480673896727</v>
      </c>
      <c r="M45" s="160" t="s">
        <v>20</v>
      </c>
      <c r="O45" s="301"/>
      <c r="P45" s="302"/>
    </row>
    <row r="46" spans="1:16" ht="13.8" x14ac:dyDescent="0.3">
      <c r="A46" s="160" t="s">
        <v>21</v>
      </c>
      <c r="B46" s="89"/>
      <c r="C46" s="89"/>
      <c r="D46" s="89" t="s">
        <v>21</v>
      </c>
      <c r="E46" s="169">
        <v>3120</v>
      </c>
      <c r="F46" s="91">
        <f t="shared" si="3"/>
        <v>1.0637820512820513</v>
      </c>
      <c r="G46" s="92">
        <v>3319</v>
      </c>
      <c r="H46" s="91">
        <f t="shared" si="1"/>
        <v>1.0924017504770995</v>
      </c>
      <c r="I46" s="91">
        <f t="shared" si="4"/>
        <v>1.1620773749466324</v>
      </c>
      <c r="J46" s="92">
        <f t="shared" si="2"/>
        <v>3940.3905562070404</v>
      </c>
      <c r="K46" s="236">
        <f>F21</f>
        <v>50</v>
      </c>
      <c r="L46" s="321">
        <v>50.094678600733346</v>
      </c>
      <c r="M46" s="160" t="s">
        <v>21</v>
      </c>
      <c r="O46" s="294"/>
      <c r="P46" s="295"/>
    </row>
    <row r="47" spans="1:16" ht="13.8" x14ac:dyDescent="0.3">
      <c r="A47" s="160" t="s">
        <v>172</v>
      </c>
      <c r="B47" s="89"/>
      <c r="C47" s="89"/>
      <c r="D47" s="89" t="s">
        <v>50</v>
      </c>
      <c r="E47" s="169">
        <v>4192.8</v>
      </c>
      <c r="F47" s="91">
        <v>1.0656565656565657</v>
      </c>
      <c r="G47" s="92">
        <f>F47*E47</f>
        <v>4468.0848484848493</v>
      </c>
      <c r="H47" s="91">
        <f t="shared" si="1"/>
        <v>1.0924017504770995</v>
      </c>
      <c r="I47" s="91">
        <f t="shared" si="4"/>
        <v>1.1641250977306465</v>
      </c>
      <c r="J47" s="92">
        <f t="shared" si="2"/>
        <v>5304.6096237726624</v>
      </c>
      <c r="K47" s="236">
        <f>F22</f>
        <v>71.69</v>
      </c>
      <c r="L47" s="321">
        <v>71.784678600733344</v>
      </c>
      <c r="M47" s="160" t="s">
        <v>172</v>
      </c>
      <c r="O47" s="294"/>
      <c r="P47" s="295"/>
    </row>
    <row r="48" spans="1:16" ht="13.8" x14ac:dyDescent="0.3">
      <c r="A48" s="160" t="s">
        <v>42</v>
      </c>
      <c r="B48" s="89"/>
      <c r="C48" s="89"/>
      <c r="D48" s="89"/>
      <c r="E48" s="169">
        <v>2560</v>
      </c>
      <c r="F48" s="91">
        <f t="shared" si="3"/>
        <v>1.03984375</v>
      </c>
      <c r="G48" s="92">
        <v>2662</v>
      </c>
      <c r="H48" s="91">
        <f t="shared" ref="H48:H60" si="5">$B$8</f>
        <v>1.0924017504770995</v>
      </c>
      <c r="I48" s="91">
        <f t="shared" si="4"/>
        <v>1.1359271327226714</v>
      </c>
      <c r="J48" s="92">
        <f t="shared" si="2"/>
        <v>3160.3855560780785</v>
      </c>
      <c r="K48" s="236">
        <f>F13</f>
        <v>50</v>
      </c>
      <c r="L48" s="321">
        <v>50.094678600733346</v>
      </c>
      <c r="M48" s="160" t="s">
        <v>42</v>
      </c>
      <c r="O48" s="294"/>
      <c r="P48" s="295"/>
    </row>
    <row r="49" spans="1:16" ht="13.8" x14ac:dyDescent="0.3">
      <c r="A49" s="160" t="s">
        <v>197</v>
      </c>
      <c r="B49" s="89"/>
      <c r="C49" s="89"/>
      <c r="D49" s="89"/>
      <c r="E49" s="169">
        <v>2883.1</v>
      </c>
      <c r="F49" s="91">
        <v>0.99563699383300996</v>
      </c>
      <c r="G49" s="92">
        <f>F49*E49</f>
        <v>2870.5210169199509</v>
      </c>
      <c r="H49" s="91">
        <f t="shared" si="5"/>
        <v>1.0924017504770995</v>
      </c>
      <c r="I49" s="91">
        <f t="shared" si="4"/>
        <v>1.0876355949029373</v>
      </c>
      <c r="J49" s="92">
        <f t="shared" si="2"/>
        <v>3407.9463412067507</v>
      </c>
      <c r="K49" s="236">
        <f>F13</f>
        <v>50</v>
      </c>
      <c r="L49" s="321">
        <v>50.094678600733346</v>
      </c>
      <c r="M49" s="160" t="s">
        <v>30</v>
      </c>
      <c r="O49" s="294"/>
      <c r="P49" s="295"/>
    </row>
    <row r="50" spans="1:16" ht="13.8" x14ac:dyDescent="0.3">
      <c r="A50" s="160" t="s">
        <v>17</v>
      </c>
      <c r="B50" s="89" t="s">
        <v>28</v>
      </c>
      <c r="C50" s="89" t="s">
        <v>33</v>
      </c>
      <c r="D50" s="89" t="s">
        <v>17</v>
      </c>
      <c r="E50" s="169">
        <v>3770</v>
      </c>
      <c r="F50" s="91">
        <f t="shared" si="3"/>
        <v>0.98965517241379308</v>
      </c>
      <c r="G50" s="92">
        <v>3731</v>
      </c>
      <c r="H50" s="91">
        <f t="shared" si="5"/>
        <v>1.0924017504770995</v>
      </c>
      <c r="I50" s="91">
        <f t="shared" si="4"/>
        <v>1.0811010427135432</v>
      </c>
      <c r="J50" s="92">
        <f t="shared" si="2"/>
        <v>4429.5261118434673</v>
      </c>
      <c r="K50" s="236">
        <f>F32</f>
        <v>97.860160330544218</v>
      </c>
      <c r="L50" s="321">
        <v>98.044334711212443</v>
      </c>
      <c r="M50" s="160" t="s">
        <v>17</v>
      </c>
      <c r="O50" s="294"/>
      <c r="P50" s="295"/>
    </row>
    <row r="51" spans="1:16" ht="13.8" x14ac:dyDescent="0.3">
      <c r="A51" s="160" t="s">
        <v>173</v>
      </c>
      <c r="B51" s="89"/>
      <c r="C51" s="89"/>
      <c r="D51" s="89"/>
      <c r="E51" s="169">
        <v>2287.6999999999998</v>
      </c>
      <c r="F51" s="91">
        <v>1.015609756097561</v>
      </c>
      <c r="G51" s="92">
        <f>F51*E51</f>
        <v>2323.4104390243901</v>
      </c>
      <c r="H51" s="91">
        <f t="shared" si="5"/>
        <v>1.0924017504770995</v>
      </c>
      <c r="I51" s="91">
        <f t="shared" si="4"/>
        <v>1.1094538753625958</v>
      </c>
      <c r="J51" s="92">
        <f t="shared" si="2"/>
        <v>2758.4045050089062</v>
      </c>
      <c r="K51" s="236">
        <f>F13</f>
        <v>50</v>
      </c>
      <c r="L51" s="321">
        <v>50.094678600733346</v>
      </c>
      <c r="M51" s="160" t="s">
        <v>173</v>
      </c>
      <c r="O51" s="294"/>
      <c r="P51" s="295"/>
    </row>
    <row r="52" spans="1:16" ht="13.8" x14ac:dyDescent="0.3">
      <c r="A52" s="160" t="s">
        <v>12</v>
      </c>
      <c r="B52" s="89" t="s">
        <v>28</v>
      </c>
      <c r="C52" s="89" t="s">
        <v>33</v>
      </c>
      <c r="D52" s="89"/>
      <c r="E52" s="169">
        <v>5870</v>
      </c>
      <c r="F52" s="91">
        <f t="shared" si="3"/>
        <v>0.96064735945485524</v>
      </c>
      <c r="G52" s="92">
        <v>5639</v>
      </c>
      <c r="H52" s="91">
        <f t="shared" si="5"/>
        <v>1.0924017504770995</v>
      </c>
      <c r="I52" s="91">
        <f t="shared" si="4"/>
        <v>1.0494128570596872</v>
      </c>
      <c r="J52" s="92">
        <f t="shared" si="2"/>
        <v>6694.7461122179875</v>
      </c>
      <c r="K52" s="236">
        <f>F15</f>
        <v>97.860160330544218</v>
      </c>
      <c r="L52" s="321">
        <v>98.044334711212443</v>
      </c>
      <c r="M52" s="160" t="s">
        <v>12</v>
      </c>
      <c r="O52" s="294"/>
      <c r="P52" s="295"/>
    </row>
    <row r="53" spans="1:16" ht="13.8" x14ac:dyDescent="0.3">
      <c r="A53" s="160" t="s">
        <v>13</v>
      </c>
      <c r="B53" s="89" t="s">
        <v>28</v>
      </c>
      <c r="C53" s="89"/>
      <c r="D53" s="89"/>
      <c r="E53" s="169">
        <v>2920</v>
      </c>
      <c r="F53" s="91">
        <f t="shared" si="3"/>
        <v>1.0236301369863015</v>
      </c>
      <c r="G53" s="92">
        <v>2989</v>
      </c>
      <c r="H53" s="91">
        <f t="shared" si="5"/>
        <v>1.0924017504770995</v>
      </c>
      <c r="I53" s="91">
        <f t="shared" si="4"/>
        <v>1.1182153534849488</v>
      </c>
      <c r="J53" s="92">
        <f t="shared" si="2"/>
        <v>3548.607222808932</v>
      </c>
      <c r="K53" s="236">
        <f>F14</f>
        <v>95.790160330544211</v>
      </c>
      <c r="L53" s="321">
        <v>96.415672522912232</v>
      </c>
      <c r="M53" s="160" t="s">
        <v>13</v>
      </c>
      <c r="O53" s="294"/>
      <c r="P53" s="295"/>
    </row>
    <row r="54" spans="1:16" ht="13.8" x14ac:dyDescent="0.3">
      <c r="A54" s="175" t="s">
        <v>199</v>
      </c>
      <c r="B54" s="89"/>
      <c r="C54" s="89"/>
      <c r="D54" s="89"/>
      <c r="E54" s="169">
        <v>55</v>
      </c>
      <c r="F54" s="91">
        <f t="shared" si="3"/>
        <v>1</v>
      </c>
      <c r="G54" s="92">
        <v>55</v>
      </c>
      <c r="H54" s="91">
        <f t="shared" si="5"/>
        <v>1.0924017504770995</v>
      </c>
      <c r="I54" s="91">
        <f t="shared" si="4"/>
        <v>1.0924017504770995</v>
      </c>
      <c r="J54" s="92">
        <f t="shared" si="2"/>
        <v>65.297222233018147</v>
      </c>
      <c r="K54" s="236">
        <f>F13</f>
        <v>50</v>
      </c>
      <c r="L54" s="321">
        <v>50.094678600733346</v>
      </c>
      <c r="M54" s="175" t="s">
        <v>199</v>
      </c>
      <c r="O54" s="294"/>
      <c r="P54" s="295"/>
    </row>
    <row r="55" spans="1:16" ht="13.8" x14ac:dyDescent="0.3">
      <c r="A55" s="160" t="s">
        <v>9</v>
      </c>
      <c r="B55" s="89" t="s">
        <v>28</v>
      </c>
      <c r="C55" s="89" t="s">
        <v>33</v>
      </c>
      <c r="D55" s="89"/>
      <c r="E55" s="169">
        <v>7880</v>
      </c>
      <c r="F55" s="91">
        <f t="shared" si="3"/>
        <v>1.0345177664974619</v>
      </c>
      <c r="G55" s="92">
        <v>8152</v>
      </c>
      <c r="H55" s="91">
        <f t="shared" si="5"/>
        <v>1.0924017504770995</v>
      </c>
      <c r="I55" s="91">
        <f t="shared" si="4"/>
        <v>1.1301090190214866</v>
      </c>
      <c r="J55" s="92">
        <f t="shared" si="2"/>
        <v>9678.2355571557073</v>
      </c>
      <c r="K55" s="236">
        <f>F15</f>
        <v>97.860160330544218</v>
      </c>
      <c r="L55" s="321">
        <v>98.044334711212443</v>
      </c>
      <c r="M55" s="160" t="s">
        <v>9</v>
      </c>
      <c r="O55" s="294"/>
      <c r="P55" s="295"/>
    </row>
    <row r="56" spans="1:16" ht="13.8" x14ac:dyDescent="0.3">
      <c r="A56" s="160" t="s">
        <v>14</v>
      </c>
      <c r="B56" s="89" t="s">
        <v>28</v>
      </c>
      <c r="C56" s="89"/>
      <c r="D56" s="89"/>
      <c r="E56" s="169">
        <v>2840</v>
      </c>
      <c r="F56" s="91">
        <f t="shared" si="3"/>
        <v>0.99366197183098592</v>
      </c>
      <c r="G56" s="92">
        <v>2822</v>
      </c>
      <c r="H56" s="91">
        <f t="shared" si="5"/>
        <v>1.0924017504770995</v>
      </c>
      <c r="I56" s="91">
        <f t="shared" si="4"/>
        <v>1.0854780774106954</v>
      </c>
      <c r="J56" s="92">
        <f t="shared" si="2"/>
        <v>3350.3411116650404</v>
      </c>
      <c r="K56" s="236">
        <f>F14</f>
        <v>95.790160330544211</v>
      </c>
      <c r="L56" s="321">
        <v>96.415672522912232</v>
      </c>
      <c r="M56" s="160" t="s">
        <v>14</v>
      </c>
      <c r="O56" s="294"/>
      <c r="P56" s="295"/>
    </row>
    <row r="57" spans="1:16" ht="13.8" x14ac:dyDescent="0.3">
      <c r="A57" s="160" t="s">
        <v>15</v>
      </c>
      <c r="B57" s="89" t="s">
        <v>28</v>
      </c>
      <c r="C57" s="89" t="s">
        <v>5</v>
      </c>
      <c r="D57" s="89" t="s">
        <v>15</v>
      </c>
      <c r="E57" s="169">
        <v>5640</v>
      </c>
      <c r="F57" s="91">
        <f t="shared" si="3"/>
        <v>1.0003546099290781</v>
      </c>
      <c r="G57" s="92">
        <v>5642</v>
      </c>
      <c r="H57" s="91">
        <f t="shared" si="5"/>
        <v>1.0924017504770995</v>
      </c>
      <c r="I57" s="91">
        <f t="shared" si="4"/>
        <v>1.092789126984361</v>
      </c>
      <c r="J57" s="92">
        <f t="shared" si="2"/>
        <v>6698.3077788852443</v>
      </c>
      <c r="K57" s="236">
        <f>F17</f>
        <v>95.790160330544211</v>
      </c>
      <c r="L57" s="321">
        <v>95.971546269102916</v>
      </c>
      <c r="M57" s="160" t="s">
        <v>15</v>
      </c>
      <c r="O57" s="294"/>
      <c r="P57" s="295"/>
    </row>
    <row r="58" spans="1:16" ht="13.8" x14ac:dyDescent="0.3">
      <c r="A58" s="160" t="s">
        <v>10</v>
      </c>
      <c r="B58" s="89" t="s">
        <v>28</v>
      </c>
      <c r="C58" s="89"/>
      <c r="D58" s="89" t="s">
        <v>10</v>
      </c>
      <c r="E58" s="169">
        <f>6800+190</f>
        <v>6990</v>
      </c>
      <c r="F58" s="91">
        <f t="shared" si="3"/>
        <v>1.0359084406294707</v>
      </c>
      <c r="G58" s="92">
        <v>7241</v>
      </c>
      <c r="H58" s="91">
        <f t="shared" si="5"/>
        <v>1.0924017504770995</v>
      </c>
      <c r="I58" s="91">
        <f t="shared" si="4"/>
        <v>1.1316281938776365</v>
      </c>
      <c r="J58" s="92">
        <f t="shared" si="2"/>
        <v>8596.6761125324447</v>
      </c>
      <c r="K58" s="236">
        <f>F20</f>
        <v>95.790160330544211</v>
      </c>
      <c r="L58" s="321">
        <v>96.415672522912232</v>
      </c>
      <c r="M58" s="160" t="s">
        <v>10</v>
      </c>
      <c r="O58" s="294"/>
      <c r="P58" s="295"/>
    </row>
    <row r="59" spans="1:16" ht="13.8" x14ac:dyDescent="0.3">
      <c r="A59" s="160" t="s">
        <v>8</v>
      </c>
      <c r="B59" s="89" t="s">
        <v>28</v>
      </c>
      <c r="C59" s="89" t="s">
        <v>33</v>
      </c>
      <c r="D59" s="89" t="s">
        <v>8</v>
      </c>
      <c r="E59" s="169">
        <v>9410</v>
      </c>
      <c r="F59" s="91">
        <f t="shared" si="3"/>
        <v>1.0022316684378321</v>
      </c>
      <c r="G59" s="92">
        <v>9431</v>
      </c>
      <c r="H59" s="91">
        <f t="shared" si="5"/>
        <v>1.0924017504770995</v>
      </c>
      <c r="I59" s="91">
        <f t="shared" si="4"/>
        <v>1.0948396289850717</v>
      </c>
      <c r="J59" s="92">
        <f t="shared" si="2"/>
        <v>11196.692779628982</v>
      </c>
      <c r="K59" s="236">
        <f>F29</f>
        <v>97.860160330544218</v>
      </c>
      <c r="L59" s="321">
        <v>98.044334711212443</v>
      </c>
      <c r="M59" s="160" t="s">
        <v>8</v>
      </c>
      <c r="O59" s="294"/>
      <c r="P59" s="295"/>
    </row>
    <row r="60" spans="1:16" ht="13.8" x14ac:dyDescent="0.3">
      <c r="A60" s="160" t="s">
        <v>18</v>
      </c>
      <c r="B60" s="89" t="s">
        <v>28</v>
      </c>
      <c r="C60" s="89" t="s">
        <v>33</v>
      </c>
      <c r="D60" s="89"/>
      <c r="E60" s="169">
        <v>405</v>
      </c>
      <c r="F60" s="91">
        <f t="shared" si="3"/>
        <v>0.92592592592592593</v>
      </c>
      <c r="G60" s="92">
        <v>375</v>
      </c>
      <c r="H60" s="91">
        <f t="shared" si="5"/>
        <v>1.0924017504770995</v>
      </c>
      <c r="I60" s="91">
        <f>H60*F60</f>
        <v>1.0114831022936106</v>
      </c>
      <c r="J60" s="92">
        <f>E60*I60*$B$6</f>
        <v>445.20833340694185</v>
      </c>
      <c r="K60" s="236">
        <f>F15</f>
        <v>97.860160330544218</v>
      </c>
      <c r="L60" s="321">
        <v>98.044334711212443</v>
      </c>
      <c r="M60" s="175" t="s">
        <v>18</v>
      </c>
      <c r="O60" s="294"/>
      <c r="P60" s="295"/>
    </row>
    <row r="61" spans="1:16" ht="12.75" customHeight="1" x14ac:dyDescent="0.3">
      <c r="A61" s="95" t="s">
        <v>65</v>
      </c>
      <c r="B61" s="23"/>
      <c r="C61" s="32"/>
      <c r="D61" s="32"/>
      <c r="E61" s="170">
        <f>SUM(E40:E60)</f>
        <v>118915.2</v>
      </c>
      <c r="F61" s="171"/>
      <c r="G61" s="172">
        <f>SUM(G40:G60)</f>
        <v>121693.56104679601</v>
      </c>
      <c r="H61" s="65"/>
      <c r="I61" s="65"/>
      <c r="J61" s="173">
        <f>SUM(J40:J60)</f>
        <v>144477.29999999999</v>
      </c>
      <c r="K61" s="250"/>
      <c r="L61" s="326" t="s">
        <v>24</v>
      </c>
      <c r="M61" s="326"/>
      <c r="O61" s="295"/>
    </row>
    <row r="62" spans="1:16" ht="13.8" x14ac:dyDescent="0.3">
      <c r="A62" s="95" t="s">
        <v>174</v>
      </c>
      <c r="B62" s="32"/>
      <c r="C62" s="32"/>
      <c r="D62" s="32"/>
      <c r="E62" s="32"/>
      <c r="F62" s="32"/>
      <c r="G62" s="103" t="s">
        <v>24</v>
      </c>
      <c r="H62" s="32"/>
      <c r="I62" s="32"/>
      <c r="J62" s="32"/>
      <c r="K62" s="32"/>
      <c r="L62" s="327"/>
      <c r="M62" s="327"/>
      <c r="N62" s="32"/>
      <c r="O62" s="32"/>
      <c r="P62" s="21"/>
    </row>
    <row r="63" spans="1:16" ht="12.75" customHeight="1" x14ac:dyDescent="0.3">
      <c r="A63" s="279" t="s">
        <v>175</v>
      </c>
      <c r="B63" s="210"/>
      <c r="C63" s="210"/>
      <c r="D63" s="210"/>
      <c r="E63" s="210"/>
      <c r="F63" s="210"/>
      <c r="G63" s="210"/>
      <c r="H63" s="210"/>
      <c r="I63" s="210"/>
      <c r="J63" s="210"/>
      <c r="K63" s="210"/>
      <c r="L63" s="327"/>
      <c r="M63" s="327"/>
      <c r="N63" s="210"/>
      <c r="O63" s="210"/>
      <c r="P63" s="21"/>
    </row>
    <row r="64" spans="1:16" x14ac:dyDescent="0.25">
      <c r="A64" s="9"/>
      <c r="C64" s="5"/>
      <c r="D64" s="5"/>
      <c r="E64" s="8"/>
      <c r="F64" s="5"/>
      <c r="G64" s="5"/>
      <c r="I64" s="5"/>
      <c r="J64" s="5"/>
      <c r="M64" s="247" t="s">
        <v>24</v>
      </c>
    </row>
    <row r="65" spans="1:14" x14ac:dyDescent="0.25">
      <c r="A65" s="9"/>
      <c r="C65" s="5"/>
      <c r="D65" s="5"/>
      <c r="E65" s="8"/>
      <c r="F65" s="5"/>
      <c r="G65" s="5"/>
      <c r="H65" s="12"/>
      <c r="I65" s="5"/>
      <c r="J65" s="5"/>
      <c r="K65" s="100"/>
      <c r="L65" s="100"/>
      <c r="M65" s="238" t="s">
        <v>24</v>
      </c>
      <c r="N65" s="100"/>
    </row>
    <row r="66" spans="1:14" x14ac:dyDescent="0.25">
      <c r="G66" s="100"/>
      <c r="H66" s="12"/>
      <c r="M66" s="233" t="s">
        <v>24</v>
      </c>
    </row>
    <row r="67" spans="1:14" ht="13.8" x14ac:dyDescent="0.25">
      <c r="A67" s="17"/>
      <c r="E67" s="12"/>
      <c r="H67" s="12"/>
    </row>
    <row r="68" spans="1:14" x14ac:dyDescent="0.25">
      <c r="E68" s="12"/>
      <c r="F68" s="12"/>
      <c r="G68" s="12"/>
      <c r="H68" s="12"/>
    </row>
    <row r="69" spans="1:14" x14ac:dyDescent="0.25">
      <c r="E69" s="12"/>
      <c r="F69" s="12"/>
      <c r="G69" s="12"/>
    </row>
    <row r="78" spans="1:14" x14ac:dyDescent="0.25">
      <c r="B78" s="4" t="s">
        <v>24</v>
      </c>
    </row>
    <row r="79" spans="1:14" x14ac:dyDescent="0.25">
      <c r="B79" s="4" t="s">
        <v>24</v>
      </c>
    </row>
    <row r="80" spans="1:14" x14ac:dyDescent="0.25">
      <c r="B80" s="4" t="s">
        <v>24</v>
      </c>
      <c r="C80" s="4" t="s">
        <v>24</v>
      </c>
      <c r="D80" s="4" t="s">
        <v>24</v>
      </c>
    </row>
    <row r="81" spans="2:2" x14ac:dyDescent="0.25">
      <c r="B81" s="4" t="s">
        <v>24</v>
      </c>
    </row>
    <row r="82" spans="2:2" x14ac:dyDescent="0.25">
      <c r="B82" s="4" t="s">
        <v>24</v>
      </c>
    </row>
    <row r="83" spans="2:2" x14ac:dyDescent="0.25">
      <c r="B83" s="4" t="s">
        <v>24</v>
      </c>
    </row>
  </sheetData>
  <phoneticPr fontId="0" type="noConversion"/>
  <pageMargins left="0.45" right="0.45" top="0.5" bottom="0.5" header="0" footer="0.05"/>
  <pageSetup paperSize="17" scale="73" orientation="landscape" r:id="rId1"/>
  <headerFooter alignWithMargins="0"/>
  <ignoredErrors>
    <ignoredError sqref="B20 K45:K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heetViews>
  <sheetFormatPr defaultRowHeight="13.2" x14ac:dyDescent="0.25"/>
  <cols>
    <col min="1" max="1" width="17.5546875" customWidth="1"/>
    <col min="2" max="3" width="12.6640625" customWidth="1"/>
    <col min="4" max="4" width="15.44140625" customWidth="1"/>
    <col min="5" max="10" width="15.6640625" customWidth="1"/>
    <col min="11" max="11" width="17.33203125" bestFit="1" customWidth="1"/>
    <col min="12" max="26" width="15.6640625" customWidth="1"/>
    <col min="27" max="27" width="17.33203125" customWidth="1"/>
    <col min="28" max="32" width="15.6640625" customWidth="1"/>
    <col min="35" max="35" width="12.88671875" customWidth="1"/>
    <col min="37" max="37" width="12.6640625" customWidth="1"/>
  </cols>
  <sheetData>
    <row r="1" spans="1:28" ht="18" x14ac:dyDescent="0.35">
      <c r="A1" s="105" t="s">
        <v>191</v>
      </c>
      <c r="B1" s="4"/>
      <c r="C1" s="4"/>
      <c r="D1" s="4"/>
      <c r="E1" s="4"/>
      <c r="F1" s="4"/>
      <c r="G1" s="4"/>
      <c r="H1" s="4"/>
      <c r="I1" s="4"/>
      <c r="J1" s="4"/>
      <c r="K1" s="4"/>
      <c r="L1" s="4"/>
      <c r="M1" s="4"/>
      <c r="N1" s="4"/>
      <c r="O1" s="4"/>
      <c r="P1" s="4"/>
      <c r="Q1" s="4"/>
      <c r="R1" s="4"/>
      <c r="S1" s="4"/>
      <c r="T1" s="4"/>
      <c r="U1" s="4"/>
      <c r="V1" s="4"/>
      <c r="W1" s="4"/>
      <c r="X1" s="4"/>
      <c r="Y1" s="4"/>
    </row>
    <row r="2" spans="1:28" ht="18"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2" thickBot="1" x14ac:dyDescent="0.35">
      <c r="A3" s="154" t="s">
        <v>60</v>
      </c>
      <c r="B3" s="96"/>
      <c r="C3" s="96"/>
      <c r="D3" s="191"/>
      <c r="E3" s="191"/>
      <c r="F3" s="192"/>
      <c r="G3" s="21"/>
      <c r="H3" s="106" t="s">
        <v>24</v>
      </c>
      <c r="I3" s="107"/>
      <c r="J3" s="188" t="s">
        <v>24</v>
      </c>
      <c r="K3" s="106"/>
      <c r="L3" s="106"/>
      <c r="M3" s="21"/>
      <c r="N3" s="21"/>
      <c r="O3" s="21"/>
      <c r="P3" s="21"/>
      <c r="Q3" s="21"/>
      <c r="R3" s="21"/>
      <c r="S3" s="21"/>
      <c r="T3" s="21"/>
      <c r="U3" s="21"/>
      <c r="V3" s="21"/>
      <c r="W3" s="21"/>
      <c r="X3" s="21"/>
      <c r="Y3" s="106"/>
      <c r="Z3" s="21"/>
      <c r="AA3" s="21"/>
      <c r="AB3" s="21"/>
    </row>
    <row r="4" spans="1:28" ht="124.2" x14ac:dyDescent="0.3">
      <c r="A4" s="185" t="s">
        <v>3</v>
      </c>
      <c r="B4" s="186" t="s">
        <v>61</v>
      </c>
      <c r="C4" s="186" t="s">
        <v>62</v>
      </c>
      <c r="D4" s="186" t="s">
        <v>78</v>
      </c>
      <c r="E4" s="108" t="s">
        <v>63</v>
      </c>
      <c r="F4" s="108" t="s">
        <v>90</v>
      </c>
      <c r="G4" s="108" t="s">
        <v>69</v>
      </c>
      <c r="H4" s="108" t="s">
        <v>91</v>
      </c>
      <c r="I4" s="265" t="s">
        <v>93</v>
      </c>
      <c r="J4" s="28"/>
      <c r="K4" s="21"/>
      <c r="L4" s="77"/>
      <c r="M4" s="28"/>
      <c r="N4" s="21"/>
      <c r="O4" s="21"/>
      <c r="P4" s="21"/>
      <c r="Q4" s="21"/>
      <c r="R4" s="21"/>
      <c r="S4" s="21"/>
      <c r="T4" s="21"/>
      <c r="U4" s="21"/>
      <c r="V4" s="21"/>
      <c r="W4" s="21"/>
      <c r="X4" s="21"/>
      <c r="Y4" s="21"/>
      <c r="Z4" s="21"/>
      <c r="AA4" s="21"/>
    </row>
    <row r="5" spans="1:28" ht="13.8" x14ac:dyDescent="0.3">
      <c r="A5" s="109" t="s">
        <v>28</v>
      </c>
      <c r="B5" s="113">
        <f>'BRA Load Pricing Results'!B14</f>
        <v>65106.079455208768</v>
      </c>
      <c r="C5" s="113">
        <f>'BRA Resource Clearing Results'!F27</f>
        <v>64614.2</v>
      </c>
      <c r="D5" s="322">
        <v>398.07945520877109</v>
      </c>
      <c r="E5" s="110">
        <f>'BRA Resource Clearing Results'!B84</f>
        <v>0</v>
      </c>
      <c r="F5" s="47">
        <f>D5-E5</f>
        <v>398.07945520877109</v>
      </c>
      <c r="G5" s="47">
        <f>'BRA ICTRs'!C44</f>
        <v>270.06959118085257</v>
      </c>
      <c r="H5" s="47">
        <f>'BRA ICTRs'!C13+'BRA ICTRs'!C32</f>
        <v>128.00986402791855</v>
      </c>
      <c r="I5" s="266">
        <f>F5-G5-H5</f>
        <v>0</v>
      </c>
      <c r="J5" s="230" t="s">
        <v>24</v>
      </c>
      <c r="K5" s="297"/>
      <c r="L5" s="21"/>
      <c r="M5" s="300"/>
      <c r="N5" s="21"/>
      <c r="O5" s="21"/>
      <c r="P5" s="21"/>
      <c r="Q5" s="21"/>
      <c r="R5" s="21"/>
      <c r="S5" s="21"/>
      <c r="T5" s="21"/>
      <c r="U5" s="21"/>
      <c r="V5" s="21"/>
      <c r="W5" s="21"/>
      <c r="X5" s="21"/>
      <c r="Y5" s="21"/>
      <c r="Z5" s="21"/>
      <c r="AA5" s="21"/>
    </row>
    <row r="6" spans="1:28" ht="13.8" x14ac:dyDescent="0.3">
      <c r="A6" s="109" t="s">
        <v>33</v>
      </c>
      <c r="B6" s="113">
        <f>'BRA Load Pricing Results'!B15</f>
        <v>35300.86556139202</v>
      </c>
      <c r="C6" s="113">
        <f>'BRA Resource Clearing Results'!F28</f>
        <v>29333.8</v>
      </c>
      <c r="D6" s="322">
        <v>5934.7655613920206</v>
      </c>
      <c r="E6" s="110">
        <f>'BRA Resource Clearing Results'!B85</f>
        <v>0</v>
      </c>
      <c r="F6" s="47">
        <f>D6-E6</f>
        <v>5934.7655613920206</v>
      </c>
      <c r="G6" s="47">
        <f>'BRA ICTRs'!D44</f>
        <v>40</v>
      </c>
      <c r="H6" s="47">
        <f>'BRA ICTRs'!D13+'BRA ICTRs'!D32</f>
        <v>948</v>
      </c>
      <c r="I6" s="266">
        <f>F6-G6-H6</f>
        <v>4946.7655613920206</v>
      </c>
      <c r="J6" s="159"/>
      <c r="K6" s="297"/>
      <c r="L6" s="21"/>
      <c r="M6" s="300"/>
      <c r="N6" s="21"/>
      <c r="O6" s="21"/>
      <c r="P6" s="21"/>
      <c r="Q6" s="21"/>
      <c r="R6" s="21"/>
      <c r="S6" s="21"/>
      <c r="T6" s="21"/>
      <c r="U6" s="21"/>
      <c r="V6" s="21"/>
      <c r="W6" s="21"/>
      <c r="X6" s="21"/>
      <c r="Y6" s="21"/>
      <c r="Z6" s="21"/>
      <c r="AA6" s="21"/>
    </row>
    <row r="7" spans="1:28" ht="13.8" x14ac:dyDescent="0.3">
      <c r="A7" s="109" t="s">
        <v>5</v>
      </c>
      <c r="B7" s="113">
        <f>'BRA Load Pricing Results'!B16</f>
        <v>14309.589446810325</v>
      </c>
      <c r="C7" s="113">
        <f>'BRA Resource Clearing Results'!F29</f>
        <v>8284.1</v>
      </c>
      <c r="D7" s="322">
        <f>B7-C7</f>
        <v>6025.4894468103248</v>
      </c>
      <c r="E7" s="110">
        <f>'BRA Resource Clearing Results'!B86</f>
        <v>0</v>
      </c>
      <c r="F7" s="47">
        <f t="shared" ref="F7:F16" si="0">D7-E7</f>
        <v>6025.4894468103248</v>
      </c>
      <c r="G7" s="110">
        <f>'BRA ICTRs'!E44</f>
        <v>0</v>
      </c>
      <c r="H7" s="47">
        <f>'BRA ICTRs'!E13+'BRA ICTRs'!E32</f>
        <v>493</v>
      </c>
      <c r="I7" s="266">
        <f>F7-G7-H7</f>
        <v>5532.4894468103248</v>
      </c>
      <c r="J7" s="159"/>
      <c r="K7" s="36"/>
      <c r="L7" s="36"/>
      <c r="M7" s="36"/>
      <c r="N7" s="21"/>
      <c r="O7" s="21"/>
      <c r="P7" s="21"/>
      <c r="Q7" s="21"/>
      <c r="R7" s="21"/>
      <c r="S7" s="21"/>
      <c r="T7" s="21"/>
      <c r="U7" s="21"/>
      <c r="V7" s="21"/>
      <c r="W7" s="21"/>
      <c r="X7" s="21"/>
      <c r="Y7" s="21"/>
      <c r="Z7" s="21"/>
      <c r="AA7" s="21"/>
    </row>
    <row r="8" spans="1:28" ht="13.8" x14ac:dyDescent="0.3">
      <c r="A8" s="109" t="s">
        <v>40</v>
      </c>
      <c r="B8" s="113">
        <f>'BRA Load Pricing Results'!J59</f>
        <v>11196.692779628982</v>
      </c>
      <c r="C8" s="113">
        <f>'BRA Load Pricing Results'!C29</f>
        <v>4436.5</v>
      </c>
      <c r="D8" s="322">
        <v>6760.192779628982</v>
      </c>
      <c r="E8" s="110">
        <f>IF('BRA Resource Clearing Results'!D87+'BRA Resource Clearing Results'!D88=0,0,('BRA Resource Clearing Results'!D87+'BRA Resource Clearing Results'!D88)/'BRA Load Pricing Results'!D29)</f>
        <v>0</v>
      </c>
      <c r="F8" s="47">
        <f t="shared" si="0"/>
        <v>6760.192779628982</v>
      </c>
      <c r="G8" s="111">
        <f>IFERROR(('BRA ICTRs'!B90+'BRA ICTRs'!B91)/L21,0)</f>
        <v>0</v>
      </c>
      <c r="H8" s="47">
        <f>IFERROR(('BRA ICTRs'!C90+'BRA ICTRs'!C91)/L21,0)</f>
        <v>0</v>
      </c>
      <c r="I8" s="266">
        <f t="shared" ref="I8:I13" si="1">F8-G8-H8</f>
        <v>6760.192779628982</v>
      </c>
      <c r="J8" s="320" t="s">
        <v>24</v>
      </c>
      <c r="K8" s="36"/>
      <c r="L8" s="36"/>
      <c r="M8" s="36"/>
      <c r="N8" s="21"/>
      <c r="O8" s="21"/>
      <c r="P8" s="21"/>
      <c r="Q8" s="21"/>
      <c r="R8" s="21"/>
      <c r="S8" s="21"/>
      <c r="T8" s="21"/>
      <c r="U8" s="21"/>
      <c r="V8" s="21"/>
      <c r="W8" s="21"/>
      <c r="X8" s="21"/>
      <c r="Y8" s="21"/>
      <c r="Z8" s="21"/>
      <c r="AA8" s="21"/>
    </row>
    <row r="9" spans="1:28" ht="13.8" x14ac:dyDescent="0.3">
      <c r="A9" s="109" t="s">
        <v>38</v>
      </c>
      <c r="B9" s="113">
        <f>'BRA Load Pricing Results'!J50</f>
        <v>4429.5261118434673</v>
      </c>
      <c r="C9" s="113">
        <f>'BRA Load Pricing Results'!C32</f>
        <v>5098.8999999999996</v>
      </c>
      <c r="D9" s="322">
        <f>B9-C9</f>
        <v>-669.3738881565323</v>
      </c>
      <c r="E9" s="110">
        <f>IF('BRA Resource Clearing Results'!D89=0,0,('BRA Resource Clearing Results'!D89/'BRA Load Pricing Results'!D32))</f>
        <v>0</v>
      </c>
      <c r="F9" s="110">
        <f t="shared" si="0"/>
        <v>-669.3738881565323</v>
      </c>
      <c r="G9" s="110">
        <f>'BRA ICTRs'!I44</f>
        <v>0</v>
      </c>
      <c r="H9" s="111">
        <f>'BRA ICTRs'!I13+'BRA ICTRs'!I32</f>
        <v>0</v>
      </c>
      <c r="I9" s="266">
        <f t="shared" si="1"/>
        <v>-669.3738881565323</v>
      </c>
      <c r="J9" s="159"/>
      <c r="K9" s="36"/>
      <c r="L9" s="36"/>
      <c r="M9" s="36"/>
      <c r="N9" s="21"/>
      <c r="O9" s="21"/>
      <c r="P9" s="21"/>
      <c r="Q9" s="21"/>
      <c r="R9" s="21"/>
      <c r="S9" s="21"/>
      <c r="T9" s="21"/>
      <c r="U9" s="21"/>
      <c r="V9" s="21"/>
      <c r="W9" s="21"/>
      <c r="X9" s="21"/>
      <c r="Y9" s="21"/>
      <c r="Z9" s="21"/>
      <c r="AA9" s="21"/>
    </row>
    <row r="10" spans="1:28" ht="13.8" x14ac:dyDescent="0.3">
      <c r="A10" s="109" t="s">
        <v>15</v>
      </c>
      <c r="B10" s="113">
        <f>'BRA Load Pricing Results'!J57</f>
        <v>6698.3077788852443</v>
      </c>
      <c r="C10" s="113">
        <f>'BRA Resource Clearing Results'!F33</f>
        <v>3533.6</v>
      </c>
      <c r="D10" s="322">
        <f t="shared" ref="D10:D12" si="2">B10-C10</f>
        <v>3164.7077788852444</v>
      </c>
      <c r="E10" s="110">
        <f>'BRA Resource Clearing Results'!B90</f>
        <v>0</v>
      </c>
      <c r="F10" s="47">
        <f t="shared" si="0"/>
        <v>3164.7077788852444</v>
      </c>
      <c r="G10" s="110">
        <f>'BRA ICTRs'!J44</f>
        <v>0</v>
      </c>
      <c r="H10" s="47">
        <f>'BRA ICTRs'!J13+'BRA ICTRs'!J32</f>
        <v>175</v>
      </c>
      <c r="I10" s="266">
        <f t="shared" si="1"/>
        <v>2989.7077788852444</v>
      </c>
      <c r="J10" s="159"/>
      <c r="K10" s="36"/>
      <c r="L10" s="36"/>
      <c r="M10" s="36"/>
      <c r="N10" s="21"/>
      <c r="O10" s="21"/>
      <c r="P10" s="21"/>
      <c r="Q10" s="21"/>
      <c r="R10" s="21"/>
      <c r="S10" s="21"/>
      <c r="T10" s="21"/>
      <c r="U10" s="21"/>
      <c r="V10" s="21"/>
      <c r="W10" s="21"/>
      <c r="X10" s="21"/>
      <c r="Y10" s="21"/>
      <c r="Z10" s="21"/>
      <c r="AA10" s="21"/>
    </row>
    <row r="11" spans="1:28" ht="13.8" x14ac:dyDescent="0.3">
      <c r="A11" s="109" t="s">
        <v>101</v>
      </c>
      <c r="B11" s="113">
        <f>'BRA Load Pricing Results'!J43</f>
        <v>14272.785557915347</v>
      </c>
      <c r="C11" s="113">
        <f>'BRA Load Pricing Results'!C35</f>
        <v>10543.9</v>
      </c>
      <c r="D11" s="322">
        <v>3728.8855579153478</v>
      </c>
      <c r="E11" s="110">
        <f>IF('BRA Resource Clearing Results'!D91+'BRA Resource Clearing Results'!D92=0,0,('BRA Resource Clearing Results'!D91+'BRA Resource Clearing Results'!D92)/'BRA Load Pricing Results'!D35)</f>
        <v>0</v>
      </c>
      <c r="F11" s="47">
        <f t="shared" si="0"/>
        <v>3728.8855579153478</v>
      </c>
      <c r="G11" s="110">
        <v>0</v>
      </c>
      <c r="H11" s="110">
        <v>0</v>
      </c>
      <c r="I11" s="266">
        <f t="shared" si="1"/>
        <v>3728.8855579153478</v>
      </c>
      <c r="J11" s="159"/>
      <c r="K11" s="297"/>
      <c r="L11" s="21"/>
      <c r="M11" s="36"/>
      <c r="N11" s="21"/>
      <c r="O11" s="21"/>
      <c r="P11" s="21"/>
      <c r="Q11" s="21"/>
      <c r="R11" s="21"/>
      <c r="S11" s="21"/>
      <c r="T11" s="21"/>
      <c r="U11" s="21"/>
      <c r="V11" s="21"/>
      <c r="W11" s="21"/>
      <c r="X11" s="21"/>
      <c r="Y11" s="21"/>
      <c r="Z11" s="21"/>
      <c r="AA11" s="21"/>
    </row>
    <row r="12" spans="1:28" ht="13.8" x14ac:dyDescent="0.3">
      <c r="A12" s="112" t="s">
        <v>20</v>
      </c>
      <c r="B12" s="113">
        <f>'BRA Load Pricing Results'!J45</f>
        <v>22940.695003792902</v>
      </c>
      <c r="C12" s="113">
        <f>'BRA Resource Clearing Results'!F36</f>
        <v>19197.5</v>
      </c>
      <c r="D12" s="322">
        <f t="shared" si="2"/>
        <v>3743.1950037929018</v>
      </c>
      <c r="E12" s="110">
        <f>'BRA Resource Clearing Results'!B93</f>
        <v>0</v>
      </c>
      <c r="F12" s="47">
        <f t="shared" si="0"/>
        <v>3743.1950037929018</v>
      </c>
      <c r="G12" s="110">
        <f>'BRA ICTRs'!M44</f>
        <v>1376</v>
      </c>
      <c r="H12" s="110">
        <f>'BRA ICTRs'!M13+'BRA ICTRs'!M32</f>
        <v>0</v>
      </c>
      <c r="I12" s="266">
        <f>F12-G12-H12</f>
        <v>2367.1950037929018</v>
      </c>
      <c r="J12" s="159"/>
      <c r="K12" s="297"/>
      <c r="L12" s="21"/>
      <c r="M12" s="36"/>
      <c r="N12" s="21"/>
      <c r="O12" s="21"/>
      <c r="P12" s="21"/>
      <c r="Q12" s="21"/>
      <c r="R12" s="21"/>
      <c r="S12" s="21"/>
      <c r="T12" s="21"/>
      <c r="U12" s="21"/>
      <c r="V12" s="21"/>
      <c r="W12" s="21"/>
      <c r="X12" s="21"/>
      <c r="Y12" s="21"/>
      <c r="Z12" s="21"/>
      <c r="AA12" s="21"/>
    </row>
    <row r="13" spans="1:28" ht="13.8" x14ac:dyDescent="0.3">
      <c r="A13" s="112" t="s">
        <v>11</v>
      </c>
      <c r="B13" s="113">
        <f>'BRA Load Pricing Results'!J44</f>
        <v>7611.28166792508</v>
      </c>
      <c r="C13" s="113">
        <f>'BRA Resource Clearing Results'!F37</f>
        <v>2494.5</v>
      </c>
      <c r="D13" s="322">
        <f>B13-C13</f>
        <v>5116.78166792508</v>
      </c>
      <c r="E13" s="110">
        <f>'BRA Resource Clearing Results'!B94</f>
        <v>0</v>
      </c>
      <c r="F13" s="47">
        <f t="shared" si="0"/>
        <v>5116.78166792508</v>
      </c>
      <c r="G13" s="47">
        <f>'BRA ICTRs'!K44</f>
        <v>65.7</v>
      </c>
      <c r="H13" s="47">
        <f>'BRA ICTRs'!K13+'BRA ICTRs'!K32</f>
        <v>306</v>
      </c>
      <c r="I13" s="266">
        <f t="shared" si="1"/>
        <v>4745.0816679250802</v>
      </c>
      <c r="J13" s="159"/>
      <c r="K13" s="297"/>
      <c r="L13" s="21"/>
      <c r="M13" s="36"/>
      <c r="N13" s="21"/>
      <c r="O13" s="21"/>
      <c r="P13" s="21"/>
      <c r="Q13" s="21"/>
      <c r="R13" s="21"/>
      <c r="S13" s="21"/>
      <c r="T13" s="21"/>
      <c r="U13" s="21"/>
      <c r="V13" s="21"/>
      <c r="W13" s="21"/>
      <c r="X13" s="21"/>
      <c r="Y13" s="21"/>
      <c r="Z13" s="21"/>
      <c r="AA13" s="21"/>
    </row>
    <row r="14" spans="1:28" ht="13.8" x14ac:dyDescent="0.3">
      <c r="A14" s="211" t="s">
        <v>10</v>
      </c>
      <c r="B14" s="212">
        <f>'BRA Load Pricing Results'!J58</f>
        <v>8596.6761125324447</v>
      </c>
      <c r="C14" s="212">
        <f>'BRA Resource Clearing Results'!D57</f>
        <v>10144.700000000001</v>
      </c>
      <c r="D14" s="322">
        <f>B14-C14</f>
        <v>-1548.0238874675561</v>
      </c>
      <c r="E14" s="110">
        <f>'BRA Resource Clearing Results'!B95</f>
        <v>0</v>
      </c>
      <c r="F14" s="213">
        <f t="shared" ref="F14:F15" si="3">D14-E14</f>
        <v>-1548.0238874675561</v>
      </c>
      <c r="G14" s="213">
        <v>0</v>
      </c>
      <c r="H14" s="213">
        <v>0</v>
      </c>
      <c r="I14" s="267">
        <f t="shared" ref="I14:I15" si="4">F14-G14-H14</f>
        <v>-1548.0238874675561</v>
      </c>
      <c r="J14" s="159"/>
      <c r="K14" s="297"/>
      <c r="L14" s="21"/>
      <c r="M14" s="36"/>
      <c r="N14" s="21"/>
      <c r="O14" s="21"/>
      <c r="P14" s="21"/>
      <c r="Q14" s="21"/>
      <c r="R14" s="21"/>
      <c r="S14" s="21"/>
      <c r="T14" s="21"/>
      <c r="U14" s="21"/>
      <c r="V14" s="21"/>
      <c r="W14" s="21"/>
      <c r="X14" s="21"/>
      <c r="Y14" s="21"/>
      <c r="Z14" s="21"/>
      <c r="AA14" s="21"/>
    </row>
    <row r="15" spans="1:28" ht="13.8" x14ac:dyDescent="0.3">
      <c r="A15" s="112" t="s">
        <v>21</v>
      </c>
      <c r="B15" s="113">
        <f>'BRA Load Pricing Results'!J46</f>
        <v>3940.3905562070404</v>
      </c>
      <c r="C15" s="113">
        <f>'BRA Resource Clearing Results'!D58</f>
        <v>1253</v>
      </c>
      <c r="D15" s="322">
        <f>B15-C15</f>
        <v>2687.3905562070404</v>
      </c>
      <c r="E15" s="110">
        <f>'BRA Resource Clearing Results'!B96</f>
        <v>0</v>
      </c>
      <c r="F15" s="47">
        <f t="shared" si="3"/>
        <v>2687.3905562070404</v>
      </c>
      <c r="G15" s="110">
        <v>0</v>
      </c>
      <c r="H15" s="110">
        <v>0</v>
      </c>
      <c r="I15" s="266">
        <f t="shared" si="4"/>
        <v>2687.3905562070404</v>
      </c>
      <c r="J15" s="159"/>
      <c r="K15" s="297" t="s">
        <v>24</v>
      </c>
      <c r="L15" s="21"/>
      <c r="M15" s="36"/>
      <c r="N15" s="21"/>
      <c r="O15" s="21"/>
      <c r="P15" s="21"/>
      <c r="Q15" s="21"/>
      <c r="R15" s="21"/>
      <c r="S15" s="21"/>
      <c r="T15" s="21"/>
      <c r="U15" s="21"/>
      <c r="V15" s="21"/>
      <c r="W15" s="21"/>
      <c r="X15" s="21"/>
      <c r="Y15" s="21"/>
      <c r="Z15" s="21"/>
      <c r="AA15" s="21"/>
    </row>
    <row r="16" spans="1:28" ht="14.4" thickBot="1" x14ac:dyDescent="0.35">
      <c r="A16" s="214" t="s">
        <v>50</v>
      </c>
      <c r="B16" s="215">
        <f>'BRA Load Pricing Results'!J47</f>
        <v>5304.6096237726624</v>
      </c>
      <c r="C16" s="215">
        <f>'BRA Resource Clearing Results'!D59</f>
        <v>2114.8000000000002</v>
      </c>
      <c r="D16" s="323">
        <f>B16-C16</f>
        <v>3189.8096237726622</v>
      </c>
      <c r="E16" s="114">
        <f>'BRA Resource Clearing Results'!B97</f>
        <v>0</v>
      </c>
      <c r="F16" s="216">
        <f t="shared" si="0"/>
        <v>3189.8096237726622</v>
      </c>
      <c r="G16" s="216">
        <f>'BRA ICTRs'!L44</f>
        <v>155</v>
      </c>
      <c r="H16" s="114">
        <f>'BRA ICTRs'!L13+'BRA ICTRs'!L32</f>
        <v>0</v>
      </c>
      <c r="I16" s="268">
        <f>F16-G16-H16</f>
        <v>3034.8096237726622</v>
      </c>
      <c r="J16" s="159"/>
      <c r="K16" s="297"/>
      <c r="L16" s="21"/>
      <c r="M16" s="36"/>
      <c r="N16" s="21"/>
      <c r="O16" s="21"/>
      <c r="P16" s="21"/>
      <c r="Q16" s="21"/>
      <c r="R16" s="21"/>
      <c r="S16" s="21"/>
      <c r="T16" s="21"/>
      <c r="U16" s="21"/>
      <c r="V16" s="21"/>
      <c r="W16" s="21"/>
      <c r="X16" s="21"/>
      <c r="Y16" s="21"/>
      <c r="Z16" s="21"/>
      <c r="AA16" s="21"/>
    </row>
    <row r="17" spans="1:37" ht="13.8" x14ac:dyDescent="0.3">
      <c r="A17" s="32" t="s">
        <v>79</v>
      </c>
      <c r="B17" s="32"/>
      <c r="C17" s="32"/>
      <c r="E17" s="32"/>
      <c r="F17" s="54"/>
      <c r="G17" s="55"/>
      <c r="H17" s="72"/>
      <c r="I17" s="55"/>
      <c r="J17" s="39"/>
      <c r="K17" s="116"/>
      <c r="L17" s="298"/>
      <c r="M17" s="21"/>
      <c r="N17" s="36"/>
      <c r="O17" s="21"/>
      <c r="P17" s="21"/>
      <c r="Q17" s="21"/>
      <c r="R17" s="21"/>
      <c r="S17" s="21"/>
      <c r="T17" s="21"/>
      <c r="U17" s="21"/>
      <c r="V17" s="21"/>
      <c r="W17" s="21"/>
      <c r="X17" s="21"/>
      <c r="Y17" s="21"/>
      <c r="Z17" s="21"/>
      <c r="AA17" s="21"/>
      <c r="AB17" s="21"/>
    </row>
    <row r="18" spans="1:37" ht="12.75" customHeight="1" thickBot="1" x14ac:dyDescent="0.35">
      <c r="A18" s="115"/>
      <c r="B18" s="32"/>
      <c r="C18" s="32"/>
      <c r="D18" s="54"/>
      <c r="E18" s="117"/>
      <c r="F18" s="54"/>
      <c r="G18" s="55"/>
      <c r="H18" s="72"/>
      <c r="I18" s="55"/>
      <c r="J18" s="39"/>
      <c r="K18" s="116"/>
      <c r="L18" s="21"/>
      <c r="M18" s="21"/>
      <c r="N18" s="36"/>
      <c r="O18" s="21"/>
      <c r="P18" s="21"/>
      <c r="Q18" s="21"/>
      <c r="R18" s="21"/>
      <c r="S18" s="21"/>
      <c r="T18" s="21"/>
      <c r="U18" s="21"/>
      <c r="V18" s="21"/>
      <c r="W18" s="21"/>
      <c r="X18" s="21"/>
      <c r="Y18" s="21"/>
      <c r="Z18" s="21"/>
      <c r="AA18" s="21"/>
      <c r="AB18" s="21"/>
    </row>
    <row r="19" spans="1:37" ht="15" customHeight="1" thickBot="1" x14ac:dyDescent="0.35">
      <c r="A19" s="384" t="s">
        <v>76</v>
      </c>
      <c r="B19" s="385"/>
      <c r="C19" s="385"/>
      <c r="D19" s="386"/>
      <c r="E19" s="118"/>
      <c r="F19" s="21"/>
      <c r="G19" s="21"/>
      <c r="H19" s="21"/>
      <c r="I19" s="21"/>
      <c r="J19" s="21"/>
      <c r="K19" s="21"/>
      <c r="L19" s="21"/>
      <c r="M19" s="21"/>
      <c r="N19" s="21"/>
      <c r="O19" s="21"/>
      <c r="P19" s="21"/>
      <c r="Q19" s="21"/>
      <c r="R19" s="21"/>
      <c r="S19" s="21"/>
      <c r="T19" s="21"/>
      <c r="U19" s="21"/>
      <c r="V19" s="21"/>
      <c r="W19" s="21"/>
      <c r="X19" s="21"/>
      <c r="Y19" s="21"/>
      <c r="Z19" s="21"/>
      <c r="AA19" s="21"/>
      <c r="AB19" s="21"/>
    </row>
    <row r="20" spans="1:37" ht="13.8" x14ac:dyDescent="0.3">
      <c r="A20" s="387"/>
      <c r="B20" s="388"/>
      <c r="C20" s="388"/>
      <c r="D20" s="389"/>
      <c r="E20" s="382" t="s">
        <v>28</v>
      </c>
      <c r="F20" s="383"/>
      <c r="G20" s="382" t="s">
        <v>33</v>
      </c>
      <c r="H20" s="383"/>
      <c r="I20" s="382" t="s">
        <v>5</v>
      </c>
      <c r="J20" s="383"/>
      <c r="K20" s="382" t="s">
        <v>40</v>
      </c>
      <c r="L20" s="383"/>
      <c r="M20" s="382" t="s">
        <v>38</v>
      </c>
      <c r="N20" s="383"/>
      <c r="O20" s="382" t="s">
        <v>15</v>
      </c>
      <c r="P20" s="383"/>
      <c r="Q20" s="382" t="s">
        <v>101</v>
      </c>
      <c r="R20" s="383"/>
      <c r="S20" s="382" t="s">
        <v>20</v>
      </c>
      <c r="T20" s="383"/>
      <c r="U20" s="382" t="s">
        <v>11</v>
      </c>
      <c r="V20" s="383"/>
      <c r="W20" s="382" t="s">
        <v>10</v>
      </c>
      <c r="X20" s="383"/>
      <c r="Y20" s="382" t="s">
        <v>21</v>
      </c>
      <c r="Z20" s="383"/>
      <c r="AA20" s="382" t="s">
        <v>50</v>
      </c>
      <c r="AB20" s="383"/>
      <c r="AC20" s="21"/>
      <c r="AD20" s="21"/>
      <c r="AE20" s="21"/>
      <c r="AF20" s="21"/>
    </row>
    <row r="21" spans="1:37" ht="30.75" customHeight="1" thickBot="1" x14ac:dyDescent="0.35">
      <c r="A21" s="390"/>
      <c r="B21" s="391"/>
      <c r="C21" s="391"/>
      <c r="D21" s="392"/>
      <c r="E21" s="133" t="s">
        <v>41</v>
      </c>
      <c r="F21" s="119">
        <f>'BRA Resource Clearing Results'!C6</f>
        <v>45.79</v>
      </c>
      <c r="G21" s="133" t="s">
        <v>41</v>
      </c>
      <c r="H21" s="119">
        <f>'BRA Resource Clearing Results'!C7</f>
        <v>2.0699999999999998</v>
      </c>
      <c r="I21" s="133" t="s">
        <v>41</v>
      </c>
      <c r="J21" s="119">
        <f>'BRA Resource Clearing Results'!C8</f>
        <v>0</v>
      </c>
      <c r="K21" s="133" t="s">
        <v>41</v>
      </c>
      <c r="L21" s="119">
        <f>'BRA Load Pricing Results'!D29</f>
        <v>0</v>
      </c>
      <c r="M21" s="133" t="s">
        <v>41</v>
      </c>
      <c r="N21" s="134">
        <f>'BRA Load Pricing Results'!D32</f>
        <v>0</v>
      </c>
      <c r="O21" s="133" t="s">
        <v>41</v>
      </c>
      <c r="P21" s="134">
        <f>'BRA Resource Clearing Results'!C12</f>
        <v>0</v>
      </c>
      <c r="Q21" s="133" t="s">
        <v>41</v>
      </c>
      <c r="R21" s="134">
        <f>'BRA Load Pricing Results'!D35</f>
        <v>0</v>
      </c>
      <c r="S21" s="133" t="s">
        <v>41</v>
      </c>
      <c r="T21" s="134">
        <f>'BRA Resource Clearing Results'!C15</f>
        <v>18.96</v>
      </c>
      <c r="U21" s="133" t="s">
        <v>41</v>
      </c>
      <c r="V21" s="134">
        <f>'BRA Resource Clearing Results'!C16</f>
        <v>30.71</v>
      </c>
      <c r="W21" s="133" t="s">
        <v>41</v>
      </c>
      <c r="X21" s="134">
        <f>'BRA Resource Clearing Results'!C17</f>
        <v>0</v>
      </c>
      <c r="Y21" s="133" t="s">
        <v>41</v>
      </c>
      <c r="Z21" s="134">
        <f>'BRA Resource Clearing Results'!C18</f>
        <v>0</v>
      </c>
      <c r="AA21" s="133" t="s">
        <v>41</v>
      </c>
      <c r="AB21" s="134">
        <f>'BRA Resource Clearing Results'!C19</f>
        <v>21.69</v>
      </c>
      <c r="AC21" s="21"/>
      <c r="AD21" s="21"/>
      <c r="AE21" s="21"/>
      <c r="AF21" s="106"/>
    </row>
    <row r="22" spans="1:37" ht="69" x14ac:dyDescent="0.3">
      <c r="A22" s="86" t="s">
        <v>7</v>
      </c>
      <c r="B22" s="87" t="s">
        <v>27</v>
      </c>
      <c r="C22" s="87" t="s">
        <v>26</v>
      </c>
      <c r="D22" s="88" t="s">
        <v>31</v>
      </c>
      <c r="E22" s="86" t="s">
        <v>124</v>
      </c>
      <c r="F22" s="88" t="s">
        <v>125</v>
      </c>
      <c r="G22" s="86" t="s">
        <v>124</v>
      </c>
      <c r="H22" s="88" t="s">
        <v>125</v>
      </c>
      <c r="I22" s="86" t="s">
        <v>124</v>
      </c>
      <c r="J22" s="88" t="s">
        <v>125</v>
      </c>
      <c r="K22" s="86" t="s">
        <v>126</v>
      </c>
      <c r="L22" s="88" t="s">
        <v>125</v>
      </c>
      <c r="M22" s="86" t="s">
        <v>124</v>
      </c>
      <c r="N22" s="88" t="s">
        <v>127</v>
      </c>
      <c r="O22" s="86" t="s">
        <v>124</v>
      </c>
      <c r="P22" s="88" t="s">
        <v>127</v>
      </c>
      <c r="Q22" s="86" t="s">
        <v>124</v>
      </c>
      <c r="R22" s="88" t="s">
        <v>127</v>
      </c>
      <c r="S22" s="86" t="s">
        <v>124</v>
      </c>
      <c r="T22" s="88" t="s">
        <v>127</v>
      </c>
      <c r="U22" s="86" t="s">
        <v>124</v>
      </c>
      <c r="V22" s="88" t="s">
        <v>127</v>
      </c>
      <c r="W22" s="86" t="s">
        <v>124</v>
      </c>
      <c r="X22" s="88" t="s">
        <v>125</v>
      </c>
      <c r="Y22" s="86" t="s">
        <v>124</v>
      </c>
      <c r="Z22" s="88" t="s">
        <v>127</v>
      </c>
      <c r="AA22" s="86" t="s">
        <v>124</v>
      </c>
      <c r="AB22" s="88" t="s">
        <v>125</v>
      </c>
      <c r="AC22" s="86" t="s">
        <v>73</v>
      </c>
      <c r="AD22" s="87" t="s">
        <v>128</v>
      </c>
      <c r="AE22" s="260" t="s">
        <v>49</v>
      </c>
      <c r="AF22" s="261" t="s">
        <v>129</v>
      </c>
      <c r="AG22" s="10"/>
    </row>
    <row r="23" spans="1:37" ht="13.8" x14ac:dyDescent="0.3">
      <c r="A23" s="52" t="s">
        <v>16</v>
      </c>
      <c r="B23" s="89" t="s">
        <v>28</v>
      </c>
      <c r="C23" s="89" t="s">
        <v>33</v>
      </c>
      <c r="D23" s="90"/>
      <c r="E23" s="120">
        <f>IF(B23="MAAC",$I$5*'BRA Load Pricing Results'!J40/'BRA Load Pricing Results'!$B$14,0)</f>
        <v>0</v>
      </c>
      <c r="F23" s="121">
        <f>E23*$F$21</f>
        <v>0</v>
      </c>
      <c r="G23" s="120">
        <f>IF(C23="EMAAC",$I$6*'BRA Load Pricing Results'!J40/'BRA Load Pricing Results'!$B$15,0)</f>
        <v>400.27974509683207</v>
      </c>
      <c r="H23" s="121">
        <f>G23*$H$21</f>
        <v>828.57907235044229</v>
      </c>
      <c r="I23" s="120">
        <f>IF(C23="SWMAAC",$I$7*'BRA Load Pricing Results'!J40/'BRA Load Pricing Results'!$B$16,0)</f>
        <v>0</v>
      </c>
      <c r="J23" s="121">
        <f>I23*$J$21</f>
        <v>0</v>
      </c>
      <c r="K23" s="120">
        <f>IF(D23="PS",$I$8*'BRA Load Pricing Results'!J40/'BRA Load Pricing Results'!$J$59,0)</f>
        <v>0</v>
      </c>
      <c r="L23" s="121">
        <f>K23*$L$21</f>
        <v>0</v>
      </c>
      <c r="M23" s="120">
        <f>IF(D23="DPL",$I$9*'BRA Load Pricing Results'!J40/'BRA Load Pricing Results'!$J$50,0)</f>
        <v>0</v>
      </c>
      <c r="N23" s="121">
        <f>M23*$N$21</f>
        <v>0</v>
      </c>
      <c r="O23" s="120">
        <f>IF(D23="PEPCO",$I$10*'BRA Load Pricing Results'!J40/'BRA Load Pricing Results'!$J$57,0)</f>
        <v>0</v>
      </c>
      <c r="P23" s="121">
        <f>O23*$P$21</f>
        <v>0</v>
      </c>
      <c r="Q23" s="120">
        <f>IF(D23="ATSI",$I$11*'BRA Load Pricing Results'!J40/'BRA Load Pricing Results'!$J$43,0)</f>
        <v>0</v>
      </c>
      <c r="R23" s="121">
        <f>Q23*$R$21</f>
        <v>0</v>
      </c>
      <c r="S23" s="120">
        <f>IF(D23="COMED",$I$12*'BRA Load Pricing Results'!J40/'BRA Load Pricing Results'!$J$45,0)</f>
        <v>0</v>
      </c>
      <c r="T23" s="121">
        <f>S23*$T$21</f>
        <v>0</v>
      </c>
      <c r="U23" s="120">
        <f>IF(D23="BGE",$I$13*'BRA Load Pricing Results'!J40/'BRA Load Pricing Results'!$J$44,0)</f>
        <v>0</v>
      </c>
      <c r="V23" s="121">
        <f>U23*$V$21</f>
        <v>0</v>
      </c>
      <c r="W23" s="120">
        <f>IF(D23="PL",$I$14*'BRA Load Pricing Results'!J40/'BRA Load Pricing Results'!$J$58,0)</f>
        <v>0</v>
      </c>
      <c r="X23" s="121">
        <f>W23*$X$21</f>
        <v>0</v>
      </c>
      <c r="Y23" s="120">
        <f>IF(D23="DAYTON",$I$15*'BRA Load Pricing Results'!J40/'BRA Load Pricing Results'!$J$46,0)</f>
        <v>0</v>
      </c>
      <c r="Z23" s="121">
        <f>Y23*$Z$21</f>
        <v>0</v>
      </c>
      <c r="AA23" s="120">
        <f>IF(D23="DEOK",$I$16*'BRA Load Pricing Results'!J40/'BRA Load Pricing Results'!$J$47,0)</f>
        <v>0</v>
      </c>
      <c r="AB23" s="121">
        <f>AA23*$AB$21</f>
        <v>0</v>
      </c>
      <c r="AC23" s="122">
        <f t="shared" ref="AC23:AC24" si="5">MAX(E23,G23,I23,K23,M23,O23,Q23+S23+U23+W23+Y23+AA23)</f>
        <v>400.27974509683207</v>
      </c>
      <c r="AD23" s="31">
        <f>F23+H23+J23+L23+N23+P23+R23+T23+V23+X23+Z23+AB23</f>
        <v>828.57907235044229</v>
      </c>
      <c r="AE23" s="234">
        <f>AD23/'BRA Load Pricing Results'!J40</f>
        <v>0.29007234098193302</v>
      </c>
      <c r="AF23" s="262">
        <f>IF(AC23=0,0,AD23/AC23)</f>
        <v>2.0699999999999998</v>
      </c>
      <c r="AG23" s="259"/>
      <c r="AH23" s="222"/>
      <c r="AI23" s="257"/>
      <c r="AJ23" s="257"/>
      <c r="AK23" s="258"/>
    </row>
    <row r="24" spans="1:37" ht="13.8" x14ac:dyDescent="0.3">
      <c r="A24" s="52" t="s">
        <v>29</v>
      </c>
      <c r="B24" s="89"/>
      <c r="C24" s="89"/>
      <c r="D24" s="90"/>
      <c r="E24" s="120">
        <f>IF(B24="MAAC",$I$5*'BRA Load Pricing Results'!J41/'BRA Load Pricing Results'!$B$14,0)</f>
        <v>0</v>
      </c>
      <c r="F24" s="121">
        <f>E24*$F$21</f>
        <v>0</v>
      </c>
      <c r="G24" s="120">
        <f>IF(C24="EMAAC",$I$6*'BRA Load Pricing Results'!J41/'BRA Load Pricing Results'!$B$15,0)</f>
        <v>0</v>
      </c>
      <c r="H24" s="121">
        <f>G24*$H$21</f>
        <v>0</v>
      </c>
      <c r="I24" s="120">
        <f>IF(C24="SWMAAC",$I$7*'BRA Load Pricing Results'!J41/'BRA Load Pricing Results'!$B$16,0)</f>
        <v>0</v>
      </c>
      <c r="J24" s="121">
        <f>I24*$J$21</f>
        <v>0</v>
      </c>
      <c r="K24" s="120">
        <f>IF(D24="PS",$I$8*'BRA Load Pricing Results'!J41/'BRA Load Pricing Results'!$J$59,0)</f>
        <v>0</v>
      </c>
      <c r="L24" s="121">
        <f>K24*$L$21</f>
        <v>0</v>
      </c>
      <c r="M24" s="120">
        <f>IF(D24="DPL",$I$9*'BRA Load Pricing Results'!J41/'BRA Load Pricing Results'!$J$50,0)</f>
        <v>0</v>
      </c>
      <c r="N24" s="121">
        <f t="shared" ref="N24:N39" si="6">M24*$N$21</f>
        <v>0</v>
      </c>
      <c r="O24" s="120">
        <f>IF(D24="PEPCO",$I$10*'BRA Load Pricing Results'!J41/'BRA Load Pricing Results'!$J$57,0)</f>
        <v>0</v>
      </c>
      <c r="P24" s="121">
        <f>O24*$P$21</f>
        <v>0</v>
      </c>
      <c r="Q24" s="120">
        <f>IF(D24="ATSI",$I$11*'BRA Load Pricing Results'!J41/'BRA Load Pricing Results'!$J$43,0)</f>
        <v>0</v>
      </c>
      <c r="R24" s="121">
        <f t="shared" ref="R24:R43" si="7">Q24*$R$21</f>
        <v>0</v>
      </c>
      <c r="S24" s="120">
        <f>IF(D24="COMED",$I$12*'BRA Load Pricing Results'!J41/'BRA Load Pricing Results'!$J$45,0)</f>
        <v>0</v>
      </c>
      <c r="T24" s="121">
        <f t="shared" ref="T24:T43" si="8">S24*$T$21</f>
        <v>0</v>
      </c>
      <c r="U24" s="120">
        <f>IF(D24="BGE",$I$13*'BRA Load Pricing Results'!J41/'BRA Load Pricing Results'!$J$44,0)</f>
        <v>0</v>
      </c>
      <c r="V24" s="121">
        <f>U24*$V$21</f>
        <v>0</v>
      </c>
      <c r="W24" s="120">
        <f>IF(D24="PL",$I$14*'BRA Load Pricing Results'!J41/'BRA Load Pricing Results'!$J$58,0)</f>
        <v>0</v>
      </c>
      <c r="X24" s="121">
        <f>W24*$X$21</f>
        <v>0</v>
      </c>
      <c r="Y24" s="120">
        <f>IF(D24="DAYTON",$I$15*'BRA Load Pricing Results'!J41/'BRA Load Pricing Results'!$J$46,0)</f>
        <v>0</v>
      </c>
      <c r="Z24" s="121">
        <f t="shared" ref="Z24:Z42" si="9">Y24*$Z$21</f>
        <v>0</v>
      </c>
      <c r="AA24" s="120">
        <f>IF(D24="DEOK",$I$16*'BRA Load Pricing Results'!J41/'BRA Load Pricing Results'!$J$47,0)</f>
        <v>0</v>
      </c>
      <c r="AB24" s="121">
        <f t="shared" ref="AB24:AB40" si="10">AA24*$AB$21</f>
        <v>0</v>
      </c>
      <c r="AC24" s="122">
        <f t="shared" si="5"/>
        <v>0</v>
      </c>
      <c r="AD24" s="31">
        <f t="shared" ref="AD24:AD26" si="11">F24+H24+J24+L24+N24+P24+R24+T24+V24+X24+Z24+AB24</f>
        <v>0</v>
      </c>
      <c r="AE24" s="234">
        <f>AD24/'BRA Load Pricing Results'!J41</f>
        <v>0</v>
      </c>
      <c r="AF24" s="262">
        <f>IF(AC24=0,0,AD24/AC24)</f>
        <v>0</v>
      </c>
      <c r="AG24" s="259"/>
      <c r="AH24" s="222"/>
      <c r="AI24" s="257"/>
      <c r="AJ24" s="257"/>
      <c r="AK24" s="258"/>
    </row>
    <row r="25" spans="1:37" ht="13.8" x14ac:dyDescent="0.3">
      <c r="A25" s="52" t="s">
        <v>19</v>
      </c>
      <c r="B25" s="89" t="s">
        <v>24</v>
      </c>
      <c r="C25" s="89"/>
      <c r="D25" s="90"/>
      <c r="E25" s="120">
        <f>IF(B25="MAAC",$I$5*'BRA Load Pricing Results'!J42/'BRA Load Pricing Results'!$B$14,0)</f>
        <v>0</v>
      </c>
      <c r="F25" s="121">
        <f t="shared" ref="F25:F32" si="12">E25*$F$21</f>
        <v>0</v>
      </c>
      <c r="G25" s="120">
        <f>IF(C25="EMAAC",$I$6*'BRA Load Pricing Results'!J42/'BRA Load Pricing Results'!$B$15,0)</f>
        <v>0</v>
      </c>
      <c r="H25" s="121">
        <f>G25*$H$21</f>
        <v>0</v>
      </c>
      <c r="I25" s="120">
        <f>IF(C25="SWMAAC",$I$7*'BRA Load Pricing Results'!J42/'BRA Load Pricing Results'!$B$16,0)</f>
        <v>0</v>
      </c>
      <c r="J25" s="121">
        <f t="shared" ref="J25:J43" si="13">I25*$J$21</f>
        <v>0</v>
      </c>
      <c r="K25" s="120">
        <f>IF(D25="PS",$I$8*'BRA Load Pricing Results'!J42/'BRA Load Pricing Results'!$J$59,0)</f>
        <v>0</v>
      </c>
      <c r="L25" s="121">
        <f>K25*$L$21</f>
        <v>0</v>
      </c>
      <c r="M25" s="120">
        <f>IF(D25="DPL",$I$9*'BRA Load Pricing Results'!J42/'BRA Load Pricing Results'!$J$50,0)</f>
        <v>0</v>
      </c>
      <c r="N25" s="121">
        <f t="shared" si="6"/>
        <v>0</v>
      </c>
      <c r="O25" s="120">
        <f>IF(D25="PEPCO",$I$10*'BRA Load Pricing Results'!J42/'BRA Load Pricing Results'!$J$57,0)</f>
        <v>0</v>
      </c>
      <c r="P25" s="121">
        <f>O25*$P$21</f>
        <v>0</v>
      </c>
      <c r="Q25" s="120">
        <f>IF(D25="ATSI",$I$11*'BRA Load Pricing Results'!J42/'BRA Load Pricing Results'!$J$43,0)</f>
        <v>0</v>
      </c>
      <c r="R25" s="121">
        <f t="shared" si="7"/>
        <v>0</v>
      </c>
      <c r="S25" s="120">
        <f>IF(D25="COMED",$I$12*'BRA Load Pricing Results'!J42/'BRA Load Pricing Results'!$J$45,0)</f>
        <v>0</v>
      </c>
      <c r="T25" s="121">
        <f t="shared" si="8"/>
        <v>0</v>
      </c>
      <c r="U25" s="120">
        <f>IF(D25="BGE",$I$13*'BRA Load Pricing Results'!J42/'BRA Load Pricing Results'!$J$44,0)</f>
        <v>0</v>
      </c>
      <c r="V25" s="121">
        <f>U25*$V$21</f>
        <v>0</v>
      </c>
      <c r="W25" s="120">
        <f>IF(D25="PL",$I$14*'BRA Load Pricing Results'!J42/'BRA Load Pricing Results'!$J$58,0)</f>
        <v>0</v>
      </c>
      <c r="X25" s="121">
        <f>W25*$X$21</f>
        <v>0</v>
      </c>
      <c r="Y25" s="120">
        <f>IF(D25="DAYTON",$I$15*'BRA Load Pricing Results'!J42/'BRA Load Pricing Results'!$J$46,0)</f>
        <v>0</v>
      </c>
      <c r="Z25" s="121">
        <f t="shared" si="9"/>
        <v>0</v>
      </c>
      <c r="AA25" s="120">
        <f>IF(D25="DEOK",$I$16*'BRA Load Pricing Results'!J42/'BRA Load Pricing Results'!$J$47,0)</f>
        <v>0</v>
      </c>
      <c r="AB25" s="121">
        <f t="shared" si="10"/>
        <v>0</v>
      </c>
      <c r="AC25" s="122">
        <f>MAX(E25,G25,I25,K25,M25,O25,Q25+S25+U25+W25+Y25+AA25)</f>
        <v>0</v>
      </c>
      <c r="AD25" s="31">
        <f>F25+H25+J25+L25+N25+P25+R25+T25+V25+X25+Z25+AB25</f>
        <v>0</v>
      </c>
      <c r="AE25" s="234">
        <f>AD25/'BRA Load Pricing Results'!J42</f>
        <v>0</v>
      </c>
      <c r="AF25" s="262">
        <f>IF(AC25=0,0,AD25/AC25)</f>
        <v>0</v>
      </c>
      <c r="AG25" s="259"/>
      <c r="AH25" s="222"/>
      <c r="AI25" s="257"/>
      <c r="AJ25" s="257"/>
      <c r="AK25" s="258"/>
    </row>
    <row r="26" spans="1:37" ht="13.8" x14ac:dyDescent="0.3">
      <c r="A26" s="52" t="s">
        <v>43</v>
      </c>
      <c r="B26" s="89"/>
      <c r="C26" s="89"/>
      <c r="D26" s="90" t="s">
        <v>43</v>
      </c>
      <c r="E26" s="120">
        <f>IF(B26="MAAC",$I$5*'BRA Load Pricing Results'!J43/'BRA Load Pricing Results'!$B$14,0)</f>
        <v>0</v>
      </c>
      <c r="F26" s="121">
        <f t="shared" si="12"/>
        <v>0</v>
      </c>
      <c r="G26" s="120">
        <f>IF(C26="EMAAC",$I$6*'BRA Load Pricing Results'!J43/'BRA Load Pricing Results'!$B$15,0)</f>
        <v>0</v>
      </c>
      <c r="H26" s="121">
        <f>G26*$H$21</f>
        <v>0</v>
      </c>
      <c r="I26" s="120">
        <f>IF(C26="SWMAAC",$I$7*'BRA Load Pricing Results'!J43/'BRA Load Pricing Results'!$B$16,0)</f>
        <v>0</v>
      </c>
      <c r="J26" s="121">
        <f t="shared" si="13"/>
        <v>0</v>
      </c>
      <c r="K26" s="120">
        <f>IF(D26="PS",$I$8*'BRA Load Pricing Results'!J43/'BRA Load Pricing Results'!$J$59,0)</f>
        <v>0</v>
      </c>
      <c r="L26" s="121">
        <f t="shared" ref="L26:L43" si="14">K26*$L$21</f>
        <v>0</v>
      </c>
      <c r="M26" s="120">
        <f>IF(D26="DPL",$I$9*'BRA Load Pricing Results'!J43/'BRA Load Pricing Results'!$J$50,0)</f>
        <v>0</v>
      </c>
      <c r="N26" s="121">
        <f t="shared" si="6"/>
        <v>0</v>
      </c>
      <c r="O26" s="120">
        <f>IF(D26="PEPCO",$I$10*'BRA Load Pricing Results'!J43/'BRA Load Pricing Results'!$J$57,0)</f>
        <v>0</v>
      </c>
      <c r="P26" s="121">
        <f t="shared" ref="P26:P39" si="15">O26*$P$21</f>
        <v>0</v>
      </c>
      <c r="Q26" s="120">
        <f>IF(D26="ATSI",$I$11*'BRA Load Pricing Results'!J43/'BRA Load Pricing Results'!$J$43,0)</f>
        <v>3728.8855579153478</v>
      </c>
      <c r="R26" s="121">
        <f>Q26*$R$21</f>
        <v>0</v>
      </c>
      <c r="S26" s="120">
        <f>IF(D26="COMED",$I$12*'BRA Load Pricing Results'!J43/'BRA Load Pricing Results'!$J$45,0)</f>
        <v>0</v>
      </c>
      <c r="T26" s="121">
        <f t="shared" si="8"/>
        <v>0</v>
      </c>
      <c r="U26" s="120">
        <f>IF(D26="BGE",$I$13*'BRA Load Pricing Results'!J43/'BRA Load Pricing Results'!$J$44,0)</f>
        <v>0</v>
      </c>
      <c r="V26" s="121">
        <f>U26*$V$21</f>
        <v>0</v>
      </c>
      <c r="W26" s="120">
        <f>IF(D26="PL",$I$14*'BRA Load Pricing Results'!J43/'BRA Load Pricing Results'!$J$58,0)</f>
        <v>0</v>
      </c>
      <c r="X26" s="121">
        <f>W26*$X$21</f>
        <v>0</v>
      </c>
      <c r="Y26" s="120">
        <f>IF(D26="DAYTON",$I$15*'BRA Load Pricing Results'!J43/'BRA Load Pricing Results'!$J$46,0)</f>
        <v>0</v>
      </c>
      <c r="Z26" s="121">
        <f t="shared" si="9"/>
        <v>0</v>
      </c>
      <c r="AA26" s="120">
        <f>IF(D26="DEOK",$I$16*'BRA Load Pricing Results'!J43/'BRA Load Pricing Results'!$J$47,0)</f>
        <v>0</v>
      </c>
      <c r="AB26" s="121">
        <f t="shared" si="10"/>
        <v>0</v>
      </c>
      <c r="AC26" s="122">
        <f t="shared" ref="AC26:AC42" si="16">MAX(E26,G26,I26,K26,M26,O26,Q26+S26+U26+W26+Y26+AA26)</f>
        <v>3728.8855579153478</v>
      </c>
      <c r="AD26" s="31">
        <f t="shared" si="11"/>
        <v>0</v>
      </c>
      <c r="AE26" s="234">
        <f>AD26/'BRA Load Pricing Results'!J43</f>
        <v>0</v>
      </c>
      <c r="AF26" s="262">
        <f>IF(AC26=0,0,AD26/AC26)</f>
        <v>0</v>
      </c>
      <c r="AG26" s="259"/>
      <c r="AH26" s="222"/>
      <c r="AI26" s="257"/>
      <c r="AJ26" s="257"/>
      <c r="AK26" s="258"/>
    </row>
    <row r="27" spans="1:37" ht="13.8" x14ac:dyDescent="0.3">
      <c r="A27" s="52" t="s">
        <v>11</v>
      </c>
      <c r="B27" s="89" t="s">
        <v>28</v>
      </c>
      <c r="C27" s="89" t="s">
        <v>5</v>
      </c>
      <c r="D27" s="90" t="s">
        <v>11</v>
      </c>
      <c r="E27" s="120">
        <f>IF(B27="MAAC",$I$5*'BRA Load Pricing Results'!J44/'BRA Load Pricing Results'!$B$14,0)</f>
        <v>0</v>
      </c>
      <c r="F27" s="121">
        <f>E27*$F$21</f>
        <v>0</v>
      </c>
      <c r="G27" s="120">
        <f>IF(C27="EMAAC",$I$6*'BRA Load Pricing Results'!J44/'BRA Load Pricing Results'!$B$15,0)</f>
        <v>0</v>
      </c>
      <c r="H27" s="121">
        <f t="shared" ref="H27:H41" si="17">G27*$H$21</f>
        <v>0</v>
      </c>
      <c r="I27" s="120">
        <f>IF(C27="SWMAAC",$I$7*'BRA Load Pricing Results'!J44/'BRA Load Pricing Results'!$B$16,0)</f>
        <v>2942.7354055837545</v>
      </c>
      <c r="J27" s="121">
        <f>I27*$J$21</f>
        <v>0</v>
      </c>
      <c r="K27" s="120">
        <f>IF(D27="PS",$I$8*'BRA Load Pricing Results'!J44/'BRA Load Pricing Results'!$J$59,0)</f>
        <v>0</v>
      </c>
      <c r="L27" s="121">
        <f t="shared" si="14"/>
        <v>0</v>
      </c>
      <c r="M27" s="120">
        <f>IF(D27="DPL",$I$9*'BRA Load Pricing Results'!J44/'BRA Load Pricing Results'!$J$50,0)</f>
        <v>0</v>
      </c>
      <c r="N27" s="121">
        <f t="shared" si="6"/>
        <v>0</v>
      </c>
      <c r="O27" s="120">
        <f>IF(D27="PEPCO",$I$10*'BRA Load Pricing Results'!J44/'BRA Load Pricing Results'!$J$57,0)</f>
        <v>0</v>
      </c>
      <c r="P27" s="121">
        <f t="shared" si="15"/>
        <v>0</v>
      </c>
      <c r="Q27" s="120">
        <f>IF(D27="ATSI",$I$11*'BRA Load Pricing Results'!J44/'BRA Load Pricing Results'!$J$43,0)</f>
        <v>0</v>
      </c>
      <c r="R27" s="121">
        <f t="shared" si="7"/>
        <v>0</v>
      </c>
      <c r="S27" s="120">
        <f>IF(D27="COMED",$I$12*'BRA Load Pricing Results'!J44/'BRA Load Pricing Results'!$J$45,0)</f>
        <v>0</v>
      </c>
      <c r="T27" s="121">
        <f t="shared" si="8"/>
        <v>0</v>
      </c>
      <c r="U27" s="120">
        <f>IF(D27="BGE",$I$13*'BRA Load Pricing Results'!J44/'BRA Load Pricing Results'!$J$44,0)</f>
        <v>4745.0816679250802</v>
      </c>
      <c r="V27" s="121">
        <f>U27*$V$21</f>
        <v>145721.45802197923</v>
      </c>
      <c r="W27" s="120">
        <f>IF(D27="PL",$I$14*'BRA Load Pricing Results'!J44/'BRA Load Pricing Results'!$J$58,0)</f>
        <v>0</v>
      </c>
      <c r="X27" s="121">
        <f t="shared" ref="X27:X40" si="18">W27*$X$21</f>
        <v>0</v>
      </c>
      <c r="Y27" s="120">
        <f>IF(D27="DAYTON",$I$15*'BRA Load Pricing Results'!J44/'BRA Load Pricing Results'!$J$46,0)</f>
        <v>0</v>
      </c>
      <c r="Z27" s="121">
        <f t="shared" si="9"/>
        <v>0</v>
      </c>
      <c r="AA27" s="120">
        <f>IF(D27="DEOK",$I$16*'BRA Load Pricing Results'!J44/'BRA Load Pricing Results'!$J$47,0)</f>
        <v>0</v>
      </c>
      <c r="AB27" s="121">
        <f t="shared" si="10"/>
        <v>0</v>
      </c>
      <c r="AC27" s="122">
        <f t="shared" si="16"/>
        <v>4745.0816679250802</v>
      </c>
      <c r="AD27" s="31">
        <f>F27+H27+J27+L27+N27+P27+R27+T27+V27+X27+Z27+AB27</f>
        <v>145721.45802197923</v>
      </c>
      <c r="AE27" s="234">
        <f>AD27/'BRA Load Pricing Results'!J44</f>
        <v>19.145455966511946</v>
      </c>
      <c r="AF27" s="262">
        <f>IF(AC27=0,0,AD27/AC27)</f>
        <v>30.710000000000004</v>
      </c>
      <c r="AG27" s="259"/>
      <c r="AH27" s="222"/>
      <c r="AI27" s="257"/>
      <c r="AJ27" s="257"/>
      <c r="AK27" s="258"/>
    </row>
    <row r="28" spans="1:37" ht="13.8" x14ac:dyDescent="0.3">
      <c r="A28" s="52" t="s">
        <v>20</v>
      </c>
      <c r="B28" s="89"/>
      <c r="C28" s="89"/>
      <c r="D28" s="90" t="s">
        <v>20</v>
      </c>
      <c r="E28" s="120">
        <f>IF(B28="MAAC",$I$5*'BRA Load Pricing Results'!J45/'BRA Load Pricing Results'!$B$14,0)</f>
        <v>0</v>
      </c>
      <c r="F28" s="121">
        <f t="shared" si="12"/>
        <v>0</v>
      </c>
      <c r="G28" s="120">
        <f>IF(C28="EMAAC",$I$6*'BRA Load Pricing Results'!J45/'BRA Load Pricing Results'!$B$15,0)</f>
        <v>0</v>
      </c>
      <c r="H28" s="121">
        <f t="shared" si="17"/>
        <v>0</v>
      </c>
      <c r="I28" s="120">
        <f>IF(C28="SWMAAC",$I$7*'BRA Load Pricing Results'!J45/'BRA Load Pricing Results'!$B$16,0)</f>
        <v>0</v>
      </c>
      <c r="J28" s="121">
        <f t="shared" si="13"/>
        <v>0</v>
      </c>
      <c r="K28" s="120">
        <f>IF(D28="PS",$I$8*'BRA Load Pricing Results'!J45/'BRA Load Pricing Results'!$J$59,0)</f>
        <v>0</v>
      </c>
      <c r="L28" s="121">
        <f t="shared" si="14"/>
        <v>0</v>
      </c>
      <c r="M28" s="120">
        <f>IF(D28="DPL",$I$9*'BRA Load Pricing Results'!J45/'BRA Load Pricing Results'!$J$50,0)</f>
        <v>0</v>
      </c>
      <c r="N28" s="121">
        <f t="shared" si="6"/>
        <v>0</v>
      </c>
      <c r="O28" s="120">
        <f>IF(D28="PEPCO",$I$10*'BRA Load Pricing Results'!J45/'BRA Load Pricing Results'!$J$57,0)</f>
        <v>0</v>
      </c>
      <c r="P28" s="121">
        <f t="shared" si="15"/>
        <v>0</v>
      </c>
      <c r="Q28" s="120">
        <f>IF(D28="ATSI",$I$11*'BRA Load Pricing Results'!J45/'BRA Load Pricing Results'!$J$43,0)</f>
        <v>0</v>
      </c>
      <c r="R28" s="121">
        <f t="shared" si="7"/>
        <v>0</v>
      </c>
      <c r="S28" s="123">
        <f>IF(D28="COMED",$I$12*'BRA Load Pricing Results'!J45/'BRA Load Pricing Results'!$J$45,0)</f>
        <v>2367.1950037929018</v>
      </c>
      <c r="T28" s="121">
        <f>S28*$T$21</f>
        <v>44882.017271913421</v>
      </c>
      <c r="U28" s="120">
        <f>IF(D28="BGE",$I$13*'BRA Load Pricing Results'!J45/'BRA Load Pricing Results'!$J$44,0)</f>
        <v>0</v>
      </c>
      <c r="V28" s="121">
        <f t="shared" ref="V28:V43" si="19">U28*$V$21</f>
        <v>0</v>
      </c>
      <c r="W28" s="120">
        <f>IF(D28="PL",$I$14*'BRA Load Pricing Results'!J45/'BRA Load Pricing Results'!$J$58,0)</f>
        <v>0</v>
      </c>
      <c r="X28" s="121">
        <f t="shared" si="18"/>
        <v>0</v>
      </c>
      <c r="Y28" s="120">
        <f>IF(D28="DAYTON",$I$15*'BRA Load Pricing Results'!J45/'BRA Load Pricing Results'!$J$46,0)</f>
        <v>0</v>
      </c>
      <c r="Z28" s="121">
        <f t="shared" si="9"/>
        <v>0</v>
      </c>
      <c r="AA28" s="120">
        <f>IF(D28="DEOK",$I$16*'BRA Load Pricing Results'!J45/'BRA Load Pricing Results'!$J$47,0)</f>
        <v>0</v>
      </c>
      <c r="AB28" s="121">
        <f t="shared" si="10"/>
        <v>0</v>
      </c>
      <c r="AC28" s="122">
        <f t="shared" si="16"/>
        <v>2367.1950037929018</v>
      </c>
      <c r="AD28" s="31">
        <f t="shared" ref="AD28:AD42" si="20">F28+H28+J28+L28+N28+P28+R28+T28+V28+X28+Z28+AB28</f>
        <v>44882.017271913421</v>
      </c>
      <c r="AE28" s="234">
        <f>AD28/'BRA Load Pricing Results'!J45</f>
        <v>1.9564366844375398</v>
      </c>
      <c r="AF28" s="262">
        <f t="shared" ref="AF28:AF43" si="21">IF(AC28=0,0,AD28/AC28)</f>
        <v>18.96</v>
      </c>
      <c r="AG28" s="259"/>
      <c r="AH28" s="222"/>
      <c r="AI28" s="257"/>
      <c r="AJ28" s="257"/>
      <c r="AK28" s="258"/>
    </row>
    <row r="29" spans="1:37" ht="13.8" x14ac:dyDescent="0.3">
      <c r="A29" s="52" t="s">
        <v>21</v>
      </c>
      <c r="B29" s="89"/>
      <c r="C29" s="89"/>
      <c r="D29" s="90" t="s">
        <v>21</v>
      </c>
      <c r="E29" s="120">
        <f>IF(B29="MAAC",$I$5*'BRA Load Pricing Results'!J46/'BRA Load Pricing Results'!$B$14,0)</f>
        <v>0</v>
      </c>
      <c r="F29" s="121">
        <f t="shared" si="12"/>
        <v>0</v>
      </c>
      <c r="G29" s="120">
        <f>IF(C29="EMAAC",$I$6*'BRA Load Pricing Results'!J46/'BRA Load Pricing Results'!$B$15,0)</f>
        <v>0</v>
      </c>
      <c r="H29" s="121">
        <f>G29*$H$21</f>
        <v>0</v>
      </c>
      <c r="I29" s="120">
        <f>IF(C29="SWMAAC",$I$7*'BRA Load Pricing Results'!J46/'BRA Load Pricing Results'!$B$16,0)</f>
        <v>0</v>
      </c>
      <c r="J29" s="121">
        <f>I29*$J$21</f>
        <v>0</v>
      </c>
      <c r="K29" s="120">
        <f>IF(D29="PS",$I$8*'BRA Load Pricing Results'!J46/'BRA Load Pricing Results'!$J$59,0)</f>
        <v>0</v>
      </c>
      <c r="L29" s="121">
        <f t="shared" si="14"/>
        <v>0</v>
      </c>
      <c r="M29" s="120">
        <f>IF(D29="DPL",$I$9*'BRA Load Pricing Results'!J46/'BRA Load Pricing Results'!$J$50,0)</f>
        <v>0</v>
      </c>
      <c r="N29" s="121">
        <f t="shared" si="6"/>
        <v>0</v>
      </c>
      <c r="O29" s="120">
        <f>IF(D29="PEPCO",$I$10*'BRA Load Pricing Results'!J46/'BRA Load Pricing Results'!$J$57,0)</f>
        <v>0</v>
      </c>
      <c r="P29" s="121">
        <f t="shared" si="15"/>
        <v>0</v>
      </c>
      <c r="Q29" s="120">
        <f>IF(D29="ATSI",$I$11*'BRA Load Pricing Results'!J46/'BRA Load Pricing Results'!$J$43,0)</f>
        <v>0</v>
      </c>
      <c r="R29" s="121">
        <f t="shared" si="7"/>
        <v>0</v>
      </c>
      <c r="S29" s="120">
        <f>IF(D29="COMED",$I$12*'BRA Load Pricing Results'!J46/'BRA Load Pricing Results'!$J$45,0)</f>
        <v>0</v>
      </c>
      <c r="T29" s="121">
        <f t="shared" si="8"/>
        <v>0</v>
      </c>
      <c r="U29" s="120">
        <f>IF(D29="BGE",$I$13*'BRA Load Pricing Results'!J46/'BRA Load Pricing Results'!$J$44,0)</f>
        <v>0</v>
      </c>
      <c r="V29" s="121">
        <f t="shared" si="19"/>
        <v>0</v>
      </c>
      <c r="W29" s="120">
        <f>IF(D29="PL",$I$14*'BRA Load Pricing Results'!J46/'BRA Load Pricing Results'!$J$58,0)</f>
        <v>0</v>
      </c>
      <c r="X29" s="121">
        <f t="shared" si="18"/>
        <v>0</v>
      </c>
      <c r="Y29" s="120">
        <f>IF(D29="DAYTON",$I$15*'BRA Load Pricing Results'!J46/'BRA Load Pricing Results'!$J$46,0)</f>
        <v>2687.3905562070404</v>
      </c>
      <c r="Z29" s="121">
        <f t="shared" si="9"/>
        <v>0</v>
      </c>
      <c r="AA29" s="120">
        <f>IF(D29="DEOK",$I$16*'BRA Load Pricing Results'!J46/'BRA Load Pricing Results'!$J$47,0)</f>
        <v>0</v>
      </c>
      <c r="AB29" s="121">
        <f t="shared" si="10"/>
        <v>0</v>
      </c>
      <c r="AC29" s="122">
        <f t="shared" si="16"/>
        <v>2687.3905562070404</v>
      </c>
      <c r="AD29" s="31">
        <f t="shared" si="20"/>
        <v>0</v>
      </c>
      <c r="AE29" s="234">
        <f>AD29/'BRA Load Pricing Results'!J46</f>
        <v>0</v>
      </c>
      <c r="AF29" s="262">
        <f t="shared" si="21"/>
        <v>0</v>
      </c>
      <c r="AG29" s="259"/>
      <c r="AH29" s="222"/>
      <c r="AI29" s="257"/>
      <c r="AJ29" s="257"/>
      <c r="AK29" s="258"/>
    </row>
    <row r="30" spans="1:37" ht="13.8" x14ac:dyDescent="0.3">
      <c r="A30" s="52" t="s">
        <v>50</v>
      </c>
      <c r="B30" s="89"/>
      <c r="C30" s="89"/>
      <c r="D30" s="90" t="s">
        <v>50</v>
      </c>
      <c r="E30" s="120">
        <f>IF(B30="MAAC",$I$5*'BRA Load Pricing Results'!J47/'BRA Load Pricing Results'!$B$14,0)</f>
        <v>0</v>
      </c>
      <c r="F30" s="121">
        <f t="shared" si="12"/>
        <v>0</v>
      </c>
      <c r="G30" s="120">
        <f>IF(C30="EMAAC",$I$6*'BRA Load Pricing Results'!J47/'BRA Load Pricing Results'!$B$15,0)</f>
        <v>0</v>
      </c>
      <c r="H30" s="121">
        <f>G30*$H$21</f>
        <v>0</v>
      </c>
      <c r="I30" s="120">
        <f>IF(C30="SWMAAC",$I$7*'BRA Load Pricing Results'!J47/'BRA Load Pricing Results'!$B$16,0)</f>
        <v>0</v>
      </c>
      <c r="J30" s="121">
        <f>I30*$J$21</f>
        <v>0</v>
      </c>
      <c r="K30" s="120">
        <f>IF(D30="PS",$I$8*'BRA Load Pricing Results'!J47/'BRA Load Pricing Results'!$J$59,0)</f>
        <v>0</v>
      </c>
      <c r="L30" s="121">
        <f>K30*$L$21</f>
        <v>0</v>
      </c>
      <c r="M30" s="120">
        <f>IF(D30="DPL",$I$9*'BRA Load Pricing Results'!J47/'BRA Load Pricing Results'!$J$50,0)</f>
        <v>0</v>
      </c>
      <c r="N30" s="121">
        <f>M30*$N$21</f>
        <v>0</v>
      </c>
      <c r="O30" s="120">
        <f>IF(D30="PEPCO",$I$10*'BRA Load Pricing Results'!J47/'BRA Load Pricing Results'!$J$57,0)</f>
        <v>0</v>
      </c>
      <c r="P30" s="121">
        <f>O30*$P$21</f>
        <v>0</v>
      </c>
      <c r="Q30" s="120">
        <f>IF(D30="ATSI",$I$11*'BRA Load Pricing Results'!J47/'BRA Load Pricing Results'!$J$43,0)</f>
        <v>0</v>
      </c>
      <c r="R30" s="121">
        <f t="shared" si="7"/>
        <v>0</v>
      </c>
      <c r="S30" s="120">
        <f>IF(D30="COMED",$I$12*'BRA Load Pricing Results'!J47/'BRA Load Pricing Results'!$J$45,0)</f>
        <v>0</v>
      </c>
      <c r="T30" s="121">
        <f t="shared" si="8"/>
        <v>0</v>
      </c>
      <c r="U30" s="120">
        <f>IF(D30="BGE",$I$13*'BRA Load Pricing Results'!J47/'BRA Load Pricing Results'!$J$44,0)</f>
        <v>0</v>
      </c>
      <c r="V30" s="121">
        <f t="shared" si="19"/>
        <v>0</v>
      </c>
      <c r="W30" s="120">
        <f>IF(D30="PL",$I$14*'BRA Load Pricing Results'!J47/'BRA Load Pricing Results'!$J$58,0)</f>
        <v>0</v>
      </c>
      <c r="X30" s="121">
        <f t="shared" si="18"/>
        <v>0</v>
      </c>
      <c r="Y30" s="120">
        <f>IF(D30="DAYTON",$I$15*'BRA Load Pricing Results'!J47/'BRA Load Pricing Results'!$J$46,0)</f>
        <v>0</v>
      </c>
      <c r="Z30" s="121">
        <f t="shared" si="9"/>
        <v>0</v>
      </c>
      <c r="AA30" s="120">
        <f>IF(D30="DEOK",$I$16*'BRA Load Pricing Results'!J47/'BRA Load Pricing Results'!$J$47,0)</f>
        <v>3034.8096237726622</v>
      </c>
      <c r="AB30" s="121">
        <f t="shared" si="10"/>
        <v>65825.02073962905</v>
      </c>
      <c r="AC30" s="122">
        <f t="shared" si="16"/>
        <v>3034.8096237726622</v>
      </c>
      <c r="AD30" s="31">
        <f t="shared" si="20"/>
        <v>65825.02073962905</v>
      </c>
      <c r="AE30" s="234">
        <f>AD30/'BRA Load Pricing Results'!J47</f>
        <v>12.409022606420187</v>
      </c>
      <c r="AF30" s="262">
        <f t="shared" si="21"/>
        <v>21.69</v>
      </c>
      <c r="AG30" s="259"/>
      <c r="AH30" s="222"/>
      <c r="AI30" s="257"/>
      <c r="AJ30" s="257"/>
      <c r="AK30" s="258"/>
    </row>
    <row r="31" spans="1:37" ht="13.8" x14ac:dyDescent="0.3">
      <c r="A31" s="52" t="s">
        <v>42</v>
      </c>
      <c r="B31" s="89"/>
      <c r="C31" s="89"/>
      <c r="D31" s="90"/>
      <c r="E31" s="120">
        <f>IF(B31="MAAC",$I$5*'BRA Load Pricing Results'!J48/'BRA Load Pricing Results'!$B$14,0)</f>
        <v>0</v>
      </c>
      <c r="F31" s="121">
        <f t="shared" si="12"/>
        <v>0</v>
      </c>
      <c r="G31" s="120">
        <f>IF(C31="EMAAC",$I$6*'BRA Load Pricing Results'!J48/'BRA Load Pricing Results'!$B$15,0)</f>
        <v>0</v>
      </c>
      <c r="H31" s="121">
        <f>G31*$H$21</f>
        <v>0</v>
      </c>
      <c r="I31" s="120">
        <f>IF(C31="SWMAAC",$I$7*'BRA Load Pricing Results'!J48/'BRA Load Pricing Results'!$B$16,0)</f>
        <v>0</v>
      </c>
      <c r="J31" s="121">
        <f>I31*$J$21</f>
        <v>0</v>
      </c>
      <c r="K31" s="120">
        <f>IF(D31="PS",$I$8*'BRA Load Pricing Results'!J48/'BRA Load Pricing Results'!$J$59,0)</f>
        <v>0</v>
      </c>
      <c r="L31" s="121">
        <f>K31*$L$21</f>
        <v>0</v>
      </c>
      <c r="M31" s="120">
        <f>IF(D31="DPL",$I$9*'BRA Load Pricing Results'!J48/'BRA Load Pricing Results'!$J$50,0)</f>
        <v>0</v>
      </c>
      <c r="N31" s="121">
        <f>M31*$N$21</f>
        <v>0</v>
      </c>
      <c r="O31" s="120">
        <f>IF(D31="PEPCO",$I$10*'BRA Load Pricing Results'!#REF!/'BRA Load Pricing Results'!$J$57,0)</f>
        <v>0</v>
      </c>
      <c r="P31" s="121">
        <f>O31*$P$21</f>
        <v>0</v>
      </c>
      <c r="Q31" s="120">
        <f>IF(D31="ATSI",$I$11*'BRA Load Pricing Results'!J48/'BRA Load Pricing Results'!$J$43,0)</f>
        <v>0</v>
      </c>
      <c r="R31" s="121">
        <f t="shared" si="7"/>
        <v>0</v>
      </c>
      <c r="S31" s="120">
        <f>IF(D31="COMED",$I$12*'BRA Load Pricing Results'!J48/'BRA Load Pricing Results'!$J$45,0)</f>
        <v>0</v>
      </c>
      <c r="T31" s="121">
        <f t="shared" si="8"/>
        <v>0</v>
      </c>
      <c r="U31" s="120">
        <f>IF(D31="BGE",$I$13*'BRA Load Pricing Results'!J48/'BRA Load Pricing Results'!$J$44,0)</f>
        <v>0</v>
      </c>
      <c r="V31" s="121">
        <f t="shared" si="19"/>
        <v>0</v>
      </c>
      <c r="W31" s="120">
        <f>IF(D31="PL",$I$14*'BRA Load Pricing Results'!J48/'BRA Load Pricing Results'!$J$58,0)</f>
        <v>0</v>
      </c>
      <c r="X31" s="121">
        <f t="shared" si="18"/>
        <v>0</v>
      </c>
      <c r="Y31" s="120">
        <f>IF(D31="DAYTON",$I$15*'BRA Load Pricing Results'!J48/'BRA Load Pricing Results'!$J$46,0)</f>
        <v>0</v>
      </c>
      <c r="Z31" s="121">
        <f t="shared" si="9"/>
        <v>0</v>
      </c>
      <c r="AA31" s="120">
        <f>IF(D31="DEOK",$I$16*'BRA Load Pricing Results'!J48/'BRA Load Pricing Results'!$J$47,0)</f>
        <v>0</v>
      </c>
      <c r="AB31" s="121">
        <f t="shared" si="10"/>
        <v>0</v>
      </c>
      <c r="AC31" s="122">
        <f t="shared" si="16"/>
        <v>0</v>
      </c>
      <c r="AD31" s="31">
        <f t="shared" si="20"/>
        <v>0</v>
      </c>
      <c r="AE31" s="234">
        <f>AD31/'BRA Load Pricing Results'!J48</f>
        <v>0</v>
      </c>
      <c r="AF31" s="262">
        <f t="shared" si="21"/>
        <v>0</v>
      </c>
      <c r="AG31" s="259"/>
      <c r="AH31" s="222"/>
      <c r="AI31" s="257"/>
      <c r="AJ31" s="257"/>
      <c r="AK31" s="258"/>
    </row>
    <row r="32" spans="1:37" ht="13.8" x14ac:dyDescent="0.3">
      <c r="A32" s="52" t="s">
        <v>30</v>
      </c>
      <c r="B32" s="89"/>
      <c r="C32" s="89"/>
      <c r="D32" s="90"/>
      <c r="E32" s="120">
        <f>IF(B32="MAAC",$I$5*'BRA Load Pricing Results'!J49/'BRA Load Pricing Results'!$B$14,0)</f>
        <v>0</v>
      </c>
      <c r="F32" s="121">
        <f t="shared" si="12"/>
        <v>0</v>
      </c>
      <c r="G32" s="120">
        <f>IF(C32="EMAAC",$I$6*'BRA Load Pricing Results'!J49/'BRA Load Pricing Results'!$B$15,0)</f>
        <v>0</v>
      </c>
      <c r="H32" s="121">
        <f t="shared" si="17"/>
        <v>0</v>
      </c>
      <c r="I32" s="120">
        <f>IF(C32="SWMAAC",$I$7*'BRA Load Pricing Results'!J49/'BRA Load Pricing Results'!$B$16,0)</f>
        <v>0</v>
      </c>
      <c r="J32" s="121">
        <f t="shared" si="13"/>
        <v>0</v>
      </c>
      <c r="K32" s="120">
        <f>IF(D32="PS",$I$8*'BRA Load Pricing Results'!J49/'BRA Load Pricing Results'!$J$59,0)</f>
        <v>0</v>
      </c>
      <c r="L32" s="121">
        <f t="shared" si="14"/>
        <v>0</v>
      </c>
      <c r="M32" s="120">
        <f>IF(D32="DPL",$I$9*'BRA Load Pricing Results'!J49/'BRA Load Pricing Results'!$J$50,0)</f>
        <v>0</v>
      </c>
      <c r="N32" s="121">
        <f t="shared" si="6"/>
        <v>0</v>
      </c>
      <c r="O32" s="120">
        <f>IF(D32="PEPCO",$I$10*'BRA Load Pricing Results'!J49/'BRA Load Pricing Results'!$J$57,0)</f>
        <v>0</v>
      </c>
      <c r="P32" s="121">
        <f t="shared" si="15"/>
        <v>0</v>
      </c>
      <c r="Q32" s="120">
        <f>IF(D32="ATSI",$I$11*'BRA Load Pricing Results'!J49/'BRA Load Pricing Results'!$J$43,0)</f>
        <v>0</v>
      </c>
      <c r="R32" s="121">
        <f t="shared" si="7"/>
        <v>0</v>
      </c>
      <c r="S32" s="120">
        <f>IF(D32="COMED",$I$12*'BRA Load Pricing Results'!J49/'BRA Load Pricing Results'!$J$45,0)</f>
        <v>0</v>
      </c>
      <c r="T32" s="121">
        <f t="shared" si="8"/>
        <v>0</v>
      </c>
      <c r="U32" s="120">
        <f>IF(D32="BGE",$I$13*'BRA Load Pricing Results'!J49/'BRA Load Pricing Results'!$J$44,0)</f>
        <v>0</v>
      </c>
      <c r="V32" s="121">
        <f t="shared" si="19"/>
        <v>0</v>
      </c>
      <c r="W32" s="120">
        <f>IF(D32="PL",$I$14*'BRA Load Pricing Results'!J49/'BRA Load Pricing Results'!$J$58,0)</f>
        <v>0</v>
      </c>
      <c r="X32" s="121">
        <f t="shared" si="18"/>
        <v>0</v>
      </c>
      <c r="Y32" s="120">
        <f>IF(D32="DAYTON",$I$15*'BRA Load Pricing Results'!J49/'BRA Load Pricing Results'!$J$46,0)</f>
        <v>0</v>
      </c>
      <c r="Z32" s="121">
        <f t="shared" si="9"/>
        <v>0</v>
      </c>
      <c r="AA32" s="120">
        <f>IF(D32="DEOK",$I$16*'BRA Load Pricing Results'!J49/'BRA Load Pricing Results'!$J$47,0)</f>
        <v>0</v>
      </c>
      <c r="AB32" s="121">
        <f t="shared" si="10"/>
        <v>0</v>
      </c>
      <c r="AC32" s="122">
        <f t="shared" si="16"/>
        <v>0</v>
      </c>
      <c r="AD32" s="31">
        <f t="shared" si="20"/>
        <v>0</v>
      </c>
      <c r="AE32" s="234">
        <f>AD32/'BRA Load Pricing Results'!J49</f>
        <v>0</v>
      </c>
      <c r="AF32" s="262">
        <f t="shared" si="21"/>
        <v>0</v>
      </c>
      <c r="AG32" s="259"/>
      <c r="AH32" s="222"/>
      <c r="AI32" s="257"/>
      <c r="AJ32" s="257"/>
      <c r="AK32" s="258"/>
    </row>
    <row r="33" spans="1:37" ht="13.8" x14ac:dyDescent="0.3">
      <c r="A33" s="52" t="s">
        <v>17</v>
      </c>
      <c r="B33" s="89" t="s">
        <v>28</v>
      </c>
      <c r="C33" s="89" t="s">
        <v>33</v>
      </c>
      <c r="D33" s="90" t="s">
        <v>17</v>
      </c>
      <c r="E33" s="120">
        <f>IF(B33="MAAC",$I$5*'BRA Load Pricing Results'!J50/'BRA Load Pricing Results'!$B$14,0)</f>
        <v>0</v>
      </c>
      <c r="F33" s="121">
        <f t="shared" ref="F33:F43" si="22">E33*$F$21</f>
        <v>0</v>
      </c>
      <c r="G33" s="120">
        <f>IF(C33="EMAAC",$I$6*'BRA Load Pricing Results'!J50/'BRA Load Pricing Results'!$B$15,0)</f>
        <v>620.71642932513726</v>
      </c>
      <c r="H33" s="121">
        <f>G33*$H$21</f>
        <v>1284.883008703034</v>
      </c>
      <c r="I33" s="120">
        <f>IF(C33="SWMAAC",$I$7*'BRA Load Pricing Results'!J50/'BRA Load Pricing Results'!$B$16,0)</f>
        <v>0</v>
      </c>
      <c r="J33" s="121">
        <f t="shared" si="13"/>
        <v>0</v>
      </c>
      <c r="K33" s="120">
        <f>IF(D33="PS",$I$8*'BRA Load Pricing Results'!J50/'BRA Load Pricing Results'!$J$59,0)</f>
        <v>0</v>
      </c>
      <c r="L33" s="121">
        <f t="shared" si="14"/>
        <v>0</v>
      </c>
      <c r="M33" s="120">
        <f>IF(D33="DPL",$I$9*'BRA Load Pricing Results'!J50/'BRA Load Pricing Results'!$J$50,0)</f>
        <v>-669.3738881565323</v>
      </c>
      <c r="N33" s="121">
        <f t="shared" si="6"/>
        <v>0</v>
      </c>
      <c r="O33" s="120">
        <f>IF(D33="PEPCO",$I$10*'BRA Load Pricing Results'!J50/'BRA Load Pricing Results'!$J$57,0)</f>
        <v>0</v>
      </c>
      <c r="P33" s="121">
        <f t="shared" si="15"/>
        <v>0</v>
      </c>
      <c r="Q33" s="120">
        <f>IF(D33="ATSI",$I$11*'BRA Load Pricing Results'!J50/'BRA Load Pricing Results'!$J$43,0)</f>
        <v>0</v>
      </c>
      <c r="R33" s="121">
        <f t="shared" si="7"/>
        <v>0</v>
      </c>
      <c r="S33" s="120">
        <f>IF(D33="COMED",$I$12*'BRA Load Pricing Results'!J50/'BRA Load Pricing Results'!$J$45,0)</f>
        <v>0</v>
      </c>
      <c r="T33" s="121">
        <f t="shared" si="8"/>
        <v>0</v>
      </c>
      <c r="U33" s="120">
        <f>IF(D33="BGE",$I$13*'BRA Load Pricing Results'!J50/'BRA Load Pricing Results'!$J$44,0)</f>
        <v>0</v>
      </c>
      <c r="V33" s="121">
        <f t="shared" si="19"/>
        <v>0</v>
      </c>
      <c r="W33" s="120">
        <f>IF(D33="PL",$I$14*'BRA Load Pricing Results'!J50/'BRA Load Pricing Results'!$J$58,0)</f>
        <v>0</v>
      </c>
      <c r="X33" s="121">
        <f t="shared" si="18"/>
        <v>0</v>
      </c>
      <c r="Y33" s="120">
        <f>IF(D33="DAYTON",$I$15*'BRA Load Pricing Results'!J50/'BRA Load Pricing Results'!$J$46,0)</f>
        <v>0</v>
      </c>
      <c r="Z33" s="121">
        <f t="shared" si="9"/>
        <v>0</v>
      </c>
      <c r="AA33" s="120">
        <f>IF(D33="DEOK",$I$16*'BRA Load Pricing Results'!J50/'BRA Load Pricing Results'!$J$47,0)</f>
        <v>0</v>
      </c>
      <c r="AB33" s="121">
        <f t="shared" si="10"/>
        <v>0</v>
      </c>
      <c r="AC33" s="122">
        <f t="shared" si="16"/>
        <v>620.71642932513726</v>
      </c>
      <c r="AD33" s="31">
        <f t="shared" si="20"/>
        <v>1284.883008703034</v>
      </c>
      <c r="AE33" s="234">
        <f>AD33/'BRA Load Pricing Results'!J50</f>
        <v>0.29007234098193296</v>
      </c>
      <c r="AF33" s="262">
        <f t="shared" si="21"/>
        <v>2.0699999999999998</v>
      </c>
      <c r="AG33" s="259"/>
      <c r="AH33" s="222"/>
      <c r="AI33" s="257"/>
      <c r="AJ33" s="257"/>
      <c r="AK33" s="258"/>
    </row>
    <row r="34" spans="1:37" ht="13.8" x14ac:dyDescent="0.3">
      <c r="A34" s="52" t="s">
        <v>102</v>
      </c>
      <c r="B34" s="89"/>
      <c r="C34" s="89"/>
      <c r="D34" s="90"/>
      <c r="E34" s="120">
        <f>IF(B34="MAAC",$I$5*'BRA Load Pricing Results'!J51/'BRA Load Pricing Results'!$B$14,0)</f>
        <v>0</v>
      </c>
      <c r="F34" s="121">
        <f t="shared" si="22"/>
        <v>0</v>
      </c>
      <c r="G34" s="120">
        <f>IF(C34="EMAAC",$I$6*'BRA Load Pricing Results'!J51/'BRA Load Pricing Results'!$B$15,0)</f>
        <v>0</v>
      </c>
      <c r="H34" s="121">
        <f>G34*$H$21</f>
        <v>0</v>
      </c>
      <c r="I34" s="120">
        <f>IF(C34="SWMAAC",$I$7*'BRA Load Pricing Results'!J51/'BRA Load Pricing Results'!$B$16,0)</f>
        <v>0</v>
      </c>
      <c r="J34" s="121">
        <f>I34*$J$21</f>
        <v>0</v>
      </c>
      <c r="K34" s="120">
        <f>IF(D34="PS",$I$8*'BRA Load Pricing Results'!J51/'BRA Load Pricing Results'!$J$59,0)</f>
        <v>0</v>
      </c>
      <c r="L34" s="121">
        <f>K34*$L$21</f>
        <v>0</v>
      </c>
      <c r="M34" s="120">
        <f>IF(D34="DPL",$I$9*'BRA Load Pricing Results'!J51/'BRA Load Pricing Results'!$J$50,0)</f>
        <v>0</v>
      </c>
      <c r="N34" s="121">
        <f>M34*$N$21</f>
        <v>0</v>
      </c>
      <c r="O34" s="120">
        <f>IF(D34="PEPCO",$I$10*'BRA Load Pricing Results'!J51/'BRA Load Pricing Results'!$J$57,0)</f>
        <v>0</v>
      </c>
      <c r="P34" s="121">
        <f>O34*$P$21</f>
        <v>0</v>
      </c>
      <c r="Q34" s="120">
        <f>IF(D34="ATSI",$I$11*'BRA Load Pricing Results'!J51/'BRA Load Pricing Results'!$J$43,0)</f>
        <v>0</v>
      </c>
      <c r="R34" s="121">
        <f>Q34*$R$21</f>
        <v>0</v>
      </c>
      <c r="S34" s="120">
        <f>IF(D34="COMED",$I$12*'BRA Load Pricing Results'!J51/'BRA Load Pricing Results'!$J$45,0)</f>
        <v>0</v>
      </c>
      <c r="T34" s="121">
        <f t="shared" si="8"/>
        <v>0</v>
      </c>
      <c r="U34" s="120">
        <f>IF(D34="BGE",$I$13*'BRA Load Pricing Results'!J51/'BRA Load Pricing Results'!$J$44,0)</f>
        <v>0</v>
      </c>
      <c r="V34" s="121">
        <f t="shared" si="19"/>
        <v>0</v>
      </c>
      <c r="W34" s="120">
        <f>IF(D34="PL",$I$14*'BRA Load Pricing Results'!J51/'BRA Load Pricing Results'!$J$58,0)</f>
        <v>0</v>
      </c>
      <c r="X34" s="121">
        <f t="shared" si="18"/>
        <v>0</v>
      </c>
      <c r="Y34" s="120">
        <f>IF(D34="DAYTON",$I$15*'BRA Load Pricing Results'!J51/'BRA Load Pricing Results'!$J$46,0)</f>
        <v>0</v>
      </c>
      <c r="Z34" s="121">
        <f t="shared" si="9"/>
        <v>0</v>
      </c>
      <c r="AA34" s="120">
        <f>IF(D34="DEOK",$I$16*'BRA Load Pricing Results'!J51/'BRA Load Pricing Results'!$J$47,0)</f>
        <v>0</v>
      </c>
      <c r="AB34" s="121">
        <f t="shared" si="10"/>
        <v>0</v>
      </c>
      <c r="AC34" s="122">
        <f t="shared" si="16"/>
        <v>0</v>
      </c>
      <c r="AD34" s="31">
        <f t="shared" si="20"/>
        <v>0</v>
      </c>
      <c r="AE34" s="234">
        <f>AD34/'BRA Load Pricing Results'!J51</f>
        <v>0</v>
      </c>
      <c r="AF34" s="262">
        <f>IF(AC34=0,0,AD34/AC34)</f>
        <v>0</v>
      </c>
      <c r="AG34" s="259"/>
      <c r="AH34" s="222"/>
      <c r="AI34" s="257"/>
      <c r="AJ34" s="257"/>
      <c r="AK34" s="258"/>
    </row>
    <row r="35" spans="1:37" ht="13.8" x14ac:dyDescent="0.3">
      <c r="A35" s="52" t="s">
        <v>12</v>
      </c>
      <c r="B35" s="89" t="s">
        <v>28</v>
      </c>
      <c r="C35" s="89" t="s">
        <v>33</v>
      </c>
      <c r="D35" s="90"/>
      <c r="E35" s="120">
        <f>IF(B35="MAAC",$I$5*'BRA Load Pricing Results'!J52/'BRA Load Pricing Results'!$B$14,0)</f>
        <v>0</v>
      </c>
      <c r="F35" s="121">
        <f t="shared" si="22"/>
        <v>0</v>
      </c>
      <c r="G35" s="120">
        <f>IF(C35="EMAAC",$I$6*'BRA Load Pricing Results'!J52/'BRA Load Pricing Results'!$B$15,0)</f>
        <v>938.14525461389678</v>
      </c>
      <c r="H35" s="121">
        <f>G35*$H$21</f>
        <v>1941.9606770507662</v>
      </c>
      <c r="I35" s="120">
        <f>IF(C35="SWMAAC",$I$7*'BRA Load Pricing Results'!J52/'BRA Load Pricing Results'!$B$16,0)</f>
        <v>0</v>
      </c>
      <c r="J35" s="121">
        <f t="shared" si="13"/>
        <v>0</v>
      </c>
      <c r="K35" s="120">
        <f>IF(D35="PS",$I$8*'BRA Load Pricing Results'!J52/'BRA Load Pricing Results'!$J$59,0)</f>
        <v>0</v>
      </c>
      <c r="L35" s="121">
        <f t="shared" si="14"/>
        <v>0</v>
      </c>
      <c r="M35" s="120">
        <f>IF(D35="DPL",$I$9*'BRA Load Pricing Results'!J52/'BRA Load Pricing Results'!$J$50,0)</f>
        <v>0</v>
      </c>
      <c r="N35" s="121">
        <f t="shared" si="6"/>
        <v>0</v>
      </c>
      <c r="O35" s="120">
        <f>IF(D35="PEPCO",$I$10*'BRA Load Pricing Results'!J52/'BRA Load Pricing Results'!$J$57,0)</f>
        <v>0</v>
      </c>
      <c r="P35" s="121">
        <f t="shared" si="15"/>
        <v>0</v>
      </c>
      <c r="Q35" s="120">
        <f>IF(D35="ATSI",$I$11*'BRA Load Pricing Results'!J52/'BRA Load Pricing Results'!$J$43,0)</f>
        <v>0</v>
      </c>
      <c r="R35" s="121">
        <f t="shared" si="7"/>
        <v>0</v>
      </c>
      <c r="S35" s="120">
        <f>IF(D35="COMED",$I$12*'BRA Load Pricing Results'!J52/'BRA Load Pricing Results'!$J$45,0)</f>
        <v>0</v>
      </c>
      <c r="T35" s="121">
        <f t="shared" si="8"/>
        <v>0</v>
      </c>
      <c r="U35" s="120">
        <f>IF(D35="BGE",$I$13*'BRA Load Pricing Results'!J52/'BRA Load Pricing Results'!$J$44,0)</f>
        <v>0</v>
      </c>
      <c r="V35" s="121">
        <f t="shared" si="19"/>
        <v>0</v>
      </c>
      <c r="W35" s="120">
        <f>IF(D35="PL",$I$14*'BRA Load Pricing Results'!J52/'BRA Load Pricing Results'!$J$58,0)</f>
        <v>0</v>
      </c>
      <c r="X35" s="121">
        <f t="shared" si="18"/>
        <v>0</v>
      </c>
      <c r="Y35" s="120">
        <f>IF(D35="DAYTON",$I$15*'BRA Load Pricing Results'!J52/'BRA Load Pricing Results'!$J$46,0)</f>
        <v>0</v>
      </c>
      <c r="Z35" s="121">
        <f t="shared" si="9"/>
        <v>0</v>
      </c>
      <c r="AA35" s="120">
        <f>IF(D35="DEOK",$I$16*'BRA Load Pricing Results'!J52/'BRA Load Pricing Results'!$J$47,0)</f>
        <v>0</v>
      </c>
      <c r="AB35" s="121">
        <f t="shared" si="10"/>
        <v>0</v>
      </c>
      <c r="AC35" s="122">
        <f t="shared" si="16"/>
        <v>938.14525461389678</v>
      </c>
      <c r="AD35" s="31">
        <f t="shared" si="20"/>
        <v>1941.9606770507662</v>
      </c>
      <c r="AE35" s="234">
        <f>AD35/'BRA Load Pricing Results'!J52</f>
        <v>0.29007234098193296</v>
      </c>
      <c r="AF35" s="262">
        <f t="shared" si="21"/>
        <v>2.0699999999999998</v>
      </c>
      <c r="AG35" s="259"/>
      <c r="AH35" s="222"/>
      <c r="AI35" s="257"/>
      <c r="AJ35" s="257"/>
      <c r="AK35" s="258"/>
    </row>
    <row r="36" spans="1:37" ht="13.8" x14ac:dyDescent="0.3">
      <c r="A36" s="52" t="s">
        <v>13</v>
      </c>
      <c r="B36" s="89" t="s">
        <v>28</v>
      </c>
      <c r="C36" s="89"/>
      <c r="D36" s="90"/>
      <c r="E36" s="120">
        <f>IF(B36="MAAC",$I$5*'BRA Load Pricing Results'!J53/'BRA Load Pricing Results'!$B$14,0)</f>
        <v>0</v>
      </c>
      <c r="F36" s="121">
        <f t="shared" si="22"/>
        <v>0</v>
      </c>
      <c r="G36" s="120">
        <f>IF(C36="EMAAC",$I$6*'BRA Load Pricing Results'!J53/'BRA Load Pricing Results'!$B$15,0)</f>
        <v>0</v>
      </c>
      <c r="H36" s="121">
        <f t="shared" si="17"/>
        <v>0</v>
      </c>
      <c r="I36" s="120">
        <f>IF(C36="SWMAAC",$I$7*'BRA Load Pricing Results'!J53/'BRA Load Pricing Results'!$B$16,0)</f>
        <v>0</v>
      </c>
      <c r="J36" s="121">
        <f t="shared" si="13"/>
        <v>0</v>
      </c>
      <c r="K36" s="120">
        <f>IF(D36="PS",$I$8*'BRA Load Pricing Results'!J53/'BRA Load Pricing Results'!$J$59,0)</f>
        <v>0</v>
      </c>
      <c r="L36" s="121">
        <f t="shared" si="14"/>
        <v>0</v>
      </c>
      <c r="M36" s="120">
        <f>IF(D36="DPL",$I$9*'BRA Load Pricing Results'!J53/'BRA Load Pricing Results'!$J$50,0)</f>
        <v>0</v>
      </c>
      <c r="N36" s="121">
        <f t="shared" si="6"/>
        <v>0</v>
      </c>
      <c r="O36" s="120">
        <f>IF(D36="PEPCO",$I$10*'BRA Load Pricing Results'!J53/'BRA Load Pricing Results'!$J$57,0)</f>
        <v>0</v>
      </c>
      <c r="P36" s="121">
        <f t="shared" si="15"/>
        <v>0</v>
      </c>
      <c r="Q36" s="120">
        <f>IF(D36="ATSI",$I$11*'BRA Load Pricing Results'!J53/'BRA Load Pricing Results'!$J$43,0)</f>
        <v>0</v>
      </c>
      <c r="R36" s="121">
        <f t="shared" si="7"/>
        <v>0</v>
      </c>
      <c r="S36" s="120">
        <f>IF(D36="COMED",$I$12*'BRA Load Pricing Results'!J53/'BRA Load Pricing Results'!$J$45,0)</f>
        <v>0</v>
      </c>
      <c r="T36" s="121">
        <f t="shared" si="8"/>
        <v>0</v>
      </c>
      <c r="U36" s="120">
        <f>IF(D36="BGE",$I$13*'BRA Load Pricing Results'!J53/'BRA Load Pricing Results'!$J$44,0)</f>
        <v>0</v>
      </c>
      <c r="V36" s="121">
        <f t="shared" si="19"/>
        <v>0</v>
      </c>
      <c r="W36" s="120">
        <f>IF(D36="PL",$I$14*'BRA Load Pricing Results'!J53/'BRA Load Pricing Results'!$J$58,0)</f>
        <v>0</v>
      </c>
      <c r="X36" s="121">
        <f t="shared" si="18"/>
        <v>0</v>
      </c>
      <c r="Y36" s="120">
        <f>IF(D36="DAYTON",$I$15*'BRA Load Pricing Results'!J53/'BRA Load Pricing Results'!$J$46,0)</f>
        <v>0</v>
      </c>
      <c r="Z36" s="121">
        <f t="shared" si="9"/>
        <v>0</v>
      </c>
      <c r="AA36" s="120">
        <f>IF(D36="DEOK",$I$16*'BRA Load Pricing Results'!J53/'BRA Load Pricing Results'!$J$47,0)</f>
        <v>0</v>
      </c>
      <c r="AB36" s="121">
        <f t="shared" si="10"/>
        <v>0</v>
      </c>
      <c r="AC36" s="122">
        <f t="shared" si="16"/>
        <v>0</v>
      </c>
      <c r="AD36" s="31">
        <f t="shared" si="20"/>
        <v>0</v>
      </c>
      <c r="AE36" s="234">
        <f>AD36/'BRA Load Pricing Results'!J53</f>
        <v>0</v>
      </c>
      <c r="AF36" s="262">
        <f t="shared" si="21"/>
        <v>0</v>
      </c>
      <c r="AG36" s="259"/>
      <c r="AH36" s="222"/>
      <c r="AI36" s="257"/>
      <c r="AJ36" s="257"/>
      <c r="AK36" s="258"/>
    </row>
    <row r="37" spans="1:37" ht="13.8" x14ac:dyDescent="0.3">
      <c r="A37" s="52" t="s">
        <v>199</v>
      </c>
      <c r="B37" s="89"/>
      <c r="C37" s="89"/>
      <c r="D37" s="90"/>
      <c r="E37" s="120">
        <f>IF(B37="MAAC",$I$5*'BRA Load Pricing Results'!J54/'BRA Load Pricing Results'!$B$14,0)</f>
        <v>0</v>
      </c>
      <c r="F37" s="121">
        <f t="shared" ref="F37" si="23">E37*$F$21</f>
        <v>0</v>
      </c>
      <c r="G37" s="120">
        <f>IF(C37="EMAAC",$I$6*'BRA Load Pricing Results'!J54/'BRA Load Pricing Results'!$B$15,0)</f>
        <v>0</v>
      </c>
      <c r="H37" s="121">
        <f t="shared" ref="H37" si="24">G37*$H$21</f>
        <v>0</v>
      </c>
      <c r="I37" s="120">
        <f>IF(C37="SWMAAC",$I$7*'BRA Load Pricing Results'!J54/'BRA Load Pricing Results'!$B$16,0)</f>
        <v>0</v>
      </c>
      <c r="J37" s="121">
        <f t="shared" ref="J37" si="25">I37*$J$21</f>
        <v>0</v>
      </c>
      <c r="K37" s="120">
        <f>IF(D37="PS",$I$8*'BRA Load Pricing Results'!J54/'BRA Load Pricing Results'!$J$59,0)</f>
        <v>0</v>
      </c>
      <c r="L37" s="121">
        <f t="shared" ref="L37" si="26">K37*$L$21</f>
        <v>0</v>
      </c>
      <c r="M37" s="120">
        <f>IF(D37="DPL",$I$9*'BRA Load Pricing Results'!J54/'BRA Load Pricing Results'!$J$50,0)</f>
        <v>0</v>
      </c>
      <c r="N37" s="121">
        <f t="shared" ref="N37" si="27">M37*$N$21</f>
        <v>0</v>
      </c>
      <c r="O37" s="120">
        <f>IF(D37="PEPCO",$I$10*'BRA Load Pricing Results'!J54/'BRA Load Pricing Results'!$J$57,0)</f>
        <v>0</v>
      </c>
      <c r="P37" s="121">
        <f t="shared" ref="P37" si="28">O37*$P$21</f>
        <v>0</v>
      </c>
      <c r="Q37" s="120">
        <f>IF(D37="ATSI",$I$11*'BRA Load Pricing Results'!J54/'BRA Load Pricing Results'!$J$43,0)</f>
        <v>0</v>
      </c>
      <c r="R37" s="121">
        <f t="shared" ref="R37" si="29">Q37*$R$21</f>
        <v>0</v>
      </c>
      <c r="S37" s="120">
        <f>IF(D37="COMED",$I$12*'BRA Load Pricing Results'!J54/'BRA Load Pricing Results'!$J$45,0)</f>
        <v>0</v>
      </c>
      <c r="T37" s="121">
        <f t="shared" ref="T37" si="30">S37*$T$21</f>
        <v>0</v>
      </c>
      <c r="U37" s="120">
        <f>IF(D37="BGE",$I$13*'BRA Load Pricing Results'!J54/'BRA Load Pricing Results'!$J$44,0)</f>
        <v>0</v>
      </c>
      <c r="V37" s="121">
        <f t="shared" ref="V37" si="31">U37*$V$21</f>
        <v>0</v>
      </c>
      <c r="W37" s="120">
        <f>IF(D37="PL",$I$14*'BRA Load Pricing Results'!J54/'BRA Load Pricing Results'!$J$58,0)</f>
        <v>0</v>
      </c>
      <c r="X37" s="121">
        <f t="shared" ref="X37" si="32">W37*$X$21</f>
        <v>0</v>
      </c>
      <c r="Y37" s="120">
        <f>IF(D37="DAYTON",$I$15*'BRA Load Pricing Results'!J54/'BRA Load Pricing Results'!$J$46,0)</f>
        <v>0</v>
      </c>
      <c r="Z37" s="121">
        <f t="shared" ref="Z37" si="33">Y37*$Z$21</f>
        <v>0</v>
      </c>
      <c r="AA37" s="120">
        <f>IF(D37="DEOK",$I$16*'BRA Load Pricing Results'!J54/'BRA Load Pricing Results'!$J$47,0)</f>
        <v>0</v>
      </c>
      <c r="AB37" s="121">
        <f t="shared" ref="AB37" si="34">AA37*$AB$21</f>
        <v>0</v>
      </c>
      <c r="AC37" s="122">
        <f t="shared" ref="AC37" si="35">MAX(E37,G37,I37,K37,M37,O37,Q37+S37+U37+W37+Y37+AA37)</f>
        <v>0</v>
      </c>
      <c r="AD37" s="31">
        <f t="shared" ref="AD37" si="36">F37+H37+J37+L37+N37+P37+R37+T37+V37+X37+Z37+AB37</f>
        <v>0</v>
      </c>
      <c r="AE37" s="234">
        <f>AD37/'BRA Load Pricing Results'!J54</f>
        <v>0</v>
      </c>
      <c r="AF37" s="262">
        <f t="shared" ref="AF37" si="37">IF(AC37=0,0,AD37/AC37)</f>
        <v>0</v>
      </c>
      <c r="AG37" s="259"/>
      <c r="AH37" s="222"/>
      <c r="AI37" s="257"/>
      <c r="AJ37" s="257"/>
      <c r="AK37" s="258"/>
    </row>
    <row r="38" spans="1:37" ht="13.8" x14ac:dyDescent="0.3">
      <c r="A38" s="52" t="s">
        <v>9</v>
      </c>
      <c r="B38" s="89" t="s">
        <v>28</v>
      </c>
      <c r="C38" s="89" t="s">
        <v>33</v>
      </c>
      <c r="D38" s="90"/>
      <c r="E38" s="120">
        <f>IF(B38="MAAC",$I$5*'BRA Load Pricing Results'!J55/'BRA Load Pricing Results'!$B$14,0)</f>
        <v>0</v>
      </c>
      <c r="F38" s="121">
        <f t="shared" si="22"/>
        <v>0</v>
      </c>
      <c r="G38" s="120">
        <f>IF(C38="EMAAC",$I$6*'BRA Load Pricing Results'!J55/'BRA Load Pricing Results'!$B$15,0)</f>
        <v>1356.226301757845</v>
      </c>
      <c r="H38" s="121">
        <f>G38*$H$21</f>
        <v>2807.3884446387392</v>
      </c>
      <c r="I38" s="120">
        <f>IF(C38="SWMAAC",$I$7*'BRA Load Pricing Results'!J55/'BRA Load Pricing Results'!$B$16,0)</f>
        <v>0</v>
      </c>
      <c r="J38" s="121">
        <f t="shared" si="13"/>
        <v>0</v>
      </c>
      <c r="K38" s="120">
        <f>IF(D38="PS",$I$8*'BRA Load Pricing Results'!J55/'BRA Load Pricing Results'!$J$59,0)</f>
        <v>0</v>
      </c>
      <c r="L38" s="121">
        <f t="shared" si="14"/>
        <v>0</v>
      </c>
      <c r="M38" s="120">
        <f>IF(D38="DPL",$I$9*'BRA Load Pricing Results'!J55/'BRA Load Pricing Results'!$J$50,0)</f>
        <v>0</v>
      </c>
      <c r="N38" s="121">
        <f t="shared" si="6"/>
        <v>0</v>
      </c>
      <c r="O38" s="120">
        <f>IF(D38="PEPCO",$I$10*'BRA Load Pricing Results'!J55/'BRA Load Pricing Results'!$J$57,0)</f>
        <v>0</v>
      </c>
      <c r="P38" s="121">
        <f t="shared" si="15"/>
        <v>0</v>
      </c>
      <c r="Q38" s="120">
        <f>IF(D38="ATSI",$I$11*'BRA Load Pricing Results'!J55/'BRA Load Pricing Results'!$J$43,0)</f>
        <v>0</v>
      </c>
      <c r="R38" s="121">
        <f t="shared" si="7"/>
        <v>0</v>
      </c>
      <c r="S38" s="120">
        <f>IF(D38="COMED",$I$12*'BRA Load Pricing Results'!J55/'BRA Load Pricing Results'!$J$45,0)</f>
        <v>0</v>
      </c>
      <c r="T38" s="121">
        <f t="shared" si="8"/>
        <v>0</v>
      </c>
      <c r="U38" s="120">
        <f>IF(D38="BGE",$I$13*'BRA Load Pricing Results'!J55/'BRA Load Pricing Results'!$J$44,0)</f>
        <v>0</v>
      </c>
      <c r="V38" s="121">
        <f t="shared" si="19"/>
        <v>0</v>
      </c>
      <c r="W38" s="120">
        <f>IF(D38="PL",$I$14*'BRA Load Pricing Results'!J55/'BRA Load Pricing Results'!$J$58,0)</f>
        <v>0</v>
      </c>
      <c r="X38" s="121">
        <f t="shared" si="18"/>
        <v>0</v>
      </c>
      <c r="Y38" s="120">
        <f>IF(D38="DAYTON",$I$15*'BRA Load Pricing Results'!J55/'BRA Load Pricing Results'!$J$46,0)</f>
        <v>0</v>
      </c>
      <c r="Z38" s="121">
        <f t="shared" si="9"/>
        <v>0</v>
      </c>
      <c r="AA38" s="120">
        <f>IF(D38="DEOK",$I$16*'BRA Load Pricing Results'!J55/'BRA Load Pricing Results'!$J$47,0)</f>
        <v>0</v>
      </c>
      <c r="AB38" s="121">
        <f t="shared" si="10"/>
        <v>0</v>
      </c>
      <c r="AC38" s="122">
        <f t="shared" si="16"/>
        <v>1356.226301757845</v>
      </c>
      <c r="AD38" s="31">
        <f t="shared" si="20"/>
        <v>2807.3884446387392</v>
      </c>
      <c r="AE38" s="234">
        <f>AD38/'BRA Load Pricing Results'!J55</f>
        <v>0.29007234098193307</v>
      </c>
      <c r="AF38" s="262">
        <f t="shared" si="21"/>
        <v>2.0699999999999998</v>
      </c>
      <c r="AG38" s="259"/>
      <c r="AH38" s="222"/>
      <c r="AI38" s="257"/>
      <c r="AJ38" s="257"/>
      <c r="AK38" s="258"/>
    </row>
    <row r="39" spans="1:37" ht="13.8" x14ac:dyDescent="0.3">
      <c r="A39" s="52" t="s">
        <v>14</v>
      </c>
      <c r="B39" s="89" t="s">
        <v>28</v>
      </c>
      <c r="C39" s="89"/>
      <c r="D39" s="90"/>
      <c r="E39" s="120">
        <f>IF(B39="MAAC",$I$5*'BRA Load Pricing Results'!J56/'BRA Load Pricing Results'!$B$14,0)</f>
        <v>0</v>
      </c>
      <c r="F39" s="121">
        <f t="shared" si="22"/>
        <v>0</v>
      </c>
      <c r="G39" s="120">
        <f>IF(C39="EMAAC",$I$6*'BRA Load Pricing Results'!J56/'BRA Load Pricing Results'!$B$15,0)</f>
        <v>0</v>
      </c>
      <c r="H39" s="121">
        <f t="shared" si="17"/>
        <v>0</v>
      </c>
      <c r="I39" s="120">
        <f>IF(C39="SWMAAC",$I$7*'BRA Load Pricing Results'!J56/'BRA Load Pricing Results'!$B$16,0)</f>
        <v>0</v>
      </c>
      <c r="J39" s="121">
        <f t="shared" si="13"/>
        <v>0</v>
      </c>
      <c r="K39" s="120">
        <f>IF(D39="PS",$I$8*'BRA Load Pricing Results'!J56/'BRA Load Pricing Results'!$J$59,0)</f>
        <v>0</v>
      </c>
      <c r="L39" s="121">
        <f t="shared" si="14"/>
        <v>0</v>
      </c>
      <c r="M39" s="120">
        <f>IF(D39="DPL",$I$9*'BRA Load Pricing Results'!J56/'BRA Load Pricing Results'!$J$50,0)</f>
        <v>0</v>
      </c>
      <c r="N39" s="121">
        <f t="shared" si="6"/>
        <v>0</v>
      </c>
      <c r="O39" s="120">
        <f>IF(D39="PEPCO",$I$10*'BRA Load Pricing Results'!J56/'BRA Load Pricing Results'!$J$57,0)</f>
        <v>0</v>
      </c>
      <c r="P39" s="121">
        <f t="shared" si="15"/>
        <v>0</v>
      </c>
      <c r="Q39" s="120">
        <f>IF(D39="ATSI",$I$11*'BRA Load Pricing Results'!J56/'BRA Load Pricing Results'!$J$43,0)</f>
        <v>0</v>
      </c>
      <c r="R39" s="121">
        <f t="shared" si="7"/>
        <v>0</v>
      </c>
      <c r="S39" s="120">
        <f>IF(D39="COMED",$I$12*'BRA Load Pricing Results'!J56/'BRA Load Pricing Results'!$J$45,0)</f>
        <v>0</v>
      </c>
      <c r="T39" s="121">
        <f t="shared" si="8"/>
        <v>0</v>
      </c>
      <c r="U39" s="120">
        <f>IF(D39="BGE",$I$13*'BRA Load Pricing Results'!J56/'BRA Load Pricing Results'!$J$44,0)</f>
        <v>0</v>
      </c>
      <c r="V39" s="121">
        <f t="shared" si="19"/>
        <v>0</v>
      </c>
      <c r="W39" s="120">
        <f>IF(D39="PL",$I$14*'BRA Load Pricing Results'!J56/'BRA Load Pricing Results'!$J$58,0)</f>
        <v>0</v>
      </c>
      <c r="X39" s="121">
        <f>W39*$X$21</f>
        <v>0</v>
      </c>
      <c r="Y39" s="120">
        <f>IF(D39="DAYTON",$I$15*'BRA Load Pricing Results'!J56/'BRA Load Pricing Results'!$J$46,0)</f>
        <v>0</v>
      </c>
      <c r="Z39" s="121">
        <f t="shared" si="9"/>
        <v>0</v>
      </c>
      <c r="AA39" s="120">
        <f>IF(D39="DEOK",$I$16*'BRA Load Pricing Results'!J56/'BRA Load Pricing Results'!$J$47,0)</f>
        <v>0</v>
      </c>
      <c r="AB39" s="121">
        <f t="shared" si="10"/>
        <v>0</v>
      </c>
      <c r="AC39" s="122">
        <f t="shared" si="16"/>
        <v>0</v>
      </c>
      <c r="AD39" s="31">
        <f t="shared" si="20"/>
        <v>0</v>
      </c>
      <c r="AE39" s="234">
        <f>AD39/'BRA Load Pricing Results'!J56</f>
        <v>0</v>
      </c>
      <c r="AF39" s="262">
        <f t="shared" si="21"/>
        <v>0</v>
      </c>
      <c r="AG39" s="259"/>
      <c r="AH39" s="222"/>
      <c r="AI39" s="257"/>
      <c r="AJ39" s="257"/>
      <c r="AK39" s="258"/>
    </row>
    <row r="40" spans="1:37" ht="13.8" x14ac:dyDescent="0.3">
      <c r="A40" s="52" t="s">
        <v>15</v>
      </c>
      <c r="B40" s="89" t="s">
        <v>28</v>
      </c>
      <c r="C40" s="89" t="s">
        <v>5</v>
      </c>
      <c r="D40" s="90" t="s">
        <v>15</v>
      </c>
      <c r="E40" s="120">
        <f>IF(B40="MAAC",$I$5*'BRA Load Pricing Results'!J57/'BRA Load Pricing Results'!$B$14,0)</f>
        <v>0</v>
      </c>
      <c r="F40" s="121">
        <f t="shared" si="22"/>
        <v>0</v>
      </c>
      <c r="G40" s="120">
        <f>IF(C40="EMAAC",$I$6*'BRA Load Pricing Results'!J57/'BRA Load Pricing Results'!$B$15,0)</f>
        <v>0</v>
      </c>
      <c r="H40" s="121">
        <f t="shared" si="17"/>
        <v>0</v>
      </c>
      <c r="I40" s="120">
        <f>IF(C40="SWMAAC",$I$7*'BRA Load Pricing Results'!J57/'BRA Load Pricing Results'!$B$16,0)</f>
        <v>2589.7540412265703</v>
      </c>
      <c r="J40" s="121">
        <f>I40*$J$21</f>
        <v>0</v>
      </c>
      <c r="K40" s="120">
        <f>IF(D40="PS",$I$8*'BRA Load Pricing Results'!J57/'BRA Load Pricing Results'!$J$59,0)</f>
        <v>0</v>
      </c>
      <c r="L40" s="121">
        <f t="shared" si="14"/>
        <v>0</v>
      </c>
      <c r="M40" s="120">
        <f>IF(D40="DPL",$I$9*'BRA Load Pricing Results'!J57/'BRA Load Pricing Results'!$J$50,0)</f>
        <v>0</v>
      </c>
      <c r="N40" s="121">
        <f>M40*N21</f>
        <v>0</v>
      </c>
      <c r="O40" s="120">
        <f>IF(D40="PEPCO",$I$10*'BRA Load Pricing Results'!J57/'BRA Load Pricing Results'!$J$57,0)</f>
        <v>2989.7077788852448</v>
      </c>
      <c r="P40" s="121">
        <f>O40*$P$21</f>
        <v>0</v>
      </c>
      <c r="Q40" s="120">
        <f>IF(D40="ATSI",$I$11*'BRA Load Pricing Results'!J57/'BRA Load Pricing Results'!$J$43,0)</f>
        <v>0</v>
      </c>
      <c r="R40" s="121">
        <f t="shared" si="7"/>
        <v>0</v>
      </c>
      <c r="S40" s="120">
        <f>IF(D40="COMED",$I$12*'BRA Load Pricing Results'!J57/'BRA Load Pricing Results'!$J$45,0)</f>
        <v>0</v>
      </c>
      <c r="T40" s="121">
        <f t="shared" si="8"/>
        <v>0</v>
      </c>
      <c r="U40" s="120">
        <f>IF(D40="BGE",$I$13*'BRA Load Pricing Results'!J57/'BRA Load Pricing Results'!$J$44,0)</f>
        <v>0</v>
      </c>
      <c r="V40" s="121">
        <f t="shared" si="19"/>
        <v>0</v>
      </c>
      <c r="W40" s="120">
        <f>IF(D40="PL",$I$14*'BRA Load Pricing Results'!J57/'BRA Load Pricing Results'!$J$58,0)</f>
        <v>0</v>
      </c>
      <c r="X40" s="121">
        <f t="shared" si="18"/>
        <v>0</v>
      </c>
      <c r="Y40" s="120">
        <f>IF(D40="DAYTON",$I$15*'BRA Load Pricing Results'!J57/'BRA Load Pricing Results'!$J$46,0)</f>
        <v>0</v>
      </c>
      <c r="Z40" s="121">
        <f t="shared" si="9"/>
        <v>0</v>
      </c>
      <c r="AA40" s="120">
        <f>IF(D40="DEOK",$I$16*'BRA Load Pricing Results'!J57/'BRA Load Pricing Results'!$J$47,0)</f>
        <v>0</v>
      </c>
      <c r="AB40" s="121">
        <f t="shared" si="10"/>
        <v>0</v>
      </c>
      <c r="AC40" s="122">
        <f t="shared" si="16"/>
        <v>2989.7077788852448</v>
      </c>
      <c r="AD40" s="31">
        <f t="shared" si="20"/>
        <v>0</v>
      </c>
      <c r="AE40" s="234">
        <f>AD40/'BRA Load Pricing Results'!J57</f>
        <v>0</v>
      </c>
      <c r="AF40" s="262">
        <f t="shared" si="21"/>
        <v>0</v>
      </c>
      <c r="AG40" s="259"/>
      <c r="AH40" s="222"/>
      <c r="AI40" s="257"/>
      <c r="AJ40" s="257"/>
      <c r="AK40" s="258"/>
    </row>
    <row r="41" spans="1:37" ht="13.8" x14ac:dyDescent="0.3">
      <c r="A41" s="52" t="s">
        <v>10</v>
      </c>
      <c r="B41" s="89" t="s">
        <v>28</v>
      </c>
      <c r="C41" s="89"/>
      <c r="D41" s="90" t="s">
        <v>10</v>
      </c>
      <c r="E41" s="120">
        <f>IF(B41="MAAC",$I$5*'BRA Load Pricing Results'!J58/'BRA Load Pricing Results'!$B$14,0)</f>
        <v>0</v>
      </c>
      <c r="F41" s="121">
        <f t="shared" si="22"/>
        <v>0</v>
      </c>
      <c r="G41" s="120">
        <f>IF(C41="EMAAC",$I$6*'BRA Load Pricing Results'!J58/'BRA Load Pricing Results'!$B$15,0)</f>
        <v>0</v>
      </c>
      <c r="H41" s="121">
        <f t="shared" si="17"/>
        <v>0</v>
      </c>
      <c r="I41" s="120">
        <f>IF(C41="SWMAAC",$I$7*'BRA Load Pricing Results'!J58/'BRA Load Pricing Results'!$B$16,0)</f>
        <v>0</v>
      </c>
      <c r="J41" s="121">
        <f t="shared" si="13"/>
        <v>0</v>
      </c>
      <c r="K41" s="120">
        <f>IF(D41="PS",$I$8*'BRA Load Pricing Results'!J58/'BRA Load Pricing Results'!$J$59,0)</f>
        <v>0</v>
      </c>
      <c r="L41" s="121">
        <f t="shared" si="14"/>
        <v>0</v>
      </c>
      <c r="M41" s="120">
        <f>IF(D41="DPL",$I$9*'BRA Load Pricing Results'!J58/'BRA Load Pricing Results'!$J$50,0)</f>
        <v>0</v>
      </c>
      <c r="N41" s="121">
        <f>M41*$N$21</f>
        <v>0</v>
      </c>
      <c r="O41" s="120">
        <f>IF(D41="PEPCO",$I$10*'BRA Load Pricing Results'!J58/'BRA Load Pricing Results'!$J$57,0)</f>
        <v>0</v>
      </c>
      <c r="P41" s="121">
        <f>O41*$P$21</f>
        <v>0</v>
      </c>
      <c r="Q41" s="120">
        <f>IF(D41="ATSI",$I$11*'BRA Load Pricing Results'!J58/'BRA Load Pricing Results'!$J$43,0)</f>
        <v>0</v>
      </c>
      <c r="R41" s="121">
        <f>Q41*$R$21</f>
        <v>0</v>
      </c>
      <c r="S41" s="120">
        <f>IF(D41="COMED",$I$12*'BRA Load Pricing Results'!J58/'BRA Load Pricing Results'!$J$45,0)</f>
        <v>0</v>
      </c>
      <c r="T41" s="121">
        <f t="shared" si="8"/>
        <v>0</v>
      </c>
      <c r="U41" s="120">
        <f>IF(D41="BGE",$I$13*'BRA Load Pricing Results'!J58/'BRA Load Pricing Results'!$J$44,0)</f>
        <v>0</v>
      </c>
      <c r="V41" s="121">
        <f t="shared" si="19"/>
        <v>0</v>
      </c>
      <c r="W41" s="120">
        <f>IF(D41="PL",$I$14*'BRA Load Pricing Results'!J58/'BRA Load Pricing Results'!$J$58,0)</f>
        <v>-1548.0238874675561</v>
      </c>
      <c r="X41" s="121">
        <f>W41*$X$21</f>
        <v>0</v>
      </c>
      <c r="Y41" s="120">
        <f>IF(D41="DAYTON",$I$15*'BRA Load Pricing Results'!J58/'BRA Load Pricing Results'!$J$46,0)</f>
        <v>0</v>
      </c>
      <c r="Z41" s="121">
        <f t="shared" si="9"/>
        <v>0</v>
      </c>
      <c r="AA41" s="120">
        <f>IF(D41="DEOK",$I$16*'BRA Load Pricing Results'!J58/'BRA Load Pricing Results'!$J$47,0)</f>
        <v>0</v>
      </c>
      <c r="AB41" s="121">
        <f>AA41*$AB$21</f>
        <v>0</v>
      </c>
      <c r="AC41" s="122">
        <f t="shared" si="16"/>
        <v>0</v>
      </c>
      <c r="AD41" s="31">
        <f t="shared" si="20"/>
        <v>0</v>
      </c>
      <c r="AE41" s="234">
        <f>AD41/'BRA Load Pricing Results'!J58</f>
        <v>0</v>
      </c>
      <c r="AF41" s="262">
        <f t="shared" si="21"/>
        <v>0</v>
      </c>
      <c r="AG41" s="259"/>
      <c r="AH41" s="222"/>
      <c r="AI41" s="257"/>
      <c r="AJ41" s="257"/>
      <c r="AK41" s="258"/>
    </row>
    <row r="42" spans="1:37" ht="13.8" x14ac:dyDescent="0.3">
      <c r="A42" s="52" t="s">
        <v>8</v>
      </c>
      <c r="B42" s="89" t="s">
        <v>28</v>
      </c>
      <c r="C42" s="89" t="s">
        <v>33</v>
      </c>
      <c r="D42" s="90" t="s">
        <v>8</v>
      </c>
      <c r="E42" s="120">
        <f>IF(B42="MAAC",$I$5*'BRA Load Pricing Results'!J59/'BRA Load Pricing Results'!$B$14,0)</f>
        <v>0</v>
      </c>
      <c r="F42" s="121">
        <f t="shared" si="22"/>
        <v>0</v>
      </c>
      <c r="G42" s="120">
        <f>IF(C42="EMAAC",$I$6*'BRA Load Pricing Results'!J59/'BRA Load Pricing Results'!$B$15,0)</f>
        <v>1569.0100897789785</v>
      </c>
      <c r="H42" s="121">
        <f>G42*$H$21</f>
        <v>3247.8508858424852</v>
      </c>
      <c r="I42" s="120">
        <f>IF(C42="SWMAAC",$I$7*'BRA Load Pricing Results'!J59/'BRA Load Pricing Results'!$B$16,0)</f>
        <v>0</v>
      </c>
      <c r="J42" s="121">
        <f t="shared" si="13"/>
        <v>0</v>
      </c>
      <c r="K42" s="120">
        <f>IF(D42="PS",$I$8*'BRA Load Pricing Results'!J59/'BRA Load Pricing Results'!$J$59,0)</f>
        <v>6760.192779628982</v>
      </c>
      <c r="L42" s="348">
        <f>K42*$L$21</f>
        <v>0</v>
      </c>
      <c r="M42" s="120">
        <f>IF(D42="DPL",$I$9*'BRA Load Pricing Results'!J59/'BRA Load Pricing Results'!$J$50,0)</f>
        <v>0</v>
      </c>
      <c r="N42" s="121">
        <f>M42*$N$21</f>
        <v>0</v>
      </c>
      <c r="O42" s="120">
        <f>IF(D42="PEPCO",$I$10*'BRA Load Pricing Results'!J59/'BRA Load Pricing Results'!$J$57,0)</f>
        <v>0</v>
      </c>
      <c r="P42" s="121">
        <f>O42*$P$21</f>
        <v>0</v>
      </c>
      <c r="Q42" s="120">
        <f>IF(D42="ATSI",$I$11*'BRA Load Pricing Results'!J59/'BRA Load Pricing Results'!$J$43,0)</f>
        <v>0</v>
      </c>
      <c r="R42" s="121">
        <f t="shared" si="7"/>
        <v>0</v>
      </c>
      <c r="S42" s="120">
        <f>IF(D42="COMED",$I$12*'BRA Load Pricing Results'!J59/'BRA Load Pricing Results'!$J$45,0)</f>
        <v>0</v>
      </c>
      <c r="T42" s="121">
        <f t="shared" si="8"/>
        <v>0</v>
      </c>
      <c r="U42" s="120">
        <f>IF(D42="BGE",$I$13*'BRA Load Pricing Results'!J59/'BRA Load Pricing Results'!$J$44,0)</f>
        <v>0</v>
      </c>
      <c r="V42" s="121">
        <f t="shared" si="19"/>
        <v>0</v>
      </c>
      <c r="W42" s="120">
        <f>IF(D42="PL",$I$14*'BRA Load Pricing Results'!J59/'BRA Load Pricing Results'!$J$58,0)</f>
        <v>0</v>
      </c>
      <c r="X42" s="121">
        <f>W42*$X$21</f>
        <v>0</v>
      </c>
      <c r="Y42" s="120">
        <f>IF(D42="DAYTON",$I$15*'BRA Load Pricing Results'!J59/'BRA Load Pricing Results'!$J$46,0)</f>
        <v>0</v>
      </c>
      <c r="Z42" s="121">
        <f t="shared" si="9"/>
        <v>0</v>
      </c>
      <c r="AA42" s="120">
        <f>IF(D42="DEOK",$I$16*'BRA Load Pricing Results'!J59/'BRA Load Pricing Results'!$J$47,0)</f>
        <v>0</v>
      </c>
      <c r="AB42" s="121">
        <f>AA42*$AB$21</f>
        <v>0</v>
      </c>
      <c r="AC42" s="122">
        <f t="shared" si="16"/>
        <v>6760.192779628982</v>
      </c>
      <c r="AD42" s="31">
        <f t="shared" si="20"/>
        <v>3247.8508858424852</v>
      </c>
      <c r="AE42" s="234">
        <f>AD42/'BRA Load Pricing Results'!J59</f>
        <v>0.29007234098193302</v>
      </c>
      <c r="AF42" s="262">
        <f t="shared" si="21"/>
        <v>0.48043761349964581</v>
      </c>
      <c r="AG42" s="259"/>
      <c r="AH42" s="222"/>
      <c r="AI42" s="257"/>
      <c r="AJ42" s="257"/>
      <c r="AK42" s="258"/>
    </row>
    <row r="43" spans="1:37" ht="14.4" thickBot="1" x14ac:dyDescent="0.35">
      <c r="A43" s="124" t="s">
        <v>18</v>
      </c>
      <c r="B43" s="93" t="s">
        <v>28</v>
      </c>
      <c r="C43" s="93" t="s">
        <v>33</v>
      </c>
      <c r="D43" s="94"/>
      <c r="E43" s="125">
        <f>IF(B43="MAAC",$I$5*'BRA Load Pricing Results'!J60/'BRA Load Pricing Results'!$B$14,0)</f>
        <v>0</v>
      </c>
      <c r="F43" s="126">
        <f t="shared" si="22"/>
        <v>0</v>
      </c>
      <c r="G43" s="125">
        <f>IF(C43="EMAAC",$I$6*'BRA Load Pricing Results'!J60/'BRA Load Pricing Results'!$B$15,0)</f>
        <v>62.387740819331668</v>
      </c>
      <c r="H43" s="126">
        <f>G43*$H$21</f>
        <v>129.14262349601654</v>
      </c>
      <c r="I43" s="125">
        <f>IF(C43="SWMAAC",$I$7*'BRA Load Pricing Results'!J60/'BRA Load Pricing Results'!$B$16,0)</f>
        <v>0</v>
      </c>
      <c r="J43" s="126">
        <f t="shared" si="13"/>
        <v>0</v>
      </c>
      <c r="K43" s="125">
        <f>IF(D43="PS",$I$8*'BRA Load Pricing Results'!J60/'BRA Load Pricing Results'!$J$59,0)</f>
        <v>0</v>
      </c>
      <c r="L43" s="126">
        <f t="shared" si="14"/>
        <v>0</v>
      </c>
      <c r="M43" s="125">
        <f>IF(D43="DPL",$I$9*'BRA Load Pricing Results'!J60/'BRA Load Pricing Results'!$J$50,0)</f>
        <v>0</v>
      </c>
      <c r="N43" s="126">
        <f>M43*$N$21</f>
        <v>0</v>
      </c>
      <c r="O43" s="125">
        <f>IF(D43="PEPCO",$I$10*'BRA Load Pricing Results'!J60/'BRA Load Pricing Results'!$J$57,0)</f>
        <v>0</v>
      </c>
      <c r="P43" s="126">
        <f>O43*$P$21</f>
        <v>0</v>
      </c>
      <c r="Q43" s="125">
        <f>IF(D43="ATSI",$I$11*'BRA Load Pricing Results'!J60/'BRA Load Pricing Results'!$J$43,0)</f>
        <v>0</v>
      </c>
      <c r="R43" s="126">
        <f t="shared" si="7"/>
        <v>0</v>
      </c>
      <c r="S43" s="120">
        <f>IF(D43="COMED",$I$12*'BRA Load Pricing Results'!J60/'BRA Load Pricing Results'!$J$45,0)</f>
        <v>0</v>
      </c>
      <c r="T43" s="121">
        <f t="shared" si="8"/>
        <v>0</v>
      </c>
      <c r="U43" s="120">
        <f>IF(D43="BGE",$I$13*'BRA Load Pricing Results'!J60/'BRA Load Pricing Results'!$J$44,0)</f>
        <v>0</v>
      </c>
      <c r="V43" s="121">
        <f t="shared" si="19"/>
        <v>0</v>
      </c>
      <c r="W43" s="120">
        <f>IF(D43="PL",$I$14*'BRA Load Pricing Results'!J60/'BRA Load Pricing Results'!$J$58,0)</f>
        <v>0</v>
      </c>
      <c r="X43" s="121">
        <f>W43*$X$21</f>
        <v>0</v>
      </c>
      <c r="Y43" s="120">
        <f>IF(D43="DAYTON",$I$15*'BRA Load Pricing Results'!J60/'BRA Load Pricing Results'!$J$46,0)</f>
        <v>0</v>
      </c>
      <c r="Z43" s="121">
        <f>Y43*$Z$21</f>
        <v>0</v>
      </c>
      <c r="AA43" s="120">
        <f>IF(D43="DEOK",$I$16*'BRA Load Pricing Results'!J60/'BRA Load Pricing Results'!$J$58,0)</f>
        <v>0</v>
      </c>
      <c r="AB43" s="121">
        <f>AA43*$AB$21</f>
        <v>0</v>
      </c>
      <c r="AC43" s="122">
        <f>MAX(E43,G43,I43,K43,M43,O43,Q43+S43+U43+W43+Y43+AA43)</f>
        <v>62.387740819331668</v>
      </c>
      <c r="AD43" s="31">
        <f>F43+H43+J43+L43+N43+P43+R43+T43+V43+X43+Z43+AB43</f>
        <v>129.14262349601654</v>
      </c>
      <c r="AE43" s="263">
        <f>AD43/'BRA Load Pricing Results'!J60</f>
        <v>0.29007234098193296</v>
      </c>
      <c r="AF43" s="264">
        <f t="shared" si="21"/>
        <v>2.0699999999999998</v>
      </c>
      <c r="AG43" s="259"/>
      <c r="AH43" s="222"/>
      <c r="AI43" s="257"/>
      <c r="AJ43" s="257"/>
      <c r="AK43" s="258"/>
    </row>
    <row r="44" spans="1:37" ht="14.4" thickBot="1" x14ac:dyDescent="0.35">
      <c r="A44" s="393" t="s">
        <v>64</v>
      </c>
      <c r="B44" s="394"/>
      <c r="C44" s="394"/>
      <c r="D44" s="395"/>
      <c r="E44" s="127">
        <f>SUM(E23:E43)</f>
        <v>0</v>
      </c>
      <c r="F44" s="128">
        <f>SUM(F23:F43)</f>
        <v>0</v>
      </c>
      <c r="G44" s="127">
        <f>SUM(G23:G43)</f>
        <v>4946.7655613920224</v>
      </c>
      <c r="H44" s="128">
        <f t="shared" ref="H44:L44" si="38">SUM(H23:H43)</f>
        <v>10239.804712081483</v>
      </c>
      <c r="I44" s="127">
        <f t="shared" si="38"/>
        <v>5532.4894468103248</v>
      </c>
      <c r="J44" s="128">
        <f t="shared" si="38"/>
        <v>0</v>
      </c>
      <c r="K44" s="127">
        <f>SUM(K23:K43)</f>
        <v>6760.192779628982</v>
      </c>
      <c r="L44" s="128">
        <f t="shared" si="38"/>
        <v>0</v>
      </c>
      <c r="M44" s="127">
        <f t="shared" ref="M44:R44" si="39">SUM(M23:M43)</f>
        <v>-669.3738881565323</v>
      </c>
      <c r="N44" s="128">
        <f t="shared" si="39"/>
        <v>0</v>
      </c>
      <c r="O44" s="127">
        <f t="shared" si="39"/>
        <v>2989.7077788852448</v>
      </c>
      <c r="P44" s="128">
        <f t="shared" si="39"/>
        <v>0</v>
      </c>
      <c r="Q44" s="127">
        <f t="shared" si="39"/>
        <v>3728.8855579153478</v>
      </c>
      <c r="R44" s="128">
        <f t="shared" si="39"/>
        <v>0</v>
      </c>
      <c r="S44" s="127">
        <f t="shared" ref="S44:V44" si="40">SUM(S23:S43)</f>
        <v>2367.1950037929018</v>
      </c>
      <c r="T44" s="128">
        <f>SUM(T23:T43)</f>
        <v>44882.017271913421</v>
      </c>
      <c r="U44" s="127">
        <f t="shared" si="40"/>
        <v>4745.0816679250802</v>
      </c>
      <c r="V44" s="128">
        <f t="shared" si="40"/>
        <v>145721.45802197923</v>
      </c>
      <c r="W44" s="127">
        <f>SUM(W23:W43)</f>
        <v>-1548.0238874675561</v>
      </c>
      <c r="X44" s="128">
        <f>SUM(X23:X43)</f>
        <v>0</v>
      </c>
      <c r="Y44" s="127">
        <f t="shared" ref="Y44:Z44" si="41">SUM(Y23:Y43)</f>
        <v>2687.3905562070404</v>
      </c>
      <c r="Z44" s="128">
        <f t="shared" si="41"/>
        <v>0</v>
      </c>
      <c r="AA44" s="127">
        <f>SUM(AA23:AA43)</f>
        <v>3034.8096237726622</v>
      </c>
      <c r="AB44" s="128">
        <f t="shared" ref="AB44" si="42">SUM(AB23:AB43)</f>
        <v>65825.02073962905</v>
      </c>
      <c r="AC44" s="129"/>
      <c r="AD44" s="130">
        <f>SUM(AD23:AD43)</f>
        <v>266668.3007456031</v>
      </c>
      <c r="AE44" s="131"/>
      <c r="AF44" s="132"/>
      <c r="AG44" s="13"/>
    </row>
    <row r="45" spans="1:37" ht="13.8" x14ac:dyDescent="0.3">
      <c r="A45" s="23" t="s">
        <v>65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37" ht="13.8" x14ac:dyDescent="0.3">
      <c r="A46" s="23" t="s">
        <v>66</v>
      </c>
      <c r="B46" s="21"/>
      <c r="C46" s="21"/>
      <c r="D46" s="21"/>
      <c r="E46" s="21"/>
      <c r="F46" s="21"/>
      <c r="G46" s="21"/>
      <c r="H46" s="21"/>
      <c r="I46" s="21"/>
      <c r="J46" s="21"/>
      <c r="K46" s="51"/>
      <c r="L46" s="21"/>
      <c r="M46" s="21"/>
      <c r="N46" s="21"/>
      <c r="O46" s="21"/>
      <c r="P46" s="21"/>
      <c r="Q46" s="21"/>
      <c r="R46" s="21"/>
      <c r="S46" s="21"/>
      <c r="T46" s="21"/>
      <c r="U46" s="21"/>
      <c r="V46" s="21"/>
      <c r="W46" s="21"/>
      <c r="X46" s="21"/>
      <c r="Y46" s="21"/>
      <c r="Z46" s="21"/>
      <c r="AA46" s="21"/>
      <c r="AB46" s="21"/>
    </row>
    <row r="47" spans="1:37" ht="13.8" x14ac:dyDescent="0.3">
      <c r="A47" s="23" t="s">
        <v>116</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ht="13.8" x14ac:dyDescent="0.3">
      <c r="A48" s="23" t="s">
        <v>67</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13.8" x14ac:dyDescent="0.3">
      <c r="A49" s="23" t="s">
        <v>68</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13.8" x14ac:dyDescent="0.3">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13.8" x14ac:dyDescent="0.3">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sheetData>
  <mergeCells count="14">
    <mergeCell ref="A19:D21"/>
    <mergeCell ref="A44:D44"/>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ignoredErrors>
    <ignoredError sqref="D7:E7 D9:E10 E8 D12:E16 E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7"/>
  <sheetViews>
    <sheetView zoomScale="90" zoomScaleNormal="90" workbookViewId="0"/>
  </sheetViews>
  <sheetFormatPr defaultRowHeight="13.2" x14ac:dyDescent="0.25"/>
  <cols>
    <col min="1" max="1" width="55.6640625" customWidth="1"/>
    <col min="2" max="2" width="15.6640625" customWidth="1"/>
    <col min="3" max="3" width="15" customWidth="1"/>
    <col min="4" max="4" width="14.6640625" customWidth="1"/>
    <col min="5" max="7" width="15.6640625" customWidth="1"/>
    <col min="8" max="8" width="14.88671875" customWidth="1"/>
    <col min="9" max="17" width="15.6640625" customWidth="1"/>
    <col min="18" max="18" width="14.88671875" customWidth="1"/>
    <col min="19" max="21" width="15.6640625" customWidth="1"/>
    <col min="22" max="22" width="14.88671875" customWidth="1"/>
    <col min="23" max="25" width="15.6640625" customWidth="1"/>
    <col min="26" max="26" width="14" customWidth="1"/>
    <col min="27" max="28" width="15.6640625" customWidth="1"/>
    <col min="29" max="29" width="19.44140625" customWidth="1"/>
    <col min="30" max="30" width="15.6640625" customWidth="1"/>
    <col min="31" max="31" width="19.44140625" customWidth="1"/>
    <col min="32" max="32" width="15.6640625" customWidth="1"/>
    <col min="33" max="33" width="19.44140625" customWidth="1"/>
    <col min="34" max="34" width="15.6640625" customWidth="1"/>
    <col min="35" max="35" width="8.6640625" customWidth="1"/>
    <col min="36" max="36" width="18.6640625" customWidth="1"/>
  </cols>
  <sheetData>
    <row r="1" spans="1:23" ht="18" x14ac:dyDescent="0.35">
      <c r="A1" s="99" t="s">
        <v>192</v>
      </c>
      <c r="B1" s="11" t="s">
        <v>24</v>
      </c>
    </row>
    <row r="2" spans="1:23" ht="18" thickBot="1" x14ac:dyDescent="0.35">
      <c r="A2" s="3"/>
      <c r="C2" s="11"/>
      <c r="E2" s="319" t="s">
        <v>24</v>
      </c>
      <c r="F2" s="319" t="s">
        <v>24</v>
      </c>
      <c r="G2" s="319" t="s">
        <v>24</v>
      </c>
      <c r="H2" s="304" t="s">
        <v>24</v>
      </c>
    </row>
    <row r="3" spans="1:23" ht="14.4" thickBot="1" x14ac:dyDescent="0.35">
      <c r="A3" s="400" t="s">
        <v>56</v>
      </c>
      <c r="B3" s="21"/>
      <c r="C3" s="135" t="s">
        <v>106</v>
      </c>
      <c r="D3" s="21"/>
      <c r="E3" s="21"/>
      <c r="F3" s="21"/>
      <c r="G3" s="21"/>
      <c r="H3" s="21"/>
      <c r="I3" s="135" t="s">
        <v>106</v>
      </c>
      <c r="J3" s="21"/>
      <c r="K3" s="21"/>
      <c r="L3" s="21"/>
      <c r="M3" s="21"/>
      <c r="N3" s="21"/>
      <c r="O3" s="21"/>
      <c r="P3" s="21"/>
      <c r="Q3" s="21"/>
      <c r="R3" s="21"/>
      <c r="S3" s="21"/>
      <c r="T3" s="21"/>
      <c r="U3" s="21"/>
      <c r="V3" s="21"/>
      <c r="W3" s="21"/>
    </row>
    <row r="4" spans="1:23" ht="18.75" customHeight="1" thickBot="1" x14ac:dyDescent="0.35">
      <c r="A4" s="401"/>
      <c r="B4" s="193" t="s">
        <v>28</v>
      </c>
      <c r="C4" s="193" t="s">
        <v>28</v>
      </c>
      <c r="D4" s="194" t="s">
        <v>33</v>
      </c>
      <c r="E4" s="194" t="s">
        <v>5</v>
      </c>
      <c r="F4" s="194" t="s">
        <v>8</v>
      </c>
      <c r="G4" s="194" t="s">
        <v>34</v>
      </c>
      <c r="H4" s="194" t="s">
        <v>35</v>
      </c>
      <c r="I4" s="194" t="s">
        <v>35</v>
      </c>
      <c r="J4" s="194" t="s">
        <v>15</v>
      </c>
      <c r="K4" s="194" t="s">
        <v>11</v>
      </c>
      <c r="L4" s="194" t="s">
        <v>50</v>
      </c>
      <c r="M4" s="194" t="s">
        <v>20</v>
      </c>
      <c r="N4" s="140"/>
      <c r="O4" s="140"/>
      <c r="P4" s="140"/>
      <c r="Q4" s="21"/>
      <c r="R4" s="21"/>
      <c r="S4" s="21"/>
      <c r="T4" s="21"/>
      <c r="U4" s="21"/>
      <c r="V4" s="21"/>
      <c r="W4" s="21"/>
    </row>
    <row r="5" spans="1:23" ht="28.2" thickBot="1" x14ac:dyDescent="0.35">
      <c r="A5" s="254" t="s">
        <v>86</v>
      </c>
      <c r="B5" s="281" t="s">
        <v>89</v>
      </c>
      <c r="C5" s="281" t="s">
        <v>107</v>
      </c>
      <c r="D5" s="282" t="s">
        <v>108</v>
      </c>
      <c r="E5" s="282" t="s">
        <v>108</v>
      </c>
      <c r="F5" s="282" t="s">
        <v>108</v>
      </c>
      <c r="G5" s="282" t="s">
        <v>108</v>
      </c>
      <c r="H5" s="282" t="s">
        <v>89</v>
      </c>
      <c r="I5" s="282" t="s">
        <v>107</v>
      </c>
      <c r="J5" s="282" t="s">
        <v>108</v>
      </c>
      <c r="K5" s="282" t="s">
        <v>108</v>
      </c>
      <c r="L5" s="282" t="s">
        <v>108</v>
      </c>
      <c r="M5" s="282" t="s">
        <v>108</v>
      </c>
      <c r="N5" s="140"/>
      <c r="O5" s="140"/>
      <c r="P5" s="140"/>
      <c r="Q5" s="32"/>
      <c r="R5" s="21"/>
      <c r="S5" s="21"/>
      <c r="T5" s="21"/>
      <c r="U5" s="21"/>
      <c r="V5" s="21"/>
      <c r="W5" s="21"/>
    </row>
    <row r="6" spans="1:23" ht="20.100000000000001" customHeight="1" x14ac:dyDescent="0.3">
      <c r="A6" s="195" t="s">
        <v>121</v>
      </c>
      <c r="B6" s="284"/>
      <c r="C6" s="284"/>
      <c r="D6" s="285"/>
      <c r="E6" s="285"/>
      <c r="F6" s="285"/>
      <c r="G6" s="285"/>
      <c r="H6" s="285"/>
      <c r="I6" s="285"/>
      <c r="J6" s="285"/>
      <c r="K6" s="285"/>
      <c r="L6" s="285"/>
      <c r="M6" s="285"/>
      <c r="N6" s="140"/>
      <c r="O6" s="140"/>
      <c r="P6" s="140"/>
      <c r="Q6" s="32"/>
      <c r="R6" s="21"/>
      <c r="S6" s="21"/>
      <c r="T6" s="21"/>
      <c r="U6" s="21"/>
      <c r="V6" s="21"/>
      <c r="W6" s="21"/>
    </row>
    <row r="7" spans="1:23" ht="20.100000000000001" customHeight="1" x14ac:dyDescent="0.3">
      <c r="A7" s="196" t="s">
        <v>80</v>
      </c>
      <c r="B7" s="180">
        <v>160</v>
      </c>
      <c r="C7" s="181">
        <f>'BRA CTRs'!$F$5*'BRA ICTRs'!B7/'BRA ICTRs'!$B$46</f>
        <v>27.752816049413237</v>
      </c>
      <c r="D7" s="181">
        <v>0</v>
      </c>
      <c r="E7" s="181">
        <v>0</v>
      </c>
      <c r="F7" s="181">
        <v>0</v>
      </c>
      <c r="G7" s="181">
        <v>0</v>
      </c>
      <c r="H7" s="181">
        <v>0</v>
      </c>
      <c r="I7" s="181">
        <v>0</v>
      </c>
      <c r="J7" s="181">
        <v>0</v>
      </c>
      <c r="K7" s="181">
        <v>0</v>
      </c>
      <c r="L7" s="181">
        <v>0</v>
      </c>
      <c r="M7" s="181">
        <v>0</v>
      </c>
      <c r="N7" s="38"/>
      <c r="O7" s="38"/>
      <c r="P7" s="38"/>
      <c r="Q7" s="32"/>
      <c r="R7" s="21"/>
      <c r="S7" s="21"/>
      <c r="T7" s="21"/>
      <c r="U7" s="21"/>
      <c r="V7" s="21"/>
      <c r="W7" s="21"/>
    </row>
    <row r="8" spans="1:23" ht="20.100000000000001" customHeight="1" x14ac:dyDescent="0.3">
      <c r="A8" s="196" t="s">
        <v>81</v>
      </c>
      <c r="B8" s="180">
        <v>106</v>
      </c>
      <c r="C8" s="181">
        <f>'BRA CTRs'!$F$5*'BRA ICTRs'!B8/'BRA ICTRs'!$B$46</f>
        <v>18.386240632736268</v>
      </c>
      <c r="D8" s="181">
        <v>0</v>
      </c>
      <c r="E8" s="181">
        <v>0</v>
      </c>
      <c r="F8" s="181">
        <v>0</v>
      </c>
      <c r="G8" s="181">
        <v>0</v>
      </c>
      <c r="H8" s="181">
        <v>0</v>
      </c>
      <c r="I8" s="181">
        <v>0</v>
      </c>
      <c r="J8" s="181">
        <v>0</v>
      </c>
      <c r="K8" s="181">
        <v>0</v>
      </c>
      <c r="L8" s="181">
        <v>0</v>
      </c>
      <c r="M8" s="181">
        <v>0</v>
      </c>
      <c r="N8" s="38"/>
      <c r="O8" s="38"/>
      <c r="P8" s="38"/>
      <c r="Q8" s="32"/>
      <c r="R8" s="21"/>
      <c r="S8" s="21"/>
      <c r="T8" s="21"/>
      <c r="U8" s="21"/>
      <c r="V8" s="21"/>
      <c r="W8" s="21"/>
    </row>
    <row r="9" spans="1:23" ht="20.100000000000001" customHeight="1" x14ac:dyDescent="0.3">
      <c r="A9" s="196" t="s">
        <v>84</v>
      </c>
      <c r="B9" s="180">
        <v>117</v>
      </c>
      <c r="C9" s="181">
        <f>'BRA CTRs'!$F$5*'BRA ICTRs'!B9/'BRA ICTRs'!$B$46</f>
        <v>20.294246736133431</v>
      </c>
      <c r="D9" s="181">
        <v>0</v>
      </c>
      <c r="E9" s="181">
        <v>0</v>
      </c>
      <c r="F9" s="181">
        <v>0</v>
      </c>
      <c r="G9" s="181">
        <v>0</v>
      </c>
      <c r="H9" s="181">
        <v>0</v>
      </c>
      <c r="I9" s="181">
        <v>0</v>
      </c>
      <c r="J9" s="181">
        <v>0</v>
      </c>
      <c r="K9" s="181">
        <v>0</v>
      </c>
      <c r="L9" s="181">
        <v>0</v>
      </c>
      <c r="M9" s="181">
        <v>0</v>
      </c>
      <c r="N9" s="38"/>
      <c r="O9" s="38"/>
      <c r="P9" s="38"/>
      <c r="Q9" s="32"/>
      <c r="R9" s="21"/>
      <c r="S9" s="21"/>
      <c r="T9" s="21"/>
      <c r="U9" s="21"/>
      <c r="V9" s="21"/>
      <c r="W9" s="21"/>
    </row>
    <row r="10" spans="1:23" ht="24.9" customHeight="1" x14ac:dyDescent="0.3">
      <c r="A10" s="196" t="s">
        <v>85</v>
      </c>
      <c r="B10" s="180">
        <v>0</v>
      </c>
      <c r="C10" s="181">
        <f>'BRA CTRs'!$F$5*'BRA ICTRs'!B10/'BRA ICTRs'!$B$46</f>
        <v>0</v>
      </c>
      <c r="D10" s="181">
        <v>898</v>
      </c>
      <c r="E10" s="181">
        <v>0</v>
      </c>
      <c r="F10" s="181">
        <v>68.900000000000006</v>
      </c>
      <c r="G10" s="181">
        <v>105.5</v>
      </c>
      <c r="H10" s="181">
        <v>0</v>
      </c>
      <c r="I10" s="181">
        <v>0</v>
      </c>
      <c r="J10" s="181">
        <v>0</v>
      </c>
      <c r="K10" s="181">
        <v>0</v>
      </c>
      <c r="L10" s="181">
        <v>0</v>
      </c>
      <c r="M10" s="181">
        <v>0</v>
      </c>
      <c r="N10" s="38"/>
      <c r="O10" s="38"/>
      <c r="P10" s="38"/>
      <c r="Q10" s="32"/>
      <c r="R10" s="21"/>
      <c r="S10" s="21"/>
      <c r="T10" s="21"/>
      <c r="U10" s="21"/>
      <c r="V10" s="21"/>
      <c r="W10" s="21"/>
    </row>
    <row r="11" spans="1:23" ht="20.100000000000001" customHeight="1" x14ac:dyDescent="0.3">
      <c r="A11" s="196" t="s">
        <v>103</v>
      </c>
      <c r="B11" s="180">
        <v>339</v>
      </c>
      <c r="C11" s="181">
        <f>'BRA CTRs'!$F$5*'BRA ICTRs'!B11/'BRA ICTRs'!$B$46</f>
        <v>58.801279004694301</v>
      </c>
      <c r="D11" s="181">
        <v>0</v>
      </c>
      <c r="E11" s="181">
        <v>0</v>
      </c>
      <c r="F11" s="181">
        <v>0</v>
      </c>
      <c r="G11" s="181">
        <v>0</v>
      </c>
      <c r="H11" s="181">
        <v>0</v>
      </c>
      <c r="I11" s="181">
        <v>0</v>
      </c>
      <c r="J11" s="181">
        <v>0</v>
      </c>
      <c r="K11" s="181">
        <v>0</v>
      </c>
      <c r="L11" s="181">
        <v>0</v>
      </c>
      <c r="M11" s="181">
        <v>0</v>
      </c>
      <c r="N11" s="38"/>
      <c r="O11" s="38"/>
      <c r="P11" s="38"/>
      <c r="Q11" s="32"/>
      <c r="R11" s="21"/>
      <c r="S11" s="21"/>
      <c r="T11" s="21"/>
      <c r="U11" s="21"/>
      <c r="V11" s="21"/>
      <c r="W11" s="21"/>
    </row>
    <row r="12" spans="1:23" ht="24.9" customHeight="1" x14ac:dyDescent="0.3">
      <c r="A12" s="196" t="s">
        <v>122</v>
      </c>
      <c r="B12" s="180">
        <v>0</v>
      </c>
      <c r="C12" s="181">
        <f>'BRA CTRs'!$F$5*'BRA ICTRs'!B12/'BRA ICTRs'!$B$46</f>
        <v>0</v>
      </c>
      <c r="D12" s="181">
        <v>0</v>
      </c>
      <c r="E12" s="181">
        <v>256</v>
      </c>
      <c r="F12" s="181">
        <v>0</v>
      </c>
      <c r="G12" s="181">
        <v>0</v>
      </c>
      <c r="H12" s="181">
        <v>0</v>
      </c>
      <c r="I12" s="181">
        <v>0</v>
      </c>
      <c r="J12" s="181">
        <v>0</v>
      </c>
      <c r="K12" s="181">
        <v>0</v>
      </c>
      <c r="L12" s="181">
        <v>0</v>
      </c>
      <c r="M12" s="181">
        <v>0</v>
      </c>
      <c r="N12" s="38"/>
      <c r="O12" s="38"/>
      <c r="P12" s="38"/>
      <c r="Q12" s="32"/>
      <c r="R12" s="21"/>
      <c r="S12" s="21"/>
      <c r="T12" s="21"/>
      <c r="U12" s="21"/>
      <c r="V12" s="21"/>
      <c r="W12" s="21"/>
    </row>
    <row r="13" spans="1:23" ht="20.100000000000001" customHeight="1" thickBot="1" x14ac:dyDescent="0.35">
      <c r="A13" s="269" t="s">
        <v>161</v>
      </c>
      <c r="B13" s="270">
        <f>SUM(B7:B12)</f>
        <v>722</v>
      </c>
      <c r="C13" s="270">
        <f>SUM(C7:C12)</f>
        <v>125.23458242297724</v>
      </c>
      <c r="D13" s="286">
        <f>SUM(D7:D12)</f>
        <v>898</v>
      </c>
      <c r="E13" s="286">
        <f t="shared" ref="E13:H13" si="0">SUM(E7:E12)</f>
        <v>256</v>
      </c>
      <c r="F13" s="286">
        <f t="shared" si="0"/>
        <v>68.900000000000006</v>
      </c>
      <c r="G13" s="286">
        <f t="shared" si="0"/>
        <v>105.5</v>
      </c>
      <c r="H13" s="286">
        <f t="shared" si="0"/>
        <v>0</v>
      </c>
      <c r="I13" s="286">
        <f>SUM(I7:I12)</f>
        <v>0</v>
      </c>
      <c r="J13" s="286">
        <f>SUM(J7:J12)</f>
        <v>0</v>
      </c>
      <c r="K13" s="286">
        <f>SUM(K7:K12)</f>
        <v>0</v>
      </c>
      <c r="L13" s="286">
        <f>SUM(L7:L12)</f>
        <v>0</v>
      </c>
      <c r="M13" s="286">
        <f>SUM(M7:M12)</f>
        <v>0</v>
      </c>
      <c r="N13" s="38"/>
      <c r="O13" s="38"/>
      <c r="P13" s="38"/>
      <c r="Q13" s="32"/>
      <c r="R13" s="21"/>
      <c r="S13" s="21"/>
      <c r="T13" s="21"/>
      <c r="U13" s="21"/>
      <c r="V13" s="21"/>
      <c r="W13" s="21"/>
    </row>
    <row r="14" spans="1:23" ht="20.100000000000001" customHeight="1" x14ac:dyDescent="0.3">
      <c r="A14" s="195" t="s">
        <v>118</v>
      </c>
      <c r="B14" s="287" t="s">
        <v>24</v>
      </c>
      <c r="C14" s="287" t="s">
        <v>24</v>
      </c>
      <c r="D14" s="288"/>
      <c r="E14" s="288"/>
      <c r="F14" s="288"/>
      <c r="G14" s="288"/>
      <c r="H14" s="288"/>
      <c r="I14" s="288"/>
      <c r="J14" s="288"/>
      <c r="K14" s="288"/>
      <c r="L14" s="288"/>
      <c r="M14" s="288"/>
      <c r="N14" s="60"/>
      <c r="O14" s="60"/>
      <c r="P14" s="141"/>
      <c r="Q14" s="32"/>
      <c r="R14" s="21"/>
      <c r="S14" s="21"/>
      <c r="T14" s="21"/>
      <c r="U14" s="21"/>
      <c r="V14" s="21"/>
      <c r="W14" s="21"/>
    </row>
    <row r="15" spans="1:23" ht="24.9" customHeight="1" x14ac:dyDescent="0.3">
      <c r="A15" s="196" t="s">
        <v>130</v>
      </c>
      <c r="B15" s="180">
        <v>16</v>
      </c>
      <c r="C15" s="181">
        <f>'BRA CTRs'!$F$5*'BRA ICTRs'!B15/'BRA ICTRs'!$B$46</f>
        <v>2.7752816049413234</v>
      </c>
      <c r="D15" s="181">
        <v>0</v>
      </c>
      <c r="E15" s="181">
        <v>237</v>
      </c>
      <c r="F15" s="181">
        <v>0</v>
      </c>
      <c r="G15" s="181">
        <v>0</v>
      </c>
      <c r="H15" s="181">
        <v>0</v>
      </c>
      <c r="I15" s="181">
        <v>0</v>
      </c>
      <c r="J15" s="181">
        <v>0</v>
      </c>
      <c r="K15" s="181">
        <v>124</v>
      </c>
      <c r="L15" s="181">
        <v>0</v>
      </c>
      <c r="M15" s="181">
        <v>0</v>
      </c>
      <c r="N15" s="60"/>
      <c r="O15" s="60"/>
      <c r="P15" s="141"/>
      <c r="Q15" s="32"/>
      <c r="R15" s="21"/>
      <c r="S15" s="21"/>
      <c r="T15" s="21"/>
      <c r="U15" s="21"/>
      <c r="V15" s="21"/>
      <c r="W15" s="21"/>
    </row>
    <row r="16" spans="1:23" ht="24.9" customHeight="1" x14ac:dyDescent="0.3">
      <c r="A16" s="196" t="s">
        <v>98</v>
      </c>
      <c r="B16" s="180">
        <v>0</v>
      </c>
      <c r="C16" s="181">
        <f>'BRA CTRs'!$F$5*'BRA ICTRs'!B16/'BRA ICTRs'!$B$46</f>
        <v>0</v>
      </c>
      <c r="D16" s="181">
        <v>0</v>
      </c>
      <c r="E16" s="181">
        <v>0</v>
      </c>
      <c r="F16" s="181">
        <v>340.2</v>
      </c>
      <c r="G16" s="181">
        <v>494.5</v>
      </c>
      <c r="H16" s="181">
        <v>0</v>
      </c>
      <c r="I16" s="181">
        <v>0</v>
      </c>
      <c r="J16" s="181">
        <v>0</v>
      </c>
      <c r="K16" s="181">
        <v>0</v>
      </c>
      <c r="L16" s="181">
        <v>0</v>
      </c>
      <c r="M16" s="181">
        <v>0</v>
      </c>
      <c r="N16" s="60"/>
      <c r="O16" s="60"/>
      <c r="P16" s="141"/>
      <c r="Q16" s="32"/>
      <c r="R16" s="21"/>
      <c r="S16" s="21"/>
      <c r="T16" s="21"/>
      <c r="U16" s="21"/>
      <c r="V16" s="21"/>
      <c r="W16" s="21"/>
    </row>
    <row r="17" spans="1:23" ht="24.9" customHeight="1" x14ac:dyDescent="0.3">
      <c r="A17" s="196" t="s">
        <v>82</v>
      </c>
      <c r="B17" s="180">
        <v>0</v>
      </c>
      <c r="C17" s="181">
        <f>'BRA CTRs'!$F$5*'BRA ICTRs'!B17/'BRA ICTRs'!$B$46</f>
        <v>0</v>
      </c>
      <c r="D17" s="181">
        <v>0</v>
      </c>
      <c r="E17" s="181">
        <v>0</v>
      </c>
      <c r="F17" s="181">
        <v>90.3</v>
      </c>
      <c r="G17" s="181">
        <v>0</v>
      </c>
      <c r="H17" s="181">
        <v>0</v>
      </c>
      <c r="I17" s="181">
        <v>0</v>
      </c>
      <c r="J17" s="181">
        <v>0</v>
      </c>
      <c r="K17" s="181">
        <v>0</v>
      </c>
      <c r="L17" s="181">
        <v>0</v>
      </c>
      <c r="M17" s="181">
        <v>0</v>
      </c>
      <c r="N17" s="60"/>
      <c r="O17" s="60"/>
      <c r="P17" s="141"/>
      <c r="Q17" s="32"/>
      <c r="R17" s="21"/>
      <c r="S17" s="21"/>
      <c r="T17" s="21"/>
      <c r="U17" s="21"/>
      <c r="V17" s="21"/>
      <c r="W17" s="21"/>
    </row>
    <row r="18" spans="1:23" ht="24.9" customHeight="1" x14ac:dyDescent="0.3">
      <c r="A18" s="196" t="s">
        <v>132</v>
      </c>
      <c r="B18" s="180">
        <v>0</v>
      </c>
      <c r="C18" s="181">
        <f>'BRA CTRs'!$F$5*'BRA ICTRs'!B18/'BRA ICTRs'!$B$46</f>
        <v>0</v>
      </c>
      <c r="D18" s="181">
        <v>0</v>
      </c>
      <c r="E18" s="181">
        <v>0</v>
      </c>
      <c r="F18" s="181">
        <v>0</v>
      </c>
      <c r="G18" s="181">
        <v>0</v>
      </c>
      <c r="H18" s="181">
        <v>0</v>
      </c>
      <c r="I18" s="181">
        <v>0</v>
      </c>
      <c r="J18" s="181">
        <v>0</v>
      </c>
      <c r="K18" s="181">
        <v>182</v>
      </c>
      <c r="L18" s="181">
        <v>0</v>
      </c>
      <c r="M18" s="181">
        <v>0</v>
      </c>
      <c r="N18" s="60"/>
      <c r="O18" s="60"/>
      <c r="P18" s="141"/>
      <c r="Q18" s="32"/>
      <c r="R18" s="21"/>
      <c r="S18" s="21"/>
      <c r="T18" s="21"/>
      <c r="U18" s="21"/>
      <c r="V18" s="21"/>
      <c r="W18" s="21"/>
    </row>
    <row r="19" spans="1:23" ht="65.099999999999994" customHeight="1" x14ac:dyDescent="0.3">
      <c r="A19" s="289" t="s">
        <v>148</v>
      </c>
      <c r="B19" s="180">
        <v>0</v>
      </c>
      <c r="C19" s="181">
        <f>'BRA CTRs'!$F$5*'BRA ICTRs'!B19/'BRA ICTRs'!$B$46</f>
        <v>0</v>
      </c>
      <c r="D19" s="181">
        <v>50</v>
      </c>
      <c r="E19" s="181">
        <v>0</v>
      </c>
      <c r="F19" s="181">
        <v>0</v>
      </c>
      <c r="G19" s="181">
        <v>0</v>
      </c>
      <c r="H19" s="181">
        <v>0</v>
      </c>
      <c r="I19" s="181">
        <v>0</v>
      </c>
      <c r="J19" s="181">
        <v>175</v>
      </c>
      <c r="K19" s="181">
        <v>0</v>
      </c>
      <c r="L19" s="181">
        <v>0</v>
      </c>
      <c r="M19" s="181">
        <v>0</v>
      </c>
      <c r="N19" s="60"/>
      <c r="O19" s="60"/>
      <c r="P19" s="141"/>
      <c r="Q19" s="32"/>
      <c r="R19" s="21"/>
      <c r="S19" s="21"/>
      <c r="T19" s="21"/>
      <c r="U19" s="21"/>
      <c r="V19" s="21"/>
      <c r="W19" s="21"/>
    </row>
    <row r="20" spans="1:23" ht="41.4" x14ac:dyDescent="0.3">
      <c r="A20" s="289" t="s">
        <v>232</v>
      </c>
      <c r="B20" s="180">
        <v>0</v>
      </c>
      <c r="C20" s="181">
        <f>'BRA CTRs'!$F$5*'BRA ICTRs'!B20/'BRA ICTRs'!$B$46</f>
        <v>0</v>
      </c>
      <c r="D20" s="181">
        <v>0</v>
      </c>
      <c r="E20" s="181">
        <v>0</v>
      </c>
      <c r="F20" s="181">
        <v>30</v>
      </c>
      <c r="G20" s="181">
        <v>5</v>
      </c>
      <c r="H20" s="181">
        <v>0</v>
      </c>
      <c r="I20" s="181">
        <v>0</v>
      </c>
      <c r="J20" s="181">
        <v>0</v>
      </c>
      <c r="K20" s="181">
        <v>0</v>
      </c>
      <c r="L20" s="181">
        <v>0</v>
      </c>
      <c r="M20" s="181">
        <v>0</v>
      </c>
      <c r="N20" s="60"/>
      <c r="O20" s="60"/>
      <c r="P20" s="141"/>
      <c r="Q20" s="32"/>
      <c r="R20" s="21"/>
      <c r="S20" s="21"/>
      <c r="T20" s="21"/>
      <c r="U20" s="21"/>
      <c r="V20" s="21"/>
      <c r="W20" s="21"/>
    </row>
    <row r="21" spans="1:23" ht="41.4" x14ac:dyDescent="0.3">
      <c r="A21" s="289" t="s">
        <v>233</v>
      </c>
      <c r="B21" s="180">
        <v>0</v>
      </c>
      <c r="C21" s="181">
        <f>'BRA CTRs'!$F$5*'BRA ICTRs'!B21/'BRA ICTRs'!$B$46</f>
        <v>0</v>
      </c>
      <c r="D21" s="181">
        <v>0</v>
      </c>
      <c r="E21" s="181">
        <v>0</v>
      </c>
      <c r="F21" s="181">
        <v>17</v>
      </c>
      <c r="G21" s="181">
        <v>3</v>
      </c>
      <c r="H21" s="181">
        <v>0</v>
      </c>
      <c r="I21" s="181">
        <v>0</v>
      </c>
      <c r="J21" s="181">
        <v>0</v>
      </c>
      <c r="K21" s="181">
        <v>0</v>
      </c>
      <c r="L21" s="181">
        <v>0</v>
      </c>
      <c r="M21" s="181">
        <v>0</v>
      </c>
      <c r="N21" s="60"/>
      <c r="O21" s="60"/>
      <c r="P21" s="141"/>
      <c r="Q21" s="32"/>
      <c r="R21" s="21"/>
      <c r="S21" s="21"/>
      <c r="T21" s="21"/>
      <c r="U21" s="21"/>
      <c r="V21" s="21"/>
      <c r="W21" s="21"/>
    </row>
    <row r="22" spans="1:23" ht="41.4" x14ac:dyDescent="0.3">
      <c r="A22" s="289" t="s">
        <v>234</v>
      </c>
      <c r="B22" s="180">
        <v>0</v>
      </c>
      <c r="C22" s="181">
        <f>'BRA CTRs'!$F$5*'BRA ICTRs'!B22/'BRA ICTRs'!$B$46</f>
        <v>0</v>
      </c>
      <c r="D22" s="181">
        <v>0</v>
      </c>
      <c r="E22" s="181">
        <v>0</v>
      </c>
      <c r="F22" s="181">
        <v>5</v>
      </c>
      <c r="G22" s="181">
        <v>1</v>
      </c>
      <c r="H22" s="181">
        <v>0</v>
      </c>
      <c r="I22" s="181">
        <v>0</v>
      </c>
      <c r="J22" s="181">
        <v>0</v>
      </c>
      <c r="K22" s="181">
        <v>0</v>
      </c>
      <c r="L22" s="181">
        <v>0</v>
      </c>
      <c r="M22" s="181">
        <v>0</v>
      </c>
      <c r="N22" s="60"/>
      <c r="O22" s="60"/>
      <c r="P22" s="141"/>
      <c r="Q22" s="32"/>
      <c r="R22" s="21"/>
      <c r="S22" s="21"/>
      <c r="T22" s="21"/>
      <c r="U22" s="21"/>
      <c r="V22" s="21"/>
      <c r="W22" s="21"/>
    </row>
    <row r="23" spans="1:23" ht="41.4" x14ac:dyDescent="0.3">
      <c r="A23" s="289" t="s">
        <v>235</v>
      </c>
      <c r="B23" s="180">
        <v>0</v>
      </c>
      <c r="C23" s="181">
        <f>'BRA CTRs'!$F$5*'BRA ICTRs'!B23/'BRA ICTRs'!$B$46</f>
        <v>0</v>
      </c>
      <c r="D23" s="181">
        <v>0</v>
      </c>
      <c r="E23" s="181">
        <v>0</v>
      </c>
      <c r="F23" s="181">
        <v>4</v>
      </c>
      <c r="G23" s="181">
        <v>1</v>
      </c>
      <c r="H23" s="181">
        <v>0</v>
      </c>
      <c r="I23" s="181">
        <v>0</v>
      </c>
      <c r="J23" s="181">
        <v>0</v>
      </c>
      <c r="K23" s="181">
        <v>0</v>
      </c>
      <c r="L23" s="181">
        <v>0</v>
      </c>
      <c r="M23" s="181">
        <v>0</v>
      </c>
      <c r="N23" s="60"/>
      <c r="O23" s="60"/>
      <c r="P23" s="141"/>
      <c r="Q23" s="32"/>
      <c r="R23" s="21"/>
      <c r="S23" s="21"/>
      <c r="T23" s="21"/>
      <c r="U23" s="21"/>
      <c r="V23" s="21"/>
      <c r="W23" s="21"/>
    </row>
    <row r="24" spans="1:23" ht="41.4" x14ac:dyDescent="0.3">
      <c r="A24" s="289" t="s">
        <v>236</v>
      </c>
      <c r="B24" s="180">
        <v>0</v>
      </c>
      <c r="C24" s="181">
        <f>'BRA CTRs'!$F$5*'BRA ICTRs'!B24/'BRA ICTRs'!$B$46</f>
        <v>0</v>
      </c>
      <c r="D24" s="181">
        <v>0</v>
      </c>
      <c r="E24" s="181">
        <v>0</v>
      </c>
      <c r="F24" s="181">
        <v>19</v>
      </c>
      <c r="G24" s="181">
        <v>3</v>
      </c>
      <c r="H24" s="181">
        <v>0</v>
      </c>
      <c r="I24" s="181">
        <v>0</v>
      </c>
      <c r="J24" s="181">
        <v>0</v>
      </c>
      <c r="K24" s="181">
        <v>0</v>
      </c>
      <c r="L24" s="181">
        <v>0</v>
      </c>
      <c r="M24" s="181">
        <v>0</v>
      </c>
      <c r="N24" s="60"/>
      <c r="O24" s="60"/>
      <c r="P24" s="141"/>
      <c r="Q24" s="32"/>
      <c r="R24" s="21"/>
      <c r="S24" s="21"/>
      <c r="T24" s="21"/>
      <c r="U24" s="21"/>
      <c r="V24" s="21"/>
      <c r="W24" s="21"/>
    </row>
    <row r="25" spans="1:23" ht="41.4" x14ac:dyDescent="0.3">
      <c r="A25" s="289" t="s">
        <v>237</v>
      </c>
      <c r="B25" s="180">
        <v>0</v>
      </c>
      <c r="C25" s="181">
        <f>'BRA CTRs'!$F$5*'BRA ICTRs'!B25/'BRA ICTRs'!$B$46</f>
        <v>0</v>
      </c>
      <c r="D25" s="181">
        <v>0</v>
      </c>
      <c r="E25" s="181">
        <v>0</v>
      </c>
      <c r="F25" s="181">
        <v>21</v>
      </c>
      <c r="G25" s="181">
        <v>3</v>
      </c>
      <c r="H25" s="181">
        <v>0</v>
      </c>
      <c r="I25" s="181">
        <v>0</v>
      </c>
      <c r="J25" s="181">
        <v>0</v>
      </c>
      <c r="K25" s="181">
        <v>0</v>
      </c>
      <c r="L25" s="181">
        <v>0</v>
      </c>
      <c r="M25" s="181">
        <v>0</v>
      </c>
      <c r="N25" s="60"/>
      <c r="O25" s="60"/>
      <c r="P25" s="141"/>
      <c r="Q25" s="32"/>
      <c r="R25" s="21"/>
      <c r="S25" s="21"/>
      <c r="T25" s="21"/>
      <c r="U25" s="21"/>
      <c r="V25" s="21"/>
      <c r="W25" s="21"/>
    </row>
    <row r="26" spans="1:23" ht="41.4" x14ac:dyDescent="0.3">
      <c r="A26" s="289" t="s">
        <v>238</v>
      </c>
      <c r="B26" s="180">
        <v>0</v>
      </c>
      <c r="C26" s="181">
        <f>'BRA CTRs'!$F$5*'BRA ICTRs'!B26/'BRA ICTRs'!$B$46</f>
        <v>0</v>
      </c>
      <c r="D26" s="181">
        <v>0</v>
      </c>
      <c r="E26" s="181">
        <v>0</v>
      </c>
      <c r="F26" s="181">
        <v>17</v>
      </c>
      <c r="G26" s="181">
        <v>3</v>
      </c>
      <c r="H26" s="181">
        <v>0</v>
      </c>
      <c r="I26" s="181">
        <v>0</v>
      </c>
      <c r="J26" s="181">
        <v>0</v>
      </c>
      <c r="K26" s="181">
        <v>0</v>
      </c>
      <c r="L26" s="181">
        <v>0</v>
      </c>
      <c r="M26" s="181">
        <v>0</v>
      </c>
      <c r="N26" s="60"/>
      <c r="O26" s="60"/>
      <c r="P26" s="141"/>
      <c r="Q26" s="32"/>
      <c r="R26" s="21"/>
      <c r="S26" s="21"/>
      <c r="T26" s="21"/>
      <c r="U26" s="21"/>
      <c r="V26" s="21"/>
      <c r="W26" s="21"/>
    </row>
    <row r="27" spans="1:23" ht="41.4" x14ac:dyDescent="0.3">
      <c r="A27" s="289" t="s">
        <v>239</v>
      </c>
      <c r="B27" s="180">
        <v>0</v>
      </c>
      <c r="C27" s="181">
        <f>'BRA CTRs'!$F$5*'BRA ICTRs'!B27/'BRA ICTRs'!$B$46</f>
        <v>0</v>
      </c>
      <c r="D27" s="181">
        <v>0</v>
      </c>
      <c r="E27" s="181">
        <v>0</v>
      </c>
      <c r="F27" s="181">
        <v>5</v>
      </c>
      <c r="G27" s="181">
        <v>1</v>
      </c>
      <c r="H27" s="181">
        <v>0</v>
      </c>
      <c r="I27" s="181">
        <v>0</v>
      </c>
      <c r="J27" s="181">
        <v>0</v>
      </c>
      <c r="K27" s="181">
        <v>0</v>
      </c>
      <c r="L27" s="181">
        <v>0</v>
      </c>
      <c r="M27" s="181">
        <v>0</v>
      </c>
      <c r="N27" s="60"/>
      <c r="O27" s="60"/>
      <c r="P27" s="141"/>
      <c r="Q27" s="32"/>
      <c r="R27" s="21"/>
      <c r="S27" s="21"/>
      <c r="T27" s="21"/>
      <c r="U27" s="21"/>
      <c r="V27" s="21"/>
      <c r="W27" s="21"/>
    </row>
    <row r="28" spans="1:23" ht="41.4" x14ac:dyDescent="0.3">
      <c r="A28" s="289" t="s">
        <v>240</v>
      </c>
      <c r="B28" s="180">
        <v>0</v>
      </c>
      <c r="C28" s="181">
        <f>'BRA CTRs'!$F$5*'BRA ICTRs'!B28/'BRA ICTRs'!$B$46</f>
        <v>0</v>
      </c>
      <c r="D28" s="181">
        <v>0</v>
      </c>
      <c r="E28" s="181">
        <v>0</v>
      </c>
      <c r="F28" s="181">
        <v>4</v>
      </c>
      <c r="G28" s="181">
        <v>1</v>
      </c>
      <c r="H28" s="181">
        <v>0</v>
      </c>
      <c r="I28" s="181">
        <v>0</v>
      </c>
      <c r="J28" s="181">
        <v>0</v>
      </c>
      <c r="K28" s="181">
        <v>0</v>
      </c>
      <c r="L28" s="181">
        <v>0</v>
      </c>
      <c r="M28" s="181">
        <v>0</v>
      </c>
      <c r="N28" s="60"/>
      <c r="O28" s="60"/>
      <c r="P28" s="141"/>
      <c r="Q28" s="32"/>
      <c r="R28" s="21"/>
      <c r="S28" s="21"/>
      <c r="T28" s="21"/>
      <c r="U28" s="21"/>
      <c r="V28" s="21"/>
      <c r="W28" s="21"/>
    </row>
    <row r="29" spans="1:23" ht="41.4" x14ac:dyDescent="0.3">
      <c r="A29" s="289" t="s">
        <v>241</v>
      </c>
      <c r="B29" s="180">
        <v>0</v>
      </c>
      <c r="C29" s="181">
        <f>'BRA CTRs'!$F$5*'BRA ICTRs'!B29/'BRA ICTRs'!$B$46</f>
        <v>0</v>
      </c>
      <c r="D29" s="181">
        <v>0</v>
      </c>
      <c r="E29" s="181">
        <v>0</v>
      </c>
      <c r="F29" s="181">
        <v>2</v>
      </c>
      <c r="G29" s="181">
        <v>0</v>
      </c>
      <c r="H29" s="181">
        <v>0</v>
      </c>
      <c r="I29" s="181">
        <v>0</v>
      </c>
      <c r="J29" s="181">
        <v>0</v>
      </c>
      <c r="K29" s="181">
        <v>0</v>
      </c>
      <c r="L29" s="181">
        <v>0</v>
      </c>
      <c r="M29" s="181">
        <v>0</v>
      </c>
      <c r="N29" s="60"/>
      <c r="O29" s="60"/>
      <c r="P29" s="141"/>
      <c r="Q29" s="32"/>
      <c r="R29" s="21"/>
      <c r="S29" s="21"/>
      <c r="T29" s="21"/>
      <c r="U29" s="21"/>
      <c r="V29" s="21"/>
      <c r="W29" s="21"/>
    </row>
    <row r="30" spans="1:23" ht="41.4" x14ac:dyDescent="0.3">
      <c r="A30" s="289" t="s">
        <v>242</v>
      </c>
      <c r="B30" s="180">
        <v>0</v>
      </c>
      <c r="C30" s="181">
        <f>'BRA CTRs'!$F$5*'BRA ICTRs'!B30/'BRA ICTRs'!$B$46</f>
        <v>0</v>
      </c>
      <c r="D30" s="181">
        <v>0</v>
      </c>
      <c r="E30" s="181">
        <v>0</v>
      </c>
      <c r="F30" s="181">
        <v>18</v>
      </c>
      <c r="G30" s="181">
        <v>3</v>
      </c>
      <c r="H30" s="181">
        <v>0</v>
      </c>
      <c r="I30" s="181">
        <v>0</v>
      </c>
      <c r="J30" s="181">
        <v>0</v>
      </c>
      <c r="K30" s="181">
        <v>0</v>
      </c>
      <c r="L30" s="181">
        <v>0</v>
      </c>
      <c r="M30" s="181">
        <v>0</v>
      </c>
      <c r="N30" s="60"/>
      <c r="O30" s="60"/>
      <c r="P30" s="141"/>
      <c r="Q30" s="32"/>
      <c r="R30" s="21"/>
      <c r="S30" s="21"/>
      <c r="T30" s="21"/>
      <c r="U30" s="21"/>
      <c r="V30" s="21"/>
      <c r="W30" s="21"/>
    </row>
    <row r="31" spans="1:23" ht="41.4" x14ac:dyDescent="0.3">
      <c r="A31" s="289" t="s">
        <v>243</v>
      </c>
      <c r="B31" s="180">
        <v>0</v>
      </c>
      <c r="C31" s="181">
        <f>'BRA CTRs'!$F$5*'BRA ICTRs'!B31/'BRA ICTRs'!$B$46</f>
        <v>0</v>
      </c>
      <c r="D31" s="181">
        <v>0</v>
      </c>
      <c r="E31" s="181">
        <v>0</v>
      </c>
      <c r="F31" s="181">
        <v>21</v>
      </c>
      <c r="G31" s="181">
        <v>3</v>
      </c>
      <c r="H31" s="181">
        <v>0</v>
      </c>
      <c r="I31" s="181">
        <v>0</v>
      </c>
      <c r="J31" s="181">
        <v>0</v>
      </c>
      <c r="K31" s="181">
        <v>0</v>
      </c>
      <c r="L31" s="181">
        <v>0</v>
      </c>
      <c r="M31" s="181">
        <v>0</v>
      </c>
      <c r="N31" s="60"/>
      <c r="O31" s="60"/>
      <c r="P31" s="141"/>
      <c r="Q31" s="32"/>
      <c r="R31" s="21"/>
      <c r="S31" s="21"/>
      <c r="T31" s="21"/>
      <c r="U31" s="21"/>
      <c r="V31" s="21"/>
      <c r="W31" s="21"/>
    </row>
    <row r="32" spans="1:23" ht="20.100000000000001" customHeight="1" thickBot="1" x14ac:dyDescent="0.35">
      <c r="A32" s="269" t="s">
        <v>87</v>
      </c>
      <c r="B32" s="286">
        <f>SUM(B15:B31)</f>
        <v>16</v>
      </c>
      <c r="C32" s="286">
        <f t="shared" ref="C32" si="1">SUM(C15:C31)</f>
        <v>2.7752816049413234</v>
      </c>
      <c r="D32" s="286">
        <f t="shared" ref="D32" si="2">SUM(D15:D31)</f>
        <v>50</v>
      </c>
      <c r="E32" s="286">
        <f t="shared" ref="E32" si="3">SUM(E15:E31)</f>
        <v>237</v>
      </c>
      <c r="F32" s="286">
        <f>SUM(F15:F31)</f>
        <v>593.5</v>
      </c>
      <c r="G32" s="286">
        <f t="shared" ref="G32:M32" si="4">SUM(G15:G31)</f>
        <v>521.5</v>
      </c>
      <c r="H32" s="286">
        <f t="shared" si="4"/>
        <v>0</v>
      </c>
      <c r="I32" s="286">
        <f t="shared" si="4"/>
        <v>0</v>
      </c>
      <c r="J32" s="286">
        <f t="shared" si="4"/>
        <v>175</v>
      </c>
      <c r="K32" s="286">
        <f t="shared" si="4"/>
        <v>306</v>
      </c>
      <c r="L32" s="286">
        <f t="shared" si="4"/>
        <v>0</v>
      </c>
      <c r="M32" s="286">
        <f t="shared" si="4"/>
        <v>0</v>
      </c>
      <c r="N32" s="60"/>
      <c r="O32" s="60"/>
      <c r="P32" s="141"/>
      <c r="Q32" s="32"/>
      <c r="R32" s="21"/>
      <c r="S32" s="21"/>
      <c r="T32" s="21"/>
      <c r="U32" s="21"/>
      <c r="V32" s="21"/>
      <c r="W32" s="21"/>
    </row>
    <row r="33" spans="1:25" ht="20.100000000000001" customHeight="1" x14ac:dyDescent="0.3">
      <c r="A33" s="195" t="s">
        <v>70</v>
      </c>
      <c r="B33" s="292"/>
      <c r="C33" s="292"/>
      <c r="D33" s="293"/>
      <c r="E33" s="293"/>
      <c r="F33" s="293"/>
      <c r="G33" s="293"/>
      <c r="H33" s="293"/>
      <c r="I33" s="293"/>
      <c r="J33" s="293"/>
      <c r="K33" s="293"/>
      <c r="L33" s="293"/>
      <c r="M33" s="293"/>
      <c r="N33" s="60"/>
      <c r="O33" s="60"/>
      <c r="P33" s="141"/>
      <c r="Q33" s="32"/>
      <c r="R33" s="21"/>
      <c r="S33" s="21"/>
      <c r="T33" s="21"/>
      <c r="U33" s="21"/>
      <c r="V33" s="21"/>
      <c r="W33" s="21"/>
    </row>
    <row r="34" spans="1:25" ht="24.9" customHeight="1" x14ac:dyDescent="0.3">
      <c r="A34" s="196" t="s">
        <v>83</v>
      </c>
      <c r="B34" s="180">
        <v>159</v>
      </c>
      <c r="C34" s="181">
        <f>'BRA CTRs'!$F$5*'BRA ICTRs'!B34/'BRA ICTRs'!$B$46</f>
        <v>27.579360949104402</v>
      </c>
      <c r="D34" s="181">
        <v>0</v>
      </c>
      <c r="E34" s="181">
        <v>0</v>
      </c>
      <c r="F34" s="181">
        <v>0</v>
      </c>
      <c r="G34" s="181">
        <v>0</v>
      </c>
      <c r="H34" s="181">
        <v>0</v>
      </c>
      <c r="I34" s="181">
        <v>0</v>
      </c>
      <c r="J34" s="181">
        <v>0</v>
      </c>
      <c r="K34" s="181">
        <v>0</v>
      </c>
      <c r="L34" s="181">
        <v>0</v>
      </c>
      <c r="M34" s="181">
        <v>0</v>
      </c>
      <c r="N34" s="60"/>
      <c r="O34" s="60"/>
      <c r="P34" s="141"/>
      <c r="Q34" s="32"/>
      <c r="R34" s="21"/>
      <c r="S34" s="21"/>
      <c r="T34" s="21"/>
      <c r="U34" s="21"/>
      <c r="V34" s="21"/>
      <c r="W34" s="21"/>
    </row>
    <row r="35" spans="1:25" ht="24.9" customHeight="1" x14ac:dyDescent="0.3">
      <c r="A35" s="196" t="s">
        <v>133</v>
      </c>
      <c r="B35" s="180">
        <v>0</v>
      </c>
      <c r="C35" s="181">
        <f>'BRA CTRs'!$F$5*'BRA ICTRs'!B35/'BRA ICTRs'!$B$46</f>
        <v>0</v>
      </c>
      <c r="D35" s="181">
        <v>0</v>
      </c>
      <c r="E35" s="181">
        <v>0</v>
      </c>
      <c r="F35" s="181">
        <v>0</v>
      </c>
      <c r="G35" s="181">
        <v>0</v>
      </c>
      <c r="H35" s="181">
        <v>37</v>
      </c>
      <c r="I35" s="181">
        <v>0</v>
      </c>
      <c r="J35" s="181">
        <v>0</v>
      </c>
      <c r="K35" s="181">
        <v>0</v>
      </c>
      <c r="L35" s="181">
        <v>0</v>
      </c>
      <c r="M35" s="181">
        <v>0</v>
      </c>
      <c r="N35" s="60"/>
      <c r="O35" s="60"/>
      <c r="P35" s="141"/>
      <c r="Q35" s="32"/>
      <c r="R35" s="21"/>
      <c r="S35" s="21"/>
      <c r="T35" s="21"/>
      <c r="U35" s="21"/>
      <c r="V35" s="21"/>
      <c r="W35" s="21"/>
    </row>
    <row r="36" spans="1:25" ht="24.9" customHeight="1" x14ac:dyDescent="0.3">
      <c r="A36" s="196" t="s">
        <v>146</v>
      </c>
      <c r="B36" s="180">
        <v>0</v>
      </c>
      <c r="C36" s="181">
        <f>'BRA CTRs'!$F$5*'BRA ICTRs'!B36/'BRA ICTRs'!$B$46</f>
        <v>0</v>
      </c>
      <c r="D36" s="181">
        <v>0</v>
      </c>
      <c r="E36" s="182">
        <v>0</v>
      </c>
      <c r="F36" s="182">
        <v>0</v>
      </c>
      <c r="G36" s="182">
        <v>0</v>
      </c>
      <c r="H36" s="182">
        <v>35</v>
      </c>
      <c r="I36" s="181">
        <v>0</v>
      </c>
      <c r="J36" s="182">
        <v>0</v>
      </c>
      <c r="K36" s="181">
        <v>0</v>
      </c>
      <c r="L36" s="181">
        <v>0</v>
      </c>
      <c r="M36" s="181">
        <v>0</v>
      </c>
      <c r="N36" s="60"/>
      <c r="O36" s="60"/>
      <c r="P36" s="141"/>
      <c r="Q36" s="32"/>
      <c r="R36" s="21"/>
      <c r="S36" s="21"/>
      <c r="T36" s="21"/>
      <c r="U36" s="21"/>
      <c r="V36" s="21"/>
      <c r="W36" s="21"/>
    </row>
    <row r="37" spans="1:25" ht="24.9" customHeight="1" x14ac:dyDescent="0.3">
      <c r="A37" s="196" t="s">
        <v>145</v>
      </c>
      <c r="B37" s="180">
        <v>0</v>
      </c>
      <c r="C37" s="181">
        <f>'BRA CTRs'!$F$5*'BRA ICTRs'!B37/'BRA ICTRs'!$B$46</f>
        <v>0</v>
      </c>
      <c r="D37" s="181">
        <v>0</v>
      </c>
      <c r="E37" s="182">
        <v>0</v>
      </c>
      <c r="F37" s="182">
        <v>0</v>
      </c>
      <c r="G37" s="182">
        <v>0</v>
      </c>
      <c r="H37" s="182">
        <v>0</v>
      </c>
      <c r="I37" s="181">
        <v>0</v>
      </c>
      <c r="J37" s="182">
        <v>0</v>
      </c>
      <c r="K37" s="181">
        <v>0</v>
      </c>
      <c r="L37" s="181">
        <v>155</v>
      </c>
      <c r="M37" s="181">
        <v>0</v>
      </c>
      <c r="N37" s="60"/>
      <c r="O37" s="60"/>
      <c r="P37" s="141"/>
      <c r="Q37" s="32"/>
      <c r="R37" s="21"/>
      <c r="S37" s="21"/>
      <c r="T37" s="21"/>
      <c r="U37" s="21"/>
      <c r="V37" s="21"/>
      <c r="W37" s="21"/>
    </row>
    <row r="38" spans="1:25" ht="20.100000000000001" customHeight="1" x14ac:dyDescent="0.3">
      <c r="A38" s="196" t="s">
        <v>134</v>
      </c>
      <c r="B38" s="180">
        <v>733</v>
      </c>
      <c r="C38" s="181">
        <f>'BRA CTRs'!$F$5*'BRA ICTRs'!B38/'BRA ICTRs'!$B$46</f>
        <v>127.1425885263744</v>
      </c>
      <c r="D38" s="181">
        <v>0</v>
      </c>
      <c r="E38" s="182">
        <v>0</v>
      </c>
      <c r="F38" s="182">
        <v>0</v>
      </c>
      <c r="G38" s="182">
        <v>0</v>
      </c>
      <c r="H38" s="182">
        <v>0</v>
      </c>
      <c r="I38" s="181">
        <v>0</v>
      </c>
      <c r="J38" s="182">
        <v>0</v>
      </c>
      <c r="K38" s="181">
        <v>0</v>
      </c>
      <c r="L38" s="181">
        <v>0</v>
      </c>
      <c r="M38" s="181">
        <v>0</v>
      </c>
      <c r="N38" s="60"/>
      <c r="O38" s="60"/>
      <c r="P38" s="141"/>
      <c r="Q38" s="32"/>
      <c r="R38" s="21"/>
      <c r="S38" s="21"/>
      <c r="T38" s="21"/>
      <c r="U38" s="21"/>
      <c r="V38" s="21"/>
      <c r="W38" s="21"/>
    </row>
    <row r="39" spans="1:25" ht="20.100000000000001" customHeight="1" x14ac:dyDescent="0.3">
      <c r="A39" s="196" t="s">
        <v>131</v>
      </c>
      <c r="B39" s="180">
        <v>0</v>
      </c>
      <c r="C39" s="181">
        <f>'BRA CTRs'!$F$5*'BRA ICTRs'!B39/'BRA ICTRs'!$B$46</f>
        <v>0</v>
      </c>
      <c r="D39" s="181">
        <v>0</v>
      </c>
      <c r="E39" s="182">
        <v>0</v>
      </c>
      <c r="F39" s="182">
        <v>0</v>
      </c>
      <c r="G39" s="182">
        <v>0</v>
      </c>
      <c r="H39" s="182">
        <v>0</v>
      </c>
      <c r="I39" s="182">
        <v>0</v>
      </c>
      <c r="J39" s="182">
        <v>0</v>
      </c>
      <c r="K39" s="181">
        <v>65.7</v>
      </c>
      <c r="L39" s="181">
        <v>0</v>
      </c>
      <c r="M39" s="181">
        <v>0</v>
      </c>
      <c r="N39" s="60"/>
      <c r="O39" s="60"/>
      <c r="P39" s="141"/>
      <c r="Q39" s="32"/>
      <c r="R39" s="21"/>
      <c r="S39" s="21"/>
      <c r="T39" s="21"/>
      <c r="U39" s="21"/>
      <c r="V39" s="21"/>
      <c r="W39" s="21"/>
    </row>
    <row r="40" spans="1:25" ht="20.100000000000001" customHeight="1" x14ac:dyDescent="0.3">
      <c r="A40" s="196" t="s">
        <v>147</v>
      </c>
      <c r="B40" s="180">
        <v>0</v>
      </c>
      <c r="C40" s="181">
        <f>'BRA CTRs'!$F$5*'BRA ICTRs'!B40/'BRA ICTRs'!$B$46</f>
        <v>0</v>
      </c>
      <c r="D40" s="181">
        <v>0</v>
      </c>
      <c r="E40" s="182">
        <v>0</v>
      </c>
      <c r="F40" s="182">
        <v>41</v>
      </c>
      <c r="G40" s="182">
        <v>21</v>
      </c>
      <c r="H40" s="182">
        <v>0</v>
      </c>
      <c r="I40" s="182">
        <v>0</v>
      </c>
      <c r="J40" s="182">
        <v>0</v>
      </c>
      <c r="K40" s="181">
        <v>0</v>
      </c>
      <c r="L40" s="181">
        <v>0</v>
      </c>
      <c r="M40" s="181">
        <v>0</v>
      </c>
      <c r="N40" s="60"/>
      <c r="O40" s="60"/>
      <c r="P40" s="141"/>
      <c r="Q40" s="32"/>
      <c r="R40" s="21"/>
      <c r="S40" s="21"/>
      <c r="T40" s="21"/>
      <c r="U40" s="21"/>
      <c r="V40" s="21"/>
      <c r="W40" s="21"/>
    </row>
    <row r="41" spans="1:25" ht="20.100000000000001" customHeight="1" x14ac:dyDescent="0.3">
      <c r="A41" s="196" t="s">
        <v>154</v>
      </c>
      <c r="B41" s="180">
        <v>665</v>
      </c>
      <c r="C41" s="181">
        <f>'BRA CTRs'!$F$5*'BRA ICTRs'!B41/'BRA ICTRs'!$B$46</f>
        <v>115.34764170537376</v>
      </c>
      <c r="D41" s="181">
        <v>40</v>
      </c>
      <c r="E41" s="182">
        <v>0</v>
      </c>
      <c r="F41" s="182">
        <v>0</v>
      </c>
      <c r="G41" s="182">
        <v>0</v>
      </c>
      <c r="H41" s="182">
        <v>0</v>
      </c>
      <c r="I41" s="182">
        <v>0</v>
      </c>
      <c r="J41" s="182">
        <v>0</v>
      </c>
      <c r="K41" s="181">
        <v>0</v>
      </c>
      <c r="L41" s="181">
        <v>0</v>
      </c>
      <c r="M41" s="181">
        <v>0</v>
      </c>
      <c r="N41" s="60"/>
      <c r="O41" s="60"/>
      <c r="P41" s="141"/>
      <c r="Q41" s="32"/>
      <c r="R41" s="21"/>
      <c r="S41" s="21"/>
      <c r="T41" s="21"/>
      <c r="U41" s="21"/>
      <c r="V41" s="21"/>
      <c r="W41" s="21"/>
    </row>
    <row r="42" spans="1:25" ht="20.100000000000001" customHeight="1" x14ac:dyDescent="0.3">
      <c r="A42" s="305" t="s">
        <v>176</v>
      </c>
      <c r="B42" s="306">
        <v>0</v>
      </c>
      <c r="C42" s="181">
        <f>'BRA CTRs'!$F$5*'BRA ICTRs'!B42/'BRA ICTRs'!$B$46</f>
        <v>0</v>
      </c>
      <c r="D42" s="308">
        <v>0</v>
      </c>
      <c r="E42" s="307">
        <v>0</v>
      </c>
      <c r="F42" s="307">
        <v>0</v>
      </c>
      <c r="G42" s="307">
        <v>0</v>
      </c>
      <c r="H42" s="307">
        <v>0</v>
      </c>
      <c r="I42" s="307">
        <v>0</v>
      </c>
      <c r="J42" s="307">
        <v>0</v>
      </c>
      <c r="K42" s="308">
        <v>0</v>
      </c>
      <c r="L42" s="308">
        <v>0</v>
      </c>
      <c r="M42" s="308">
        <v>1097</v>
      </c>
      <c r="N42" s="60"/>
      <c r="O42" s="60"/>
      <c r="P42" s="141"/>
      <c r="Q42" s="32"/>
      <c r="R42" s="21"/>
      <c r="S42" s="21"/>
      <c r="T42" s="21"/>
      <c r="U42" s="21"/>
      <c r="V42" s="21"/>
      <c r="W42" s="21"/>
    </row>
    <row r="43" spans="1:25" ht="20.100000000000001" customHeight="1" x14ac:dyDescent="0.3">
      <c r="A43" s="196" t="s">
        <v>189</v>
      </c>
      <c r="B43" s="180">
        <v>0</v>
      </c>
      <c r="C43" s="181">
        <f>'BRA CTRs'!$F$5*'BRA ICTRs'!B43/'BRA ICTRs'!$B$46</f>
        <v>0</v>
      </c>
      <c r="D43" s="181">
        <v>0</v>
      </c>
      <c r="E43" s="182">
        <v>0</v>
      </c>
      <c r="F43" s="182">
        <v>0</v>
      </c>
      <c r="G43" s="182">
        <v>0</v>
      </c>
      <c r="H43" s="182">
        <v>0</v>
      </c>
      <c r="I43" s="182">
        <v>0</v>
      </c>
      <c r="J43" s="182">
        <v>0</v>
      </c>
      <c r="K43" s="181">
        <v>0</v>
      </c>
      <c r="L43" s="181">
        <v>0</v>
      </c>
      <c r="M43" s="181">
        <v>279</v>
      </c>
      <c r="N43" s="60"/>
      <c r="O43" s="60"/>
      <c r="P43" s="141"/>
      <c r="Q43" s="32"/>
      <c r="R43" s="21"/>
      <c r="S43" s="21"/>
      <c r="T43" s="21"/>
      <c r="U43" s="21"/>
      <c r="V43" s="21"/>
      <c r="W43" s="21"/>
    </row>
    <row r="44" spans="1:25" ht="20.100000000000001" customHeight="1" thickBot="1" x14ac:dyDescent="0.35">
      <c r="A44" s="269" t="s">
        <v>74</v>
      </c>
      <c r="B44" s="270">
        <f>SUM(B34:B43)</f>
        <v>1557</v>
      </c>
      <c r="C44" s="270">
        <f>SUM(C34:C43)</f>
        <v>270.06959118085257</v>
      </c>
      <c r="D44" s="270">
        <f t="shared" ref="D44:M44" si="5">SUM(D34:D43)</f>
        <v>40</v>
      </c>
      <c r="E44" s="270">
        <f t="shared" si="5"/>
        <v>0</v>
      </c>
      <c r="F44" s="270">
        <f t="shared" si="5"/>
        <v>41</v>
      </c>
      <c r="G44" s="270">
        <f t="shared" si="5"/>
        <v>21</v>
      </c>
      <c r="H44" s="270">
        <f t="shared" si="5"/>
        <v>72</v>
      </c>
      <c r="I44" s="270">
        <f t="shared" si="5"/>
        <v>0</v>
      </c>
      <c r="J44" s="270">
        <f t="shared" si="5"/>
        <v>0</v>
      </c>
      <c r="K44" s="270">
        <f t="shared" si="5"/>
        <v>65.7</v>
      </c>
      <c r="L44" s="270">
        <f t="shared" si="5"/>
        <v>155</v>
      </c>
      <c r="M44" s="270">
        <f t="shared" si="5"/>
        <v>1376</v>
      </c>
      <c r="N44" s="60"/>
      <c r="O44" s="60"/>
      <c r="P44" s="141"/>
      <c r="Q44" s="32"/>
      <c r="R44" s="21"/>
      <c r="S44" s="21"/>
      <c r="T44" s="21"/>
      <c r="U44" s="21"/>
      <c r="V44" s="21"/>
      <c r="W44" s="21"/>
    </row>
    <row r="45" spans="1:25" ht="13.8" x14ac:dyDescent="0.3">
      <c r="A45" s="290"/>
      <c r="B45" s="283"/>
      <c r="C45" s="283"/>
      <c r="D45" s="291"/>
      <c r="E45" s="291"/>
      <c r="F45" s="291"/>
      <c r="G45" s="291"/>
      <c r="H45" s="291"/>
      <c r="I45" s="291"/>
      <c r="J45" s="291"/>
      <c r="K45" s="291"/>
      <c r="L45" s="291"/>
      <c r="M45" s="291"/>
      <c r="N45" s="60"/>
      <c r="O45" s="60"/>
      <c r="P45" s="141"/>
      <c r="Q45" s="32"/>
      <c r="R45" s="21"/>
      <c r="S45" s="21"/>
      <c r="T45" s="21"/>
      <c r="U45" s="21"/>
      <c r="V45" s="21"/>
      <c r="W45" s="21"/>
    </row>
    <row r="46" spans="1:25" ht="20.100000000000001" customHeight="1" thickBot="1" x14ac:dyDescent="0.35">
      <c r="A46" s="269" t="s">
        <v>75</v>
      </c>
      <c r="B46" s="270">
        <f t="shared" ref="B46:M46" si="6">B13+B32+B44</f>
        <v>2295</v>
      </c>
      <c r="C46" s="270">
        <f t="shared" si="6"/>
        <v>398.07945520877115</v>
      </c>
      <c r="D46" s="271">
        <f t="shared" si="6"/>
        <v>988</v>
      </c>
      <c r="E46" s="271">
        <f t="shared" si="6"/>
        <v>493</v>
      </c>
      <c r="F46" s="271">
        <f t="shared" si="6"/>
        <v>703.4</v>
      </c>
      <c r="G46" s="271">
        <f t="shared" si="6"/>
        <v>648</v>
      </c>
      <c r="H46" s="271">
        <f t="shared" si="6"/>
        <v>72</v>
      </c>
      <c r="I46" s="271">
        <f t="shared" si="6"/>
        <v>0</v>
      </c>
      <c r="J46" s="271">
        <f t="shared" si="6"/>
        <v>175</v>
      </c>
      <c r="K46" s="271">
        <f t="shared" si="6"/>
        <v>371.7</v>
      </c>
      <c r="L46" s="271">
        <f t="shared" si="6"/>
        <v>155</v>
      </c>
      <c r="M46" s="271">
        <f t="shared" si="6"/>
        <v>1376</v>
      </c>
      <c r="N46" s="142"/>
      <c r="O46" s="142"/>
      <c r="P46" s="38"/>
      <c r="Q46" s="32"/>
      <c r="R46" s="21"/>
      <c r="S46" s="21"/>
      <c r="T46" s="21"/>
      <c r="U46" s="21"/>
      <c r="V46" s="21"/>
      <c r="W46" s="21"/>
    </row>
    <row r="47" spans="1:25" s="15" customFormat="1" ht="19.5" customHeight="1" x14ac:dyDescent="0.3">
      <c r="A47" s="280" t="s">
        <v>92</v>
      </c>
      <c r="B47" s="309"/>
      <c r="C47" s="309"/>
      <c r="D47" s="309"/>
      <c r="E47" s="309"/>
      <c r="F47" s="309"/>
      <c r="G47" s="309"/>
      <c r="H47" s="309"/>
      <c r="I47" s="309"/>
      <c r="J47" s="309"/>
      <c r="K47" s="309"/>
      <c r="L47" s="187"/>
      <c r="M47" s="143"/>
      <c r="N47" s="34"/>
      <c r="O47" s="32"/>
      <c r="P47" s="32"/>
      <c r="Q47" s="32"/>
      <c r="R47" s="32"/>
      <c r="S47" s="32"/>
      <c r="T47" s="32"/>
      <c r="U47" s="32"/>
      <c r="V47" s="32"/>
      <c r="W47" s="32"/>
      <c r="X47" s="32"/>
      <c r="Y47" s="32"/>
    </row>
    <row r="48" spans="1:25" s="15" customFormat="1" ht="13.8" x14ac:dyDescent="0.3">
      <c r="A48" s="23"/>
      <c r="B48" s="144"/>
      <c r="C48" s="144"/>
      <c r="D48" s="40"/>
      <c r="E48" s="143"/>
      <c r="F48" s="143"/>
      <c r="G48" s="143"/>
      <c r="H48" s="143"/>
      <c r="I48" s="143"/>
      <c r="J48" s="34"/>
      <c r="K48" s="143"/>
      <c r="L48" s="143"/>
      <c r="M48" s="143"/>
      <c r="N48" s="34"/>
      <c r="O48" s="32"/>
      <c r="P48" s="32"/>
      <c r="Q48" s="32"/>
      <c r="R48" s="32"/>
      <c r="S48" s="32"/>
      <c r="T48" s="32"/>
      <c r="U48" s="32"/>
      <c r="V48" s="32"/>
      <c r="W48" s="32"/>
      <c r="X48" s="32"/>
      <c r="Y48" s="32"/>
    </row>
    <row r="49" spans="1:58" s="15" customFormat="1" ht="13.8" x14ac:dyDescent="0.3">
      <c r="A49" s="145"/>
      <c r="B49" s="144"/>
      <c r="C49" s="144"/>
      <c r="D49" s="40"/>
      <c r="E49" s="143"/>
      <c r="F49" s="143"/>
      <c r="G49" s="143"/>
      <c r="H49" s="143"/>
      <c r="I49" s="143"/>
      <c r="J49" s="34"/>
      <c r="K49" s="143"/>
      <c r="L49" s="143"/>
      <c r="M49" s="143"/>
      <c r="N49" s="34"/>
      <c r="O49" s="32"/>
      <c r="P49" s="32"/>
      <c r="Q49" s="32"/>
      <c r="R49" s="32"/>
      <c r="S49" s="32"/>
      <c r="T49" s="32"/>
      <c r="U49" s="32"/>
      <c r="V49" s="32"/>
      <c r="W49" s="32"/>
      <c r="X49" s="32"/>
      <c r="Y49" s="32"/>
    </row>
    <row r="50" spans="1:58" ht="14.4" x14ac:dyDescent="0.3">
      <c r="A50" s="279"/>
      <c r="B50" s="279"/>
      <c r="C50" s="279"/>
      <c r="D50" s="279"/>
      <c r="E50" s="279"/>
      <c r="F50" s="279"/>
      <c r="G50" s="279"/>
      <c r="H50" s="21"/>
      <c r="I50" s="349"/>
      <c r="J50" s="349"/>
      <c r="K50" s="349"/>
      <c r="L50" s="197"/>
      <c r="M50" s="143"/>
      <c r="N50" s="34"/>
      <c r="O50" s="21"/>
      <c r="P50" s="21"/>
      <c r="Q50" s="21"/>
      <c r="R50" s="21"/>
      <c r="S50" s="21"/>
      <c r="T50" s="21"/>
      <c r="U50" s="21"/>
      <c r="V50" s="21"/>
      <c r="W50" s="21"/>
      <c r="X50" s="21"/>
      <c r="Y50" s="21"/>
    </row>
    <row r="51" spans="1:58" ht="14.4" thickBot="1" x14ac:dyDescent="0.35">
      <c r="A51" s="396" t="s">
        <v>200</v>
      </c>
      <c r="B51" s="279"/>
      <c r="C51" s="279"/>
      <c r="D51" s="279"/>
      <c r="E51" s="279"/>
      <c r="F51" s="279"/>
      <c r="G51" s="279"/>
      <c r="H51" s="21"/>
      <c r="I51" s="349"/>
      <c r="J51" s="349"/>
      <c r="K51" s="349"/>
      <c r="L51" s="219"/>
      <c r="M51" s="219"/>
      <c r="N51" s="219"/>
      <c r="O51" s="219"/>
      <c r="P51" s="21"/>
      <c r="Q51" s="21"/>
      <c r="R51" s="21"/>
      <c r="S51" s="21"/>
      <c r="T51" s="21"/>
      <c r="U51" s="21"/>
      <c r="V51" s="21"/>
      <c r="W51" s="21"/>
      <c r="X51" s="21"/>
    </row>
    <row r="52" spans="1:58" ht="14.4" thickBot="1" x14ac:dyDescent="0.35">
      <c r="A52" s="396"/>
      <c r="B52" s="350" t="s">
        <v>28</v>
      </c>
      <c r="C52" s="350" t="s">
        <v>33</v>
      </c>
      <c r="D52" s="350" t="s">
        <v>5</v>
      </c>
      <c r="E52" s="350" t="s">
        <v>8</v>
      </c>
      <c r="F52" s="350" t="s">
        <v>34</v>
      </c>
      <c r="G52" s="350" t="s">
        <v>35</v>
      </c>
      <c r="H52" s="350" t="s">
        <v>15</v>
      </c>
      <c r="I52" s="350" t="s">
        <v>11</v>
      </c>
      <c r="J52" s="350" t="s">
        <v>50</v>
      </c>
      <c r="K52" s="350" t="s">
        <v>20</v>
      </c>
      <c r="L52" s="311"/>
      <c r="M52" s="311"/>
      <c r="N52" s="312"/>
      <c r="O52" s="244"/>
      <c r="P52" s="243"/>
      <c r="Q52" s="244"/>
      <c r="R52" s="243"/>
      <c r="S52" s="242"/>
      <c r="T52" s="243"/>
      <c r="U52" s="242"/>
      <c r="V52" s="243"/>
      <c r="W52" s="242"/>
      <c r="X52" s="242"/>
      <c r="Y52" s="243"/>
      <c r="Z52" s="244"/>
      <c r="AA52" s="243"/>
      <c r="AB52" s="244"/>
      <c r="AC52" s="243"/>
      <c r="AD52" s="244"/>
      <c r="AE52" s="243"/>
      <c r="AF52" s="242"/>
      <c r="AG52" s="243"/>
      <c r="AH52" s="244"/>
      <c r="AI52" s="243"/>
      <c r="AJ52" s="245"/>
      <c r="AK52" s="243"/>
      <c r="AL52" s="244"/>
      <c r="AM52" s="243"/>
      <c r="AN52" s="244"/>
      <c r="AO52" s="243"/>
      <c r="AP52" s="244"/>
      <c r="AQ52" s="243"/>
      <c r="AR52" s="244"/>
      <c r="AS52" s="243"/>
      <c r="AT52" s="242"/>
      <c r="AU52" s="243"/>
      <c r="AV52" s="244"/>
      <c r="AW52" s="243"/>
      <c r="AX52" s="244"/>
      <c r="AY52" s="243"/>
      <c r="AZ52" s="242"/>
      <c r="BA52" s="243"/>
      <c r="BB52" s="245"/>
      <c r="BC52" s="243"/>
      <c r="BD52" s="242"/>
      <c r="BE52" s="243"/>
      <c r="BF52" s="242"/>
    </row>
    <row r="53" spans="1:58" ht="14.4" thickBot="1" x14ac:dyDescent="0.35">
      <c r="A53" s="351" t="s">
        <v>201</v>
      </c>
      <c r="B53" s="352">
        <f>'BRA Load Pricing Results'!D14</f>
        <v>45.79</v>
      </c>
      <c r="C53" s="353">
        <f>'BRA Load Pricing Results'!D15-'BRA Load Pricing Results'!D14</f>
        <v>2.0700000000000003</v>
      </c>
      <c r="D53" s="353">
        <f>'BRA Load Pricing Results'!D16-'BRA Load Pricing Results'!D14</f>
        <v>0</v>
      </c>
      <c r="E53" s="354">
        <f>'BRA Load Pricing Results'!D27</f>
        <v>0</v>
      </c>
      <c r="F53" s="354">
        <f>'BRA Load Pricing Results'!D28-'BRA Load Pricing Results'!D27</f>
        <v>0</v>
      </c>
      <c r="G53" s="354">
        <f>'BRA Load Pricing Results'!D31</f>
        <v>0</v>
      </c>
      <c r="H53" s="353">
        <f>'BRA Load Pricing Results'!D17-'BRA Load Pricing Results'!D16</f>
        <v>0</v>
      </c>
      <c r="I53" s="353">
        <f>'BRA Load Pricing Results'!D19-'BRA Load Pricing Results'!D16</f>
        <v>30.71</v>
      </c>
      <c r="J53" s="353">
        <f>'BRA Load Pricing Results'!D22</f>
        <v>21.69</v>
      </c>
      <c r="K53" s="355">
        <f>'BRA Load Pricing Results'!D18</f>
        <v>18.96</v>
      </c>
      <c r="L53" s="311"/>
      <c r="M53" s="311"/>
      <c r="N53" s="312"/>
      <c r="O53" s="244"/>
      <c r="P53" s="243"/>
      <c r="Q53" s="244"/>
      <c r="R53" s="243"/>
      <c r="S53" s="242"/>
      <c r="T53" s="243"/>
      <c r="U53" s="242"/>
      <c r="V53" s="243"/>
      <c r="W53" s="242"/>
      <c r="X53" s="242"/>
      <c r="Y53" s="243"/>
      <c r="Z53" s="244"/>
      <c r="AA53" s="243"/>
      <c r="AB53" s="244"/>
      <c r="AC53" s="243"/>
      <c r="AD53" s="244"/>
      <c r="AE53" s="243"/>
      <c r="AF53" s="242"/>
      <c r="AG53" s="243"/>
      <c r="AH53" s="244"/>
      <c r="AI53" s="243"/>
      <c r="AJ53" s="245"/>
      <c r="AK53" s="243"/>
      <c r="AL53" s="244"/>
      <c r="AM53" s="243"/>
      <c r="AN53" s="244"/>
      <c r="AO53" s="243"/>
      <c r="AP53" s="244"/>
      <c r="AQ53" s="243"/>
      <c r="AR53" s="244"/>
      <c r="AS53" s="243"/>
      <c r="AT53" s="242"/>
      <c r="AU53" s="243"/>
      <c r="AV53" s="244"/>
      <c r="AW53" s="243"/>
      <c r="AX53" s="244"/>
      <c r="AY53" s="243"/>
      <c r="AZ53" s="242"/>
      <c r="BA53" s="243"/>
      <c r="BB53" s="245"/>
      <c r="BC53" s="243"/>
      <c r="BD53" s="242"/>
      <c r="BE53" s="243"/>
      <c r="BF53" s="242"/>
    </row>
    <row r="54" spans="1:58" ht="14.4" thickBot="1" x14ac:dyDescent="0.35">
      <c r="A54" s="356" t="s">
        <v>202</v>
      </c>
      <c r="B54" s="397" t="s">
        <v>203</v>
      </c>
      <c r="C54" s="398"/>
      <c r="D54" s="398"/>
      <c r="E54" s="398"/>
      <c r="F54" s="398"/>
      <c r="G54" s="398"/>
      <c r="H54" s="398"/>
      <c r="I54" s="398"/>
      <c r="J54" s="398"/>
      <c r="K54" s="399"/>
      <c r="L54" s="311"/>
      <c r="M54" s="311"/>
      <c r="N54" s="312"/>
      <c r="O54" s="244"/>
      <c r="P54" s="243"/>
      <c r="Q54" s="244"/>
      <c r="R54" s="243"/>
      <c r="S54" s="242"/>
      <c r="T54" s="243"/>
      <c r="U54" s="242"/>
      <c r="V54" s="243"/>
      <c r="W54" s="242"/>
      <c r="X54" s="242"/>
      <c r="Y54" s="243"/>
      <c r="Z54" s="244"/>
      <c r="AA54" s="243"/>
      <c r="AB54" s="244"/>
      <c r="AC54" s="243"/>
      <c r="AD54" s="244"/>
      <c r="AE54" s="243"/>
      <c r="AF54" s="242"/>
      <c r="AG54" s="243"/>
      <c r="AH54" s="244"/>
      <c r="AI54" s="243"/>
      <c r="AJ54" s="245"/>
      <c r="AK54" s="243"/>
      <c r="AL54" s="244"/>
      <c r="AM54" s="243"/>
      <c r="AN54" s="244"/>
      <c r="AO54" s="243"/>
      <c r="AP54" s="244"/>
      <c r="AQ54" s="243"/>
      <c r="AR54" s="244"/>
      <c r="AS54" s="243"/>
      <c r="AT54" s="242"/>
      <c r="AU54" s="243"/>
      <c r="AV54" s="244"/>
      <c r="AW54" s="243"/>
      <c r="AX54" s="244"/>
      <c r="AY54" s="243"/>
      <c r="AZ54" s="242"/>
      <c r="BA54" s="243"/>
      <c r="BB54" s="245"/>
      <c r="BC54" s="243"/>
      <c r="BD54" s="242"/>
      <c r="BE54" s="243"/>
      <c r="BF54" s="242"/>
    </row>
    <row r="55" spans="1:58" s="15" customFormat="1" ht="13.8" x14ac:dyDescent="0.3">
      <c r="A55" s="357" t="s">
        <v>204</v>
      </c>
      <c r="B55" s="358">
        <f>C7*B$53</f>
        <v>1270.8014469026321</v>
      </c>
      <c r="C55" s="358">
        <f t="shared" ref="C55:F55" si="7">D7*C$53</f>
        <v>0</v>
      </c>
      <c r="D55" s="358">
        <f t="shared" si="7"/>
        <v>0</v>
      </c>
      <c r="E55" s="358">
        <f t="shared" si="7"/>
        <v>0</v>
      </c>
      <c r="F55" s="358">
        <f t="shared" si="7"/>
        <v>0</v>
      </c>
      <c r="G55" s="361">
        <f>I7*G$53</f>
        <v>0</v>
      </c>
      <c r="H55" s="358">
        <f>J7*H$53</f>
        <v>0</v>
      </c>
      <c r="I55" s="358">
        <f>K7*I$53</f>
        <v>0</v>
      </c>
      <c r="J55" s="358">
        <f>L7*J$53</f>
        <v>0</v>
      </c>
      <c r="K55" s="358">
        <f>M7*K$53</f>
        <v>0</v>
      </c>
      <c r="L55" s="311"/>
      <c r="M55" s="311"/>
      <c r="N55" s="312"/>
      <c r="O55" s="244"/>
      <c r="P55" s="243"/>
      <c r="Q55" s="244"/>
      <c r="R55" s="243"/>
      <c r="S55" s="242"/>
      <c r="T55" s="243"/>
      <c r="U55" s="242"/>
      <c r="V55" s="243"/>
      <c r="W55" s="242"/>
      <c r="X55" s="242"/>
      <c r="Y55" s="243"/>
      <c r="Z55" s="244"/>
      <c r="AA55" s="243"/>
      <c r="AB55" s="244"/>
      <c r="AC55" s="243"/>
      <c r="AD55" s="244"/>
      <c r="AE55" s="243"/>
      <c r="AF55" s="242"/>
      <c r="AG55" s="243"/>
      <c r="AH55" s="244"/>
      <c r="AI55" s="243"/>
      <c r="AJ55" s="245"/>
      <c r="AK55" s="243"/>
      <c r="AL55" s="244"/>
      <c r="AM55" s="243"/>
      <c r="AN55" s="244"/>
      <c r="AO55" s="243"/>
      <c r="AP55" s="244"/>
      <c r="AQ55" s="243"/>
      <c r="AR55" s="244"/>
      <c r="AS55" s="243"/>
      <c r="AT55" s="242"/>
      <c r="AU55" s="243"/>
      <c r="AV55" s="244"/>
      <c r="AW55" s="243"/>
      <c r="AX55" s="244"/>
      <c r="AY55" s="243"/>
      <c r="AZ55" s="242"/>
      <c r="BA55" s="243"/>
      <c r="BB55" s="245"/>
      <c r="BC55" s="243"/>
      <c r="BD55" s="242"/>
      <c r="BE55" s="243"/>
      <c r="BF55" s="242"/>
    </row>
    <row r="56" spans="1:58" s="15" customFormat="1" ht="13.8" x14ac:dyDescent="0.3">
      <c r="A56" s="359" t="s">
        <v>205</v>
      </c>
      <c r="B56" s="360">
        <f t="shared" ref="B56:F56" si="8">C8*B$53</f>
        <v>841.90595857299365</v>
      </c>
      <c r="C56" s="361">
        <f t="shared" si="8"/>
        <v>0</v>
      </c>
      <c r="D56" s="361">
        <f t="shared" si="8"/>
        <v>0</v>
      </c>
      <c r="E56" s="361">
        <f t="shared" si="8"/>
        <v>0</v>
      </c>
      <c r="F56" s="361">
        <f t="shared" si="8"/>
        <v>0</v>
      </c>
      <c r="G56" s="361">
        <f t="shared" ref="G56:K56" si="9">I8*G$53</f>
        <v>0</v>
      </c>
      <c r="H56" s="361">
        <f t="shared" si="9"/>
        <v>0</v>
      </c>
      <c r="I56" s="361">
        <f t="shared" si="9"/>
        <v>0</v>
      </c>
      <c r="J56" s="362">
        <f t="shared" si="9"/>
        <v>0</v>
      </c>
      <c r="K56" s="363">
        <f t="shared" si="9"/>
        <v>0</v>
      </c>
      <c r="L56" s="311"/>
      <c r="M56" s="311"/>
      <c r="N56" s="312"/>
      <c r="O56" s="244"/>
      <c r="P56" s="243"/>
      <c r="Q56" s="244"/>
      <c r="R56" s="243"/>
      <c r="S56" s="242"/>
      <c r="T56" s="243"/>
      <c r="U56" s="242"/>
      <c r="V56" s="243"/>
      <c r="W56" s="242"/>
      <c r="X56" s="242"/>
      <c r="Y56" s="243"/>
      <c r="Z56" s="244"/>
      <c r="AA56" s="243"/>
      <c r="AB56" s="244"/>
      <c r="AC56" s="243"/>
      <c r="AD56" s="244"/>
      <c r="AE56" s="243"/>
      <c r="AF56" s="242"/>
      <c r="AG56" s="243"/>
      <c r="AH56" s="244"/>
      <c r="AI56" s="243"/>
      <c r="AJ56" s="245"/>
      <c r="AK56" s="243"/>
      <c r="AL56" s="244"/>
      <c r="AM56" s="243"/>
      <c r="AN56" s="244"/>
      <c r="AO56" s="243"/>
      <c r="AP56" s="244"/>
      <c r="AQ56" s="243"/>
      <c r="AR56" s="244"/>
      <c r="AS56" s="243"/>
      <c r="AT56" s="242"/>
      <c r="AU56" s="243"/>
      <c r="AV56" s="244"/>
      <c r="AW56" s="243"/>
      <c r="AX56" s="244"/>
      <c r="AY56" s="243"/>
      <c r="AZ56" s="242"/>
      <c r="BA56" s="243"/>
      <c r="BB56" s="245"/>
      <c r="BC56" s="243"/>
      <c r="BD56" s="242"/>
      <c r="BE56" s="243"/>
      <c r="BF56" s="242"/>
    </row>
    <row r="57" spans="1:58" s="15" customFormat="1" ht="13.8" x14ac:dyDescent="0.3">
      <c r="A57" s="359" t="s">
        <v>206</v>
      </c>
      <c r="B57" s="360">
        <f t="shared" ref="B57:F57" si="10">C9*B$53</f>
        <v>929.27355804754973</v>
      </c>
      <c r="C57" s="361">
        <f t="shared" si="10"/>
        <v>0</v>
      </c>
      <c r="D57" s="361">
        <f t="shared" si="10"/>
        <v>0</v>
      </c>
      <c r="E57" s="361">
        <f t="shared" si="10"/>
        <v>0</v>
      </c>
      <c r="F57" s="361">
        <f t="shared" si="10"/>
        <v>0</v>
      </c>
      <c r="G57" s="361">
        <f t="shared" ref="G57:K57" si="11">I9*G$53</f>
        <v>0</v>
      </c>
      <c r="H57" s="361">
        <f t="shared" si="11"/>
        <v>0</v>
      </c>
      <c r="I57" s="361">
        <f t="shared" si="11"/>
        <v>0</v>
      </c>
      <c r="J57" s="362">
        <f t="shared" si="11"/>
        <v>0</v>
      </c>
      <c r="K57" s="363">
        <f t="shared" si="11"/>
        <v>0</v>
      </c>
      <c r="L57" s="311"/>
      <c r="M57" s="311"/>
      <c r="N57" s="312"/>
      <c r="O57" s="244"/>
      <c r="P57" s="243"/>
      <c r="Q57" s="244"/>
      <c r="R57" s="243"/>
      <c r="S57" s="242"/>
      <c r="T57" s="243"/>
      <c r="U57" s="242"/>
      <c r="V57" s="243"/>
      <c r="W57" s="242"/>
      <c r="X57" s="242"/>
      <c r="Y57" s="243"/>
      <c r="Z57" s="244"/>
      <c r="AA57" s="243"/>
      <c r="AB57" s="244"/>
      <c r="AC57" s="243"/>
      <c r="AD57" s="244"/>
      <c r="AE57" s="243"/>
      <c r="AF57" s="242"/>
      <c r="AG57" s="243"/>
      <c r="AH57" s="244"/>
      <c r="AI57" s="243"/>
      <c r="AJ57" s="245"/>
      <c r="AK57" s="243"/>
      <c r="AL57" s="244"/>
      <c r="AM57" s="243"/>
      <c r="AN57" s="244"/>
      <c r="AO57" s="243"/>
      <c r="AP57" s="244"/>
      <c r="AQ57" s="243"/>
      <c r="AR57" s="244"/>
      <c r="AS57" s="243"/>
      <c r="AT57" s="242"/>
      <c r="AU57" s="243"/>
      <c r="AV57" s="244"/>
      <c r="AW57" s="243"/>
      <c r="AX57" s="244"/>
      <c r="AY57" s="243"/>
      <c r="AZ57" s="242"/>
      <c r="BA57" s="243"/>
      <c r="BB57" s="245"/>
      <c r="BC57" s="243"/>
      <c r="BD57" s="242"/>
      <c r="BE57" s="243"/>
      <c r="BF57" s="242"/>
    </row>
    <row r="58" spans="1:58" ht="13.8" x14ac:dyDescent="0.3">
      <c r="A58" s="359" t="s">
        <v>207</v>
      </c>
      <c r="B58" s="360">
        <f t="shared" ref="B58:F58" si="12">C10*B$53</f>
        <v>0</v>
      </c>
      <c r="C58" s="361">
        <f>D10*C$53</f>
        <v>1858.8600000000004</v>
      </c>
      <c r="D58" s="361">
        <f t="shared" si="12"/>
        <v>0</v>
      </c>
      <c r="E58" s="361">
        <f t="shared" si="12"/>
        <v>0</v>
      </c>
      <c r="F58" s="361">
        <f t="shared" si="12"/>
        <v>0</v>
      </c>
      <c r="G58" s="361">
        <f t="shared" ref="G58:K58" si="13">I10*G$53</f>
        <v>0</v>
      </c>
      <c r="H58" s="361">
        <f t="shared" si="13"/>
        <v>0</v>
      </c>
      <c r="I58" s="361">
        <f t="shared" si="13"/>
        <v>0</v>
      </c>
      <c r="J58" s="362">
        <f t="shared" si="13"/>
        <v>0</v>
      </c>
      <c r="K58" s="363">
        <f t="shared" si="13"/>
        <v>0</v>
      </c>
      <c r="L58" s="311"/>
      <c r="M58" s="311"/>
      <c r="N58" s="312"/>
      <c r="O58" s="244"/>
      <c r="P58" s="243"/>
      <c r="Q58" s="244"/>
      <c r="R58" s="243"/>
      <c r="S58" s="242"/>
      <c r="T58" s="243"/>
      <c r="U58" s="242"/>
      <c r="V58" s="243"/>
      <c r="W58" s="242"/>
      <c r="X58" s="242"/>
      <c r="Y58" s="243"/>
      <c r="Z58" s="244"/>
      <c r="AA58" s="243"/>
      <c r="AB58" s="244"/>
      <c r="AC58" s="243"/>
      <c r="AD58" s="244"/>
      <c r="AE58" s="243"/>
      <c r="AF58" s="242"/>
      <c r="AG58" s="243"/>
      <c r="AH58" s="244"/>
      <c r="AI58" s="243"/>
      <c r="AJ58" s="245"/>
      <c r="AK58" s="243"/>
      <c r="AL58" s="244"/>
      <c r="AM58" s="243"/>
      <c r="AN58" s="244"/>
      <c r="AO58" s="243"/>
      <c r="AP58" s="244"/>
      <c r="AQ58" s="243"/>
      <c r="AR58" s="244"/>
      <c r="AS58" s="243"/>
      <c r="AT58" s="242"/>
      <c r="AU58" s="243"/>
      <c r="AV58" s="244"/>
      <c r="AW58" s="243"/>
      <c r="AX58" s="244"/>
      <c r="AY58" s="243"/>
      <c r="AZ58" s="242"/>
      <c r="BA58" s="243"/>
      <c r="BB58" s="245"/>
      <c r="BC58" s="243"/>
      <c r="BD58" s="242"/>
      <c r="BE58" s="243"/>
      <c r="BF58" s="242"/>
    </row>
    <row r="59" spans="1:58" ht="13.8" x14ac:dyDescent="0.3">
      <c r="A59" s="359" t="s">
        <v>208</v>
      </c>
      <c r="B59" s="360">
        <f t="shared" ref="B59:F59" si="14">C11*B$53</f>
        <v>2692.5105656249521</v>
      </c>
      <c r="C59" s="361">
        <f t="shared" si="14"/>
        <v>0</v>
      </c>
      <c r="D59" s="361">
        <f t="shared" si="14"/>
        <v>0</v>
      </c>
      <c r="E59" s="361">
        <f t="shared" si="14"/>
        <v>0</v>
      </c>
      <c r="F59" s="361">
        <f t="shared" si="14"/>
        <v>0</v>
      </c>
      <c r="G59" s="361">
        <f>I11*G$53</f>
        <v>0</v>
      </c>
      <c r="H59" s="361">
        <f t="shared" ref="H59:K59" si="15">J11*H$53</f>
        <v>0</v>
      </c>
      <c r="I59" s="361">
        <f t="shared" si="15"/>
        <v>0</v>
      </c>
      <c r="J59" s="362">
        <f t="shared" si="15"/>
        <v>0</v>
      </c>
      <c r="K59" s="363">
        <f t="shared" si="15"/>
        <v>0</v>
      </c>
      <c r="L59" s="311"/>
      <c r="M59" s="311"/>
      <c r="N59" s="312"/>
      <c r="O59" s="244"/>
      <c r="P59" s="243"/>
      <c r="Q59" s="244"/>
      <c r="R59" s="243"/>
      <c r="S59" s="242"/>
      <c r="T59" s="243"/>
      <c r="U59" s="242"/>
      <c r="V59" s="243"/>
      <c r="W59" s="242"/>
      <c r="X59" s="242"/>
      <c r="Y59" s="243"/>
      <c r="Z59" s="244"/>
      <c r="AA59" s="243"/>
      <c r="AB59" s="244"/>
      <c r="AC59" s="243"/>
      <c r="AD59" s="244"/>
      <c r="AE59" s="243"/>
      <c r="AF59" s="242"/>
      <c r="AG59" s="243"/>
      <c r="AH59" s="244"/>
      <c r="AI59" s="243"/>
      <c r="AJ59" s="245"/>
      <c r="AK59" s="243"/>
      <c r="AL59" s="244"/>
      <c r="AM59" s="243"/>
      <c r="AN59" s="244"/>
      <c r="AO59" s="243"/>
      <c r="AP59" s="244"/>
      <c r="AQ59" s="243"/>
      <c r="AR59" s="244"/>
      <c r="AS59" s="243"/>
      <c r="AT59" s="242"/>
      <c r="AU59" s="243"/>
      <c r="AV59" s="244"/>
      <c r="AW59" s="243"/>
      <c r="AX59" s="244"/>
      <c r="AY59" s="243"/>
      <c r="AZ59" s="242"/>
      <c r="BA59" s="243"/>
      <c r="BB59" s="245"/>
      <c r="BC59" s="243"/>
      <c r="BD59" s="242"/>
      <c r="BE59" s="243"/>
      <c r="BF59" s="242"/>
    </row>
    <row r="60" spans="1:58" ht="13.8" x14ac:dyDescent="0.3">
      <c r="A60" s="359" t="s">
        <v>209</v>
      </c>
      <c r="B60" s="360">
        <f t="shared" ref="B60:F60" si="16">C12*B$53</f>
        <v>0</v>
      </c>
      <c r="C60" s="361">
        <f t="shared" si="16"/>
        <v>0</v>
      </c>
      <c r="D60" s="361">
        <f t="shared" si="16"/>
        <v>0</v>
      </c>
      <c r="E60" s="361">
        <f t="shared" si="16"/>
        <v>0</v>
      </c>
      <c r="F60" s="361">
        <f t="shared" si="16"/>
        <v>0</v>
      </c>
      <c r="G60" s="361">
        <f>I12*G$53</f>
        <v>0</v>
      </c>
      <c r="H60" s="361">
        <f t="shared" ref="H60:K60" si="17">J12*H$53</f>
        <v>0</v>
      </c>
      <c r="I60" s="361">
        <f t="shared" si="17"/>
        <v>0</v>
      </c>
      <c r="J60" s="362">
        <f t="shared" si="17"/>
        <v>0</v>
      </c>
      <c r="K60" s="363">
        <f t="shared" si="17"/>
        <v>0</v>
      </c>
      <c r="L60" s="311"/>
      <c r="M60" s="311"/>
      <c r="N60" s="312"/>
      <c r="O60" s="244"/>
      <c r="P60" s="243"/>
      <c r="Q60" s="244"/>
      <c r="R60" s="243"/>
      <c r="S60" s="242"/>
      <c r="T60" s="243"/>
      <c r="U60" s="242"/>
      <c r="V60" s="243"/>
      <c r="W60" s="242"/>
      <c r="X60" s="242"/>
      <c r="Y60" s="243"/>
      <c r="Z60" s="244"/>
      <c r="AA60" s="243"/>
      <c r="AB60" s="244"/>
      <c r="AC60" s="243"/>
      <c r="AD60" s="244"/>
      <c r="AE60" s="243"/>
      <c r="AF60" s="242"/>
      <c r="AG60" s="243"/>
      <c r="AH60" s="244"/>
      <c r="AI60" s="243"/>
      <c r="AJ60" s="245"/>
      <c r="AK60" s="243"/>
      <c r="AL60" s="244"/>
      <c r="AM60" s="243"/>
      <c r="AN60" s="244"/>
      <c r="AO60" s="243"/>
      <c r="AP60" s="244"/>
      <c r="AQ60" s="243"/>
      <c r="AR60" s="244"/>
      <c r="AS60" s="243"/>
      <c r="AT60" s="242"/>
      <c r="AU60" s="243"/>
      <c r="AV60" s="244"/>
      <c r="AW60" s="243"/>
      <c r="AX60" s="244"/>
      <c r="AY60" s="243"/>
      <c r="AZ60" s="242"/>
      <c r="BA60" s="243"/>
      <c r="BB60" s="245"/>
      <c r="BC60" s="243"/>
      <c r="BD60" s="242"/>
      <c r="BE60" s="243"/>
      <c r="BF60" s="242"/>
    </row>
    <row r="61" spans="1:58" ht="13.8" x14ac:dyDescent="0.3">
      <c r="A61" s="359" t="s">
        <v>210</v>
      </c>
      <c r="B61" s="360">
        <f>C15*B$53</f>
        <v>127.0801446902632</v>
      </c>
      <c r="C61" s="360">
        <f t="shared" ref="C61:F61" si="18">D15*C$53</f>
        <v>0</v>
      </c>
      <c r="D61" s="360">
        <f t="shared" si="18"/>
        <v>0</v>
      </c>
      <c r="E61" s="360">
        <f t="shared" si="18"/>
        <v>0</v>
      </c>
      <c r="F61" s="360">
        <f t="shared" si="18"/>
        <v>0</v>
      </c>
      <c r="G61" s="361">
        <f>I15*G$53</f>
        <v>0</v>
      </c>
      <c r="H61" s="361">
        <f>J15*H$53</f>
        <v>0</v>
      </c>
      <c r="I61" s="360">
        <f>K15*I$53</f>
        <v>3808.04</v>
      </c>
      <c r="J61" s="360">
        <f>L15*J$53</f>
        <v>0</v>
      </c>
      <c r="K61" s="360">
        <f>M15*K$53</f>
        <v>0</v>
      </c>
      <c r="L61" s="311"/>
      <c r="M61" s="311"/>
      <c r="N61" s="312"/>
      <c r="O61" s="244"/>
      <c r="P61" s="243"/>
      <c r="Q61" s="244"/>
      <c r="R61" s="243"/>
      <c r="S61" s="242"/>
      <c r="T61" s="243"/>
      <c r="U61" s="242"/>
      <c r="V61" s="243"/>
      <c r="W61" s="242"/>
      <c r="X61" s="242"/>
      <c r="Y61" s="243"/>
      <c r="Z61" s="244"/>
      <c r="AA61" s="243"/>
      <c r="AB61" s="244"/>
      <c r="AC61" s="243"/>
      <c r="AD61" s="244"/>
      <c r="AE61" s="243"/>
      <c r="AF61" s="242"/>
      <c r="AG61" s="243"/>
      <c r="AH61" s="244"/>
      <c r="AI61" s="243"/>
      <c r="AJ61" s="245"/>
      <c r="AK61" s="243"/>
      <c r="AL61" s="244"/>
      <c r="AM61" s="243"/>
      <c r="AN61" s="244"/>
      <c r="AO61" s="243"/>
      <c r="AP61" s="244"/>
      <c r="AQ61" s="243"/>
      <c r="AR61" s="244"/>
      <c r="AS61" s="243"/>
      <c r="AT61" s="242"/>
      <c r="AU61" s="243"/>
      <c r="AV61" s="244"/>
      <c r="AW61" s="243"/>
      <c r="AX61" s="244"/>
      <c r="AY61" s="243"/>
      <c r="AZ61" s="242"/>
      <c r="BA61" s="243"/>
      <c r="BB61" s="245"/>
      <c r="BC61" s="243"/>
      <c r="BD61" s="242"/>
      <c r="BE61" s="243"/>
      <c r="BF61" s="242"/>
    </row>
    <row r="62" spans="1:58" ht="13.8" x14ac:dyDescent="0.3">
      <c r="A62" s="359" t="s">
        <v>211</v>
      </c>
      <c r="B62" s="360">
        <f t="shared" ref="B62:F65" si="19">C16*B$53</f>
        <v>0</v>
      </c>
      <c r="C62" s="360">
        <f t="shared" si="19"/>
        <v>0</v>
      </c>
      <c r="D62" s="360">
        <f t="shared" si="19"/>
        <v>0</v>
      </c>
      <c r="E62" s="360">
        <f t="shared" si="19"/>
        <v>0</v>
      </c>
      <c r="F62" s="360">
        <f t="shared" si="19"/>
        <v>0</v>
      </c>
      <c r="G62" s="361">
        <f t="shared" ref="G62:K62" si="20">I16*G$53</f>
        <v>0</v>
      </c>
      <c r="H62" s="361">
        <f t="shared" si="20"/>
        <v>0</v>
      </c>
      <c r="I62" s="360">
        <f t="shared" si="20"/>
        <v>0</v>
      </c>
      <c r="J62" s="360">
        <f t="shared" si="20"/>
        <v>0</v>
      </c>
      <c r="K62" s="360">
        <f t="shared" si="20"/>
        <v>0</v>
      </c>
      <c r="L62" s="311"/>
      <c r="M62" s="311"/>
      <c r="N62" s="312"/>
      <c r="O62" s="244"/>
      <c r="P62" s="243"/>
      <c r="Q62" s="244"/>
      <c r="R62" s="243"/>
      <c r="S62" s="242"/>
      <c r="T62" s="243"/>
      <c r="U62" s="242"/>
      <c r="V62" s="243"/>
      <c r="W62" s="242"/>
      <c r="X62" s="242"/>
      <c r="Y62" s="243"/>
      <c r="Z62" s="244"/>
      <c r="AA62" s="243"/>
      <c r="AB62" s="244"/>
      <c r="AC62" s="243"/>
      <c r="AD62" s="244"/>
      <c r="AE62" s="243"/>
      <c r="AF62" s="242"/>
      <c r="AG62" s="243"/>
      <c r="AH62" s="244"/>
      <c r="AI62" s="243"/>
      <c r="AJ62" s="245"/>
      <c r="AK62" s="243"/>
      <c r="AL62" s="244"/>
      <c r="AM62" s="243"/>
      <c r="AN62" s="244"/>
      <c r="AO62" s="243"/>
      <c r="AP62" s="244"/>
      <c r="AQ62" s="243"/>
      <c r="AR62" s="244"/>
      <c r="AS62" s="243"/>
      <c r="AT62" s="242"/>
      <c r="AU62" s="243"/>
      <c r="AV62" s="244"/>
      <c r="AW62" s="243"/>
      <c r="AX62" s="244"/>
      <c r="AY62" s="243"/>
      <c r="AZ62" s="242"/>
      <c r="BA62" s="243"/>
      <c r="BB62" s="245"/>
      <c r="BC62" s="243"/>
      <c r="BD62" s="242"/>
      <c r="BE62" s="243"/>
      <c r="BF62" s="242"/>
    </row>
    <row r="63" spans="1:58" ht="13.8" x14ac:dyDescent="0.3">
      <c r="A63" s="359" t="s">
        <v>212</v>
      </c>
      <c r="B63" s="360">
        <f t="shared" si="19"/>
        <v>0</v>
      </c>
      <c r="C63" s="360">
        <f t="shared" si="19"/>
        <v>0</v>
      </c>
      <c r="D63" s="360">
        <f t="shared" si="19"/>
        <v>0</v>
      </c>
      <c r="E63" s="360">
        <f t="shared" si="19"/>
        <v>0</v>
      </c>
      <c r="F63" s="360">
        <f t="shared" si="19"/>
        <v>0</v>
      </c>
      <c r="G63" s="361">
        <f t="shared" ref="G63:K63" si="21">I17*G$53</f>
        <v>0</v>
      </c>
      <c r="H63" s="361">
        <f t="shared" si="21"/>
        <v>0</v>
      </c>
      <c r="I63" s="360">
        <f t="shared" si="21"/>
        <v>0</v>
      </c>
      <c r="J63" s="360">
        <f t="shared" si="21"/>
        <v>0</v>
      </c>
      <c r="K63" s="360">
        <f t="shared" si="21"/>
        <v>0</v>
      </c>
      <c r="L63" s="311"/>
      <c r="M63" s="311"/>
      <c r="N63" s="312"/>
      <c r="O63" s="244"/>
      <c r="P63" s="243"/>
      <c r="Q63" s="244"/>
      <c r="R63" s="243"/>
      <c r="S63" s="242"/>
      <c r="T63" s="243"/>
      <c r="U63" s="242"/>
      <c r="V63" s="243"/>
      <c r="W63" s="242"/>
      <c r="X63" s="242"/>
      <c r="Y63" s="243"/>
      <c r="Z63" s="244"/>
      <c r="AA63" s="243"/>
      <c r="AB63" s="244"/>
      <c r="AC63" s="243"/>
      <c r="AD63" s="244"/>
      <c r="AE63" s="243"/>
      <c r="AF63" s="242"/>
      <c r="AG63" s="243"/>
      <c r="AH63" s="244"/>
      <c r="AI63" s="243"/>
      <c r="AJ63" s="245"/>
      <c r="AK63" s="243"/>
      <c r="AL63" s="244"/>
      <c r="AM63" s="243"/>
      <c r="AN63" s="244"/>
      <c r="AO63" s="243"/>
      <c r="AP63" s="244"/>
      <c r="AQ63" s="243"/>
      <c r="AR63" s="244"/>
      <c r="AS63" s="243"/>
      <c r="AT63" s="242"/>
      <c r="AU63" s="243"/>
      <c r="AV63" s="244"/>
      <c r="AW63" s="243"/>
      <c r="AX63" s="244"/>
      <c r="AY63" s="243"/>
      <c r="AZ63" s="242"/>
      <c r="BA63" s="243"/>
      <c r="BB63" s="245"/>
      <c r="BC63" s="243"/>
      <c r="BD63" s="242"/>
      <c r="BE63" s="243"/>
      <c r="BF63" s="242"/>
    </row>
    <row r="64" spans="1:58" ht="13.8" x14ac:dyDescent="0.3">
      <c r="A64" s="359" t="s">
        <v>213</v>
      </c>
      <c r="B64" s="360">
        <f t="shared" si="19"/>
        <v>0</v>
      </c>
      <c r="C64" s="360">
        <f t="shared" si="19"/>
        <v>0</v>
      </c>
      <c r="D64" s="360">
        <f t="shared" si="19"/>
        <v>0</v>
      </c>
      <c r="E64" s="360">
        <f t="shared" si="19"/>
        <v>0</v>
      </c>
      <c r="F64" s="360">
        <f t="shared" si="19"/>
        <v>0</v>
      </c>
      <c r="G64" s="361">
        <f t="shared" ref="G64:K64" si="22">I18*G$53</f>
        <v>0</v>
      </c>
      <c r="H64" s="361">
        <f t="shared" si="22"/>
        <v>0</v>
      </c>
      <c r="I64" s="360">
        <f t="shared" si="22"/>
        <v>5589.22</v>
      </c>
      <c r="J64" s="360">
        <f t="shared" si="22"/>
        <v>0</v>
      </c>
      <c r="K64" s="360">
        <f t="shared" si="22"/>
        <v>0</v>
      </c>
      <c r="L64" s="311"/>
      <c r="M64" s="311"/>
      <c r="N64" s="312"/>
      <c r="O64" s="244"/>
      <c r="P64" s="243"/>
      <c r="Q64" s="244"/>
      <c r="R64" s="243"/>
      <c r="S64" s="242"/>
      <c r="T64" s="243"/>
      <c r="U64" s="242"/>
      <c r="V64" s="243"/>
      <c r="W64" s="242"/>
      <c r="X64" s="242"/>
      <c r="Y64" s="243"/>
      <c r="Z64" s="244"/>
      <c r="AA64" s="243"/>
      <c r="AB64" s="244"/>
      <c r="AC64" s="243"/>
      <c r="AD64" s="244"/>
      <c r="AE64" s="243"/>
      <c r="AF64" s="242"/>
      <c r="AG64" s="243"/>
      <c r="AH64" s="244"/>
      <c r="AI64" s="243"/>
      <c r="AJ64" s="245"/>
      <c r="AK64" s="243"/>
      <c r="AL64" s="244"/>
      <c r="AM64" s="243"/>
      <c r="AN64" s="244"/>
      <c r="AO64" s="243"/>
      <c r="AP64" s="244"/>
      <c r="AQ64" s="243"/>
      <c r="AR64" s="244"/>
      <c r="AS64" s="243"/>
      <c r="AT64" s="242"/>
      <c r="AU64" s="243"/>
      <c r="AV64" s="244"/>
      <c r="AW64" s="243"/>
      <c r="AX64" s="244"/>
      <c r="AY64" s="243"/>
      <c r="AZ64" s="242"/>
      <c r="BA64" s="243"/>
      <c r="BB64" s="245"/>
      <c r="BC64" s="243"/>
      <c r="BD64" s="242"/>
      <c r="BE64" s="243"/>
      <c r="BF64" s="242"/>
    </row>
    <row r="65" spans="1:58" ht="13.8" x14ac:dyDescent="0.3">
      <c r="A65" s="359" t="s">
        <v>214</v>
      </c>
      <c r="B65" s="360">
        <f t="shared" si="19"/>
        <v>0</v>
      </c>
      <c r="C65" s="360">
        <f t="shared" si="19"/>
        <v>103.50000000000001</v>
      </c>
      <c r="D65" s="360">
        <f t="shared" si="19"/>
        <v>0</v>
      </c>
      <c r="E65" s="360">
        <f t="shared" si="19"/>
        <v>0</v>
      </c>
      <c r="F65" s="360">
        <f t="shared" si="19"/>
        <v>0</v>
      </c>
      <c r="G65" s="361">
        <f t="shared" ref="G65:K65" si="23">I19*G$53</f>
        <v>0</v>
      </c>
      <c r="H65" s="361">
        <f t="shared" si="23"/>
        <v>0</v>
      </c>
      <c r="I65" s="360">
        <f t="shared" si="23"/>
        <v>0</v>
      </c>
      <c r="J65" s="360">
        <f t="shared" si="23"/>
        <v>0</v>
      </c>
      <c r="K65" s="360">
        <f t="shared" si="23"/>
        <v>0</v>
      </c>
      <c r="L65" s="311"/>
      <c r="M65" s="311"/>
      <c r="N65" s="312"/>
      <c r="O65" s="244"/>
      <c r="P65" s="243"/>
      <c r="Q65" s="244"/>
      <c r="R65" s="243"/>
      <c r="S65" s="242"/>
      <c r="T65" s="243"/>
      <c r="U65" s="242"/>
      <c r="V65" s="243"/>
      <c r="W65" s="242"/>
      <c r="X65" s="242"/>
      <c r="Y65" s="243"/>
      <c r="Z65" s="244"/>
      <c r="AA65" s="243"/>
      <c r="AB65" s="244"/>
      <c r="AC65" s="243"/>
      <c r="AD65" s="244"/>
      <c r="AE65" s="243"/>
      <c r="AF65" s="242"/>
      <c r="AG65" s="243"/>
      <c r="AH65" s="244"/>
      <c r="AI65" s="243"/>
      <c r="AJ65" s="245"/>
      <c r="AK65" s="243"/>
      <c r="AL65" s="244"/>
      <c r="AM65" s="243"/>
      <c r="AN65" s="244"/>
      <c r="AO65" s="243"/>
      <c r="AP65" s="244"/>
      <c r="AQ65" s="243"/>
      <c r="AR65" s="244"/>
      <c r="AS65" s="243"/>
      <c r="AT65" s="242"/>
      <c r="AU65" s="243"/>
      <c r="AV65" s="244"/>
      <c r="AW65" s="243"/>
      <c r="AX65" s="244"/>
      <c r="AY65" s="243"/>
      <c r="AZ65" s="242"/>
      <c r="BA65" s="243"/>
      <c r="BB65" s="245"/>
      <c r="BC65" s="243"/>
      <c r="BD65" s="242"/>
      <c r="BE65" s="243"/>
      <c r="BF65" s="242"/>
    </row>
    <row r="66" spans="1:58" ht="13.8" x14ac:dyDescent="0.3">
      <c r="A66" s="359" t="s">
        <v>220</v>
      </c>
      <c r="B66" s="360">
        <f t="shared" ref="B66:F66" si="24">C20*B$53</f>
        <v>0</v>
      </c>
      <c r="C66" s="360">
        <f t="shared" si="24"/>
        <v>0</v>
      </c>
      <c r="D66" s="360">
        <f t="shared" si="24"/>
        <v>0</v>
      </c>
      <c r="E66" s="360">
        <f t="shared" si="24"/>
        <v>0</v>
      </c>
      <c r="F66" s="360">
        <f t="shared" si="24"/>
        <v>0</v>
      </c>
      <c r="G66" s="361">
        <f t="shared" ref="G66:K66" si="25">I20*G$53</f>
        <v>0</v>
      </c>
      <c r="H66" s="361">
        <f t="shared" si="25"/>
        <v>0</v>
      </c>
      <c r="I66" s="360">
        <f t="shared" si="25"/>
        <v>0</v>
      </c>
      <c r="J66" s="360">
        <f t="shared" si="25"/>
        <v>0</v>
      </c>
      <c r="K66" s="360">
        <f t="shared" si="25"/>
        <v>0</v>
      </c>
      <c r="L66" s="311"/>
      <c r="M66" s="311"/>
      <c r="N66" s="312"/>
      <c r="O66" s="244"/>
      <c r="P66" s="243"/>
      <c r="Q66" s="244"/>
      <c r="R66" s="243"/>
      <c r="S66" s="242"/>
      <c r="T66" s="243"/>
      <c r="U66" s="242"/>
      <c r="V66" s="243"/>
      <c r="W66" s="242"/>
      <c r="X66" s="242"/>
      <c r="Y66" s="243"/>
      <c r="Z66" s="244"/>
      <c r="AA66" s="243"/>
      <c r="AB66" s="244"/>
      <c r="AC66" s="243"/>
      <c r="AD66" s="244"/>
      <c r="AE66" s="243"/>
      <c r="AF66" s="242"/>
      <c r="AG66" s="243"/>
      <c r="AH66" s="244"/>
      <c r="AI66" s="243"/>
      <c r="AJ66" s="245"/>
      <c r="AK66" s="243"/>
      <c r="AL66" s="244"/>
      <c r="AM66" s="243"/>
      <c r="AN66" s="244"/>
      <c r="AO66" s="243"/>
      <c r="AP66" s="244"/>
      <c r="AQ66" s="243"/>
      <c r="AR66" s="244"/>
      <c r="AS66" s="243"/>
      <c r="AT66" s="242"/>
      <c r="AU66" s="243"/>
      <c r="AV66" s="244"/>
      <c r="AW66" s="243"/>
      <c r="AX66" s="244"/>
      <c r="AY66" s="243"/>
      <c r="AZ66" s="242"/>
      <c r="BA66" s="243"/>
      <c r="BB66" s="245"/>
      <c r="BC66" s="243"/>
      <c r="BD66" s="242"/>
      <c r="BE66" s="243"/>
      <c r="BF66" s="242"/>
    </row>
    <row r="67" spans="1:58" ht="13.8" x14ac:dyDescent="0.3">
      <c r="A67" s="359" t="s">
        <v>221</v>
      </c>
      <c r="B67" s="360">
        <f t="shared" ref="B67:F67" si="26">C21*B$53</f>
        <v>0</v>
      </c>
      <c r="C67" s="360">
        <f t="shared" si="26"/>
        <v>0</v>
      </c>
      <c r="D67" s="360">
        <f t="shared" si="26"/>
        <v>0</v>
      </c>
      <c r="E67" s="360">
        <f t="shared" si="26"/>
        <v>0</v>
      </c>
      <c r="F67" s="360">
        <f t="shared" si="26"/>
        <v>0</v>
      </c>
      <c r="G67" s="361">
        <f t="shared" ref="G67:K67" si="27">I21*G$53</f>
        <v>0</v>
      </c>
      <c r="H67" s="361">
        <f t="shared" si="27"/>
        <v>0</v>
      </c>
      <c r="I67" s="360">
        <f t="shared" si="27"/>
        <v>0</v>
      </c>
      <c r="J67" s="360">
        <f t="shared" si="27"/>
        <v>0</v>
      </c>
      <c r="K67" s="360">
        <f t="shared" si="27"/>
        <v>0</v>
      </c>
      <c r="L67" s="311"/>
      <c r="M67" s="311"/>
      <c r="N67" s="312"/>
      <c r="O67" s="244"/>
      <c r="P67" s="243"/>
      <c r="Q67" s="244"/>
      <c r="R67" s="243"/>
      <c r="S67" s="242"/>
      <c r="T67" s="243"/>
      <c r="U67" s="242"/>
      <c r="V67" s="243"/>
      <c r="W67" s="242"/>
      <c r="X67" s="242"/>
      <c r="Y67" s="243"/>
      <c r="Z67" s="244"/>
      <c r="AA67" s="243"/>
      <c r="AB67" s="244"/>
      <c r="AC67" s="243"/>
      <c r="AD67" s="244"/>
      <c r="AE67" s="243"/>
      <c r="AF67" s="242"/>
      <c r="AG67" s="243"/>
      <c r="AH67" s="244"/>
      <c r="AI67" s="243"/>
      <c r="AJ67" s="245"/>
      <c r="AK67" s="243"/>
      <c r="AL67" s="244"/>
      <c r="AM67" s="243"/>
      <c r="AN67" s="244"/>
      <c r="AO67" s="243"/>
      <c r="AP67" s="244"/>
      <c r="AQ67" s="243"/>
      <c r="AR67" s="244"/>
      <c r="AS67" s="243"/>
      <c r="AT67" s="242"/>
      <c r="AU67" s="243"/>
      <c r="AV67" s="244"/>
      <c r="AW67" s="243"/>
      <c r="AX67" s="244"/>
      <c r="AY67" s="243"/>
      <c r="AZ67" s="242"/>
      <c r="BA67" s="243"/>
      <c r="BB67" s="245"/>
      <c r="BC67" s="243"/>
      <c r="BD67" s="242"/>
      <c r="BE67" s="243"/>
      <c r="BF67" s="242"/>
    </row>
    <row r="68" spans="1:58" ht="13.8" x14ac:dyDescent="0.3">
      <c r="A68" s="359" t="s">
        <v>222</v>
      </c>
      <c r="B68" s="360">
        <f t="shared" ref="B68:F68" si="28">C22*B$53</f>
        <v>0</v>
      </c>
      <c r="C68" s="360">
        <f t="shared" si="28"/>
        <v>0</v>
      </c>
      <c r="D68" s="360">
        <f t="shared" si="28"/>
        <v>0</v>
      </c>
      <c r="E68" s="360">
        <f t="shared" si="28"/>
        <v>0</v>
      </c>
      <c r="F68" s="360">
        <f t="shared" si="28"/>
        <v>0</v>
      </c>
      <c r="G68" s="361">
        <f t="shared" ref="G68:K68" si="29">I22*G$53</f>
        <v>0</v>
      </c>
      <c r="H68" s="361">
        <f t="shared" si="29"/>
        <v>0</v>
      </c>
      <c r="I68" s="360">
        <f t="shared" si="29"/>
        <v>0</v>
      </c>
      <c r="J68" s="360">
        <f t="shared" si="29"/>
        <v>0</v>
      </c>
      <c r="K68" s="360">
        <f t="shared" si="29"/>
        <v>0</v>
      </c>
      <c r="L68" s="311"/>
      <c r="M68" s="311"/>
      <c r="N68" s="312"/>
      <c r="O68" s="244"/>
      <c r="P68" s="243"/>
      <c r="Q68" s="244"/>
      <c r="R68" s="243"/>
      <c r="S68" s="242"/>
      <c r="T68" s="243"/>
      <c r="U68" s="242"/>
      <c r="V68" s="243"/>
      <c r="W68" s="242"/>
      <c r="X68" s="242"/>
      <c r="Y68" s="243"/>
      <c r="Z68" s="244"/>
      <c r="AA68" s="243"/>
      <c r="AB68" s="244"/>
      <c r="AC68" s="243"/>
      <c r="AD68" s="244"/>
      <c r="AE68" s="243"/>
      <c r="AF68" s="242"/>
      <c r="AG68" s="243"/>
      <c r="AH68" s="244"/>
      <c r="AI68" s="243"/>
      <c r="AJ68" s="245"/>
      <c r="AK68" s="243"/>
      <c r="AL68" s="244"/>
      <c r="AM68" s="243"/>
      <c r="AN68" s="244"/>
      <c r="AO68" s="243"/>
      <c r="AP68" s="244"/>
      <c r="AQ68" s="243"/>
      <c r="AR68" s="244"/>
      <c r="AS68" s="243"/>
      <c r="AT68" s="242"/>
      <c r="AU68" s="243"/>
      <c r="AV68" s="244"/>
      <c r="AW68" s="243"/>
      <c r="AX68" s="244"/>
      <c r="AY68" s="243"/>
      <c r="AZ68" s="242"/>
      <c r="BA68" s="243"/>
      <c r="BB68" s="245"/>
      <c r="BC68" s="243"/>
      <c r="BD68" s="242"/>
      <c r="BE68" s="243"/>
      <c r="BF68" s="242"/>
    </row>
    <row r="69" spans="1:58" ht="13.8" x14ac:dyDescent="0.3">
      <c r="A69" s="359" t="s">
        <v>223</v>
      </c>
      <c r="B69" s="360">
        <f t="shared" ref="B69:F69" si="30">C23*B$53</f>
        <v>0</v>
      </c>
      <c r="C69" s="360">
        <f t="shared" si="30"/>
        <v>0</v>
      </c>
      <c r="D69" s="360">
        <f t="shared" si="30"/>
        <v>0</v>
      </c>
      <c r="E69" s="360">
        <f t="shared" si="30"/>
        <v>0</v>
      </c>
      <c r="F69" s="360">
        <f t="shared" si="30"/>
        <v>0</v>
      </c>
      <c r="G69" s="361">
        <f t="shared" ref="G69:K69" si="31">I23*G$53</f>
        <v>0</v>
      </c>
      <c r="H69" s="361">
        <f t="shared" si="31"/>
        <v>0</v>
      </c>
      <c r="I69" s="360">
        <f t="shared" si="31"/>
        <v>0</v>
      </c>
      <c r="J69" s="360">
        <f t="shared" si="31"/>
        <v>0</v>
      </c>
      <c r="K69" s="360">
        <f t="shared" si="31"/>
        <v>0</v>
      </c>
      <c r="L69" s="311"/>
      <c r="M69" s="311"/>
      <c r="N69" s="312"/>
      <c r="O69" s="244"/>
      <c r="P69" s="243"/>
      <c r="Q69" s="244"/>
      <c r="R69" s="243"/>
      <c r="S69" s="242"/>
      <c r="T69" s="243"/>
      <c r="U69" s="242"/>
      <c r="V69" s="243"/>
      <c r="W69" s="242"/>
      <c r="X69" s="242"/>
      <c r="Y69" s="243"/>
      <c r="Z69" s="244"/>
      <c r="AA69" s="243"/>
      <c r="AB69" s="244"/>
      <c r="AC69" s="243"/>
      <c r="AD69" s="244"/>
      <c r="AE69" s="243"/>
      <c r="AF69" s="242"/>
      <c r="AG69" s="243"/>
      <c r="AH69" s="244"/>
      <c r="AI69" s="243"/>
      <c r="AJ69" s="245"/>
      <c r="AK69" s="243"/>
      <c r="AL69" s="244"/>
      <c r="AM69" s="243"/>
      <c r="AN69" s="244"/>
      <c r="AO69" s="243"/>
      <c r="AP69" s="244"/>
      <c r="AQ69" s="243"/>
      <c r="AR69" s="244"/>
      <c r="AS69" s="243"/>
      <c r="AT69" s="242"/>
      <c r="AU69" s="243"/>
      <c r="AV69" s="244"/>
      <c r="AW69" s="243"/>
      <c r="AX69" s="244"/>
      <c r="AY69" s="243"/>
      <c r="AZ69" s="242"/>
      <c r="BA69" s="243"/>
      <c r="BB69" s="245"/>
      <c r="BC69" s="243"/>
      <c r="BD69" s="242"/>
      <c r="BE69" s="243"/>
      <c r="BF69" s="242"/>
    </row>
    <row r="70" spans="1:58" ht="13.8" x14ac:dyDescent="0.3">
      <c r="A70" s="359" t="s">
        <v>224</v>
      </c>
      <c r="B70" s="360">
        <f t="shared" ref="B70:F70" si="32">C24*B$53</f>
        <v>0</v>
      </c>
      <c r="C70" s="360">
        <f t="shared" si="32"/>
        <v>0</v>
      </c>
      <c r="D70" s="360">
        <f t="shared" si="32"/>
        <v>0</v>
      </c>
      <c r="E70" s="360">
        <f t="shared" si="32"/>
        <v>0</v>
      </c>
      <c r="F70" s="360">
        <f t="shared" si="32"/>
        <v>0</v>
      </c>
      <c r="G70" s="361">
        <f t="shared" ref="G70:K70" si="33">I24*G$53</f>
        <v>0</v>
      </c>
      <c r="H70" s="361">
        <f t="shared" si="33"/>
        <v>0</v>
      </c>
      <c r="I70" s="360">
        <f t="shared" si="33"/>
        <v>0</v>
      </c>
      <c r="J70" s="360">
        <f t="shared" si="33"/>
        <v>0</v>
      </c>
      <c r="K70" s="360">
        <f t="shared" si="33"/>
        <v>0</v>
      </c>
      <c r="L70" s="311"/>
      <c r="M70" s="311"/>
      <c r="N70" s="312"/>
      <c r="O70" s="244"/>
      <c r="P70" s="243"/>
      <c r="Q70" s="244"/>
      <c r="R70" s="243"/>
      <c r="S70" s="242"/>
      <c r="T70" s="243"/>
      <c r="U70" s="242"/>
      <c r="V70" s="243"/>
      <c r="W70" s="242"/>
      <c r="X70" s="242"/>
      <c r="Y70" s="243"/>
      <c r="Z70" s="244"/>
      <c r="AA70" s="243"/>
      <c r="AB70" s="244"/>
      <c r="AC70" s="243"/>
      <c r="AD70" s="244"/>
      <c r="AE70" s="243"/>
      <c r="AF70" s="242"/>
      <c r="AG70" s="243"/>
      <c r="AH70" s="244"/>
      <c r="AI70" s="243"/>
      <c r="AJ70" s="245"/>
      <c r="AK70" s="243"/>
      <c r="AL70" s="244"/>
      <c r="AM70" s="243"/>
      <c r="AN70" s="244"/>
      <c r="AO70" s="243"/>
      <c r="AP70" s="244"/>
      <c r="AQ70" s="243"/>
      <c r="AR70" s="244"/>
      <c r="AS70" s="243"/>
      <c r="AT70" s="242"/>
      <c r="AU70" s="243"/>
      <c r="AV70" s="244"/>
      <c r="AW70" s="243"/>
      <c r="AX70" s="244"/>
      <c r="AY70" s="243"/>
      <c r="AZ70" s="242"/>
      <c r="BA70" s="243"/>
      <c r="BB70" s="245"/>
      <c r="BC70" s="243"/>
      <c r="BD70" s="242"/>
      <c r="BE70" s="243"/>
      <c r="BF70" s="242"/>
    </row>
    <row r="71" spans="1:58" ht="13.8" x14ac:dyDescent="0.3">
      <c r="A71" s="359" t="s">
        <v>225</v>
      </c>
      <c r="B71" s="360">
        <f t="shared" ref="B71:F71" si="34">C25*B$53</f>
        <v>0</v>
      </c>
      <c r="C71" s="360">
        <f t="shared" si="34"/>
        <v>0</v>
      </c>
      <c r="D71" s="360">
        <f t="shared" si="34"/>
        <v>0</v>
      </c>
      <c r="E71" s="360">
        <f t="shared" si="34"/>
        <v>0</v>
      </c>
      <c r="F71" s="360">
        <f t="shared" si="34"/>
        <v>0</v>
      </c>
      <c r="G71" s="361">
        <f t="shared" ref="G71:K71" si="35">I25*G$53</f>
        <v>0</v>
      </c>
      <c r="H71" s="361">
        <f t="shared" si="35"/>
        <v>0</v>
      </c>
      <c r="I71" s="360">
        <f t="shared" si="35"/>
        <v>0</v>
      </c>
      <c r="J71" s="360">
        <f t="shared" si="35"/>
        <v>0</v>
      </c>
      <c r="K71" s="360">
        <f t="shared" si="35"/>
        <v>0</v>
      </c>
      <c r="L71" s="311"/>
      <c r="M71" s="311"/>
      <c r="N71" s="312"/>
      <c r="O71" s="244"/>
      <c r="P71" s="243"/>
      <c r="Q71" s="244"/>
      <c r="R71" s="243"/>
      <c r="S71" s="242"/>
      <c r="T71" s="243"/>
      <c r="U71" s="242"/>
      <c r="V71" s="243"/>
      <c r="W71" s="242"/>
      <c r="X71" s="242"/>
      <c r="Y71" s="243"/>
      <c r="Z71" s="244"/>
      <c r="AA71" s="243"/>
      <c r="AB71" s="244"/>
      <c r="AC71" s="243"/>
      <c r="AD71" s="244"/>
      <c r="AE71" s="243"/>
      <c r="AF71" s="242"/>
      <c r="AG71" s="243"/>
      <c r="AH71" s="244"/>
      <c r="AI71" s="243"/>
      <c r="AJ71" s="245"/>
      <c r="AK71" s="243"/>
      <c r="AL71" s="244"/>
      <c r="AM71" s="243"/>
      <c r="AN71" s="244"/>
      <c r="AO71" s="243"/>
      <c r="AP71" s="244"/>
      <c r="AQ71" s="243"/>
      <c r="AR71" s="244"/>
      <c r="AS71" s="243"/>
      <c r="AT71" s="242"/>
      <c r="AU71" s="243"/>
      <c r="AV71" s="244"/>
      <c r="AW71" s="243"/>
      <c r="AX71" s="244"/>
      <c r="AY71" s="243"/>
      <c r="AZ71" s="242"/>
      <c r="BA71" s="243"/>
      <c r="BB71" s="245"/>
      <c r="BC71" s="243"/>
      <c r="BD71" s="242"/>
      <c r="BE71" s="243"/>
      <c r="BF71" s="242"/>
    </row>
    <row r="72" spans="1:58" ht="13.8" x14ac:dyDescent="0.3">
      <c r="A72" s="359" t="s">
        <v>226</v>
      </c>
      <c r="B72" s="360">
        <f t="shared" ref="B72:F72" si="36">C26*B$53</f>
        <v>0</v>
      </c>
      <c r="C72" s="360">
        <f t="shared" si="36"/>
        <v>0</v>
      </c>
      <c r="D72" s="360">
        <f t="shared" si="36"/>
        <v>0</v>
      </c>
      <c r="E72" s="360">
        <f t="shared" si="36"/>
        <v>0</v>
      </c>
      <c r="F72" s="360">
        <f t="shared" si="36"/>
        <v>0</v>
      </c>
      <c r="G72" s="361">
        <f t="shared" ref="G72:K72" si="37">I26*G$53</f>
        <v>0</v>
      </c>
      <c r="H72" s="361">
        <f t="shared" si="37"/>
        <v>0</v>
      </c>
      <c r="I72" s="360">
        <f t="shared" si="37"/>
        <v>0</v>
      </c>
      <c r="J72" s="360">
        <f t="shared" si="37"/>
        <v>0</v>
      </c>
      <c r="K72" s="360">
        <f t="shared" si="37"/>
        <v>0</v>
      </c>
      <c r="L72" s="311"/>
      <c r="M72" s="311"/>
      <c r="N72" s="312"/>
      <c r="O72" s="244"/>
      <c r="P72" s="243"/>
      <c r="Q72" s="244"/>
      <c r="R72" s="243"/>
      <c r="S72" s="242"/>
      <c r="T72" s="243"/>
      <c r="U72" s="242"/>
      <c r="V72" s="243"/>
      <c r="W72" s="242"/>
      <c r="X72" s="242"/>
      <c r="Y72" s="243"/>
      <c r="Z72" s="244"/>
      <c r="AA72" s="243"/>
      <c r="AB72" s="244"/>
      <c r="AC72" s="243"/>
      <c r="AD72" s="244"/>
      <c r="AE72" s="243"/>
      <c r="AF72" s="242"/>
      <c r="AG72" s="243"/>
      <c r="AH72" s="244"/>
      <c r="AI72" s="243"/>
      <c r="AJ72" s="245"/>
      <c r="AK72" s="243"/>
      <c r="AL72" s="244"/>
      <c r="AM72" s="243"/>
      <c r="AN72" s="244"/>
      <c r="AO72" s="243"/>
      <c r="AP72" s="244"/>
      <c r="AQ72" s="243"/>
      <c r="AR72" s="244"/>
      <c r="AS72" s="243"/>
      <c r="AT72" s="242"/>
      <c r="AU72" s="243"/>
      <c r="AV72" s="244"/>
      <c r="AW72" s="243"/>
      <c r="AX72" s="244"/>
      <c r="AY72" s="243"/>
      <c r="AZ72" s="242"/>
      <c r="BA72" s="243"/>
      <c r="BB72" s="245"/>
      <c r="BC72" s="243"/>
      <c r="BD72" s="242"/>
      <c r="BE72" s="243"/>
      <c r="BF72" s="242"/>
    </row>
    <row r="73" spans="1:58" ht="13.8" x14ac:dyDescent="0.3">
      <c r="A73" s="359" t="s">
        <v>227</v>
      </c>
      <c r="B73" s="360">
        <f t="shared" ref="B73:F73" si="38">C27*B$53</f>
        <v>0</v>
      </c>
      <c r="C73" s="360">
        <f t="shared" si="38"/>
        <v>0</v>
      </c>
      <c r="D73" s="360">
        <f t="shared" si="38"/>
        <v>0</v>
      </c>
      <c r="E73" s="360">
        <f t="shared" si="38"/>
        <v>0</v>
      </c>
      <c r="F73" s="360">
        <f t="shared" si="38"/>
        <v>0</v>
      </c>
      <c r="G73" s="361">
        <f t="shared" ref="G73:K73" si="39">I27*G$53</f>
        <v>0</v>
      </c>
      <c r="H73" s="361">
        <f t="shared" si="39"/>
        <v>0</v>
      </c>
      <c r="I73" s="360">
        <f t="shared" si="39"/>
        <v>0</v>
      </c>
      <c r="J73" s="360">
        <f t="shared" si="39"/>
        <v>0</v>
      </c>
      <c r="K73" s="360">
        <f t="shared" si="39"/>
        <v>0</v>
      </c>
      <c r="L73" s="311"/>
      <c r="M73" s="311"/>
      <c r="N73" s="312"/>
      <c r="O73" s="244"/>
      <c r="P73" s="243"/>
      <c r="Q73" s="244"/>
      <c r="R73" s="243"/>
      <c r="S73" s="242"/>
      <c r="T73" s="243"/>
      <c r="U73" s="242"/>
      <c r="V73" s="243"/>
      <c r="W73" s="242"/>
      <c r="X73" s="242"/>
      <c r="Y73" s="243"/>
      <c r="Z73" s="244"/>
      <c r="AA73" s="243"/>
      <c r="AB73" s="244"/>
      <c r="AC73" s="243"/>
      <c r="AD73" s="244"/>
      <c r="AE73" s="243"/>
      <c r="AF73" s="242"/>
      <c r="AG73" s="243"/>
      <c r="AH73" s="244"/>
      <c r="AI73" s="243"/>
      <c r="AJ73" s="245"/>
      <c r="AK73" s="243"/>
      <c r="AL73" s="244"/>
      <c r="AM73" s="243"/>
      <c r="AN73" s="244"/>
      <c r="AO73" s="243"/>
      <c r="AP73" s="244"/>
      <c r="AQ73" s="243"/>
      <c r="AR73" s="244"/>
      <c r="AS73" s="243"/>
      <c r="AT73" s="242"/>
      <c r="AU73" s="243"/>
      <c r="AV73" s="244"/>
      <c r="AW73" s="243"/>
      <c r="AX73" s="244"/>
      <c r="AY73" s="243"/>
      <c r="AZ73" s="242"/>
      <c r="BA73" s="243"/>
      <c r="BB73" s="245"/>
      <c r="BC73" s="243"/>
      <c r="BD73" s="242"/>
      <c r="BE73" s="243"/>
      <c r="BF73" s="242"/>
    </row>
    <row r="74" spans="1:58" ht="13.8" x14ac:dyDescent="0.3">
      <c r="A74" s="359" t="s">
        <v>228</v>
      </c>
      <c r="B74" s="360">
        <f t="shared" ref="B74:F74" si="40">C28*B$53</f>
        <v>0</v>
      </c>
      <c r="C74" s="360">
        <f t="shared" si="40"/>
        <v>0</v>
      </c>
      <c r="D74" s="360">
        <f t="shared" si="40"/>
        <v>0</v>
      </c>
      <c r="E74" s="360">
        <f t="shared" si="40"/>
        <v>0</v>
      </c>
      <c r="F74" s="360">
        <f t="shared" si="40"/>
        <v>0</v>
      </c>
      <c r="G74" s="361">
        <f t="shared" ref="G74:K74" si="41">I28*G$53</f>
        <v>0</v>
      </c>
      <c r="H74" s="361">
        <f t="shared" si="41"/>
        <v>0</v>
      </c>
      <c r="I74" s="360">
        <f t="shared" si="41"/>
        <v>0</v>
      </c>
      <c r="J74" s="360">
        <f t="shared" si="41"/>
        <v>0</v>
      </c>
      <c r="K74" s="360">
        <f t="shared" si="41"/>
        <v>0</v>
      </c>
      <c r="L74" s="311"/>
      <c r="M74" s="311"/>
      <c r="N74" s="312"/>
      <c r="O74" s="244"/>
      <c r="P74" s="243"/>
      <c r="Q74" s="244"/>
      <c r="R74" s="243"/>
      <c r="S74" s="242"/>
      <c r="T74" s="243"/>
      <c r="U74" s="242"/>
      <c r="V74" s="243"/>
      <c r="W74" s="242"/>
      <c r="X74" s="242"/>
      <c r="Y74" s="243"/>
      <c r="Z74" s="244"/>
      <c r="AA74" s="243"/>
      <c r="AB74" s="244"/>
      <c r="AC74" s="243"/>
      <c r="AD74" s="244"/>
      <c r="AE74" s="243"/>
      <c r="AF74" s="242"/>
      <c r="AG74" s="243"/>
      <c r="AH74" s="244"/>
      <c r="AI74" s="243"/>
      <c r="AJ74" s="245"/>
      <c r="AK74" s="243"/>
      <c r="AL74" s="244"/>
      <c r="AM74" s="243"/>
      <c r="AN74" s="244"/>
      <c r="AO74" s="243"/>
      <c r="AP74" s="244"/>
      <c r="AQ74" s="243"/>
      <c r="AR74" s="244"/>
      <c r="AS74" s="243"/>
      <c r="AT74" s="242"/>
      <c r="AU74" s="243"/>
      <c r="AV74" s="244"/>
      <c r="AW74" s="243"/>
      <c r="AX74" s="244"/>
      <c r="AY74" s="243"/>
      <c r="AZ74" s="242"/>
      <c r="BA74" s="243"/>
      <c r="BB74" s="245"/>
      <c r="BC74" s="243"/>
      <c r="BD74" s="242"/>
      <c r="BE74" s="243"/>
      <c r="BF74" s="242"/>
    </row>
    <row r="75" spans="1:58" ht="13.8" x14ac:dyDescent="0.3">
      <c r="A75" s="359" t="s">
        <v>229</v>
      </c>
      <c r="B75" s="360">
        <f t="shared" ref="B75:F75" si="42">C29*B$53</f>
        <v>0</v>
      </c>
      <c r="C75" s="360">
        <f>D29*C$53</f>
        <v>0</v>
      </c>
      <c r="D75" s="360">
        <f t="shared" si="42"/>
        <v>0</v>
      </c>
      <c r="E75" s="360">
        <f t="shared" si="42"/>
        <v>0</v>
      </c>
      <c r="F75" s="360">
        <f t="shared" si="42"/>
        <v>0</v>
      </c>
      <c r="G75" s="361">
        <f t="shared" ref="G75:K75" si="43">I29*G$53</f>
        <v>0</v>
      </c>
      <c r="H75" s="361">
        <f t="shared" si="43"/>
        <v>0</v>
      </c>
      <c r="I75" s="360">
        <f t="shared" si="43"/>
        <v>0</v>
      </c>
      <c r="J75" s="360">
        <f t="shared" si="43"/>
        <v>0</v>
      </c>
      <c r="K75" s="360">
        <f t="shared" si="43"/>
        <v>0</v>
      </c>
      <c r="L75" s="311"/>
      <c r="M75" s="311"/>
      <c r="N75" s="312"/>
      <c r="O75" s="244"/>
      <c r="P75" s="243"/>
      <c r="Q75" s="244"/>
      <c r="R75" s="243"/>
      <c r="S75" s="242"/>
      <c r="T75" s="243"/>
      <c r="U75" s="242"/>
      <c r="V75" s="243"/>
      <c r="W75" s="242"/>
      <c r="X75" s="242"/>
      <c r="Y75" s="243"/>
      <c r="Z75" s="244"/>
      <c r="AA75" s="243"/>
      <c r="AB75" s="244"/>
      <c r="AC75" s="243"/>
      <c r="AD75" s="244"/>
      <c r="AE75" s="243"/>
      <c r="AF75" s="242"/>
      <c r="AG75" s="243"/>
      <c r="AH75" s="244"/>
      <c r="AI75" s="243"/>
      <c r="AJ75" s="245"/>
      <c r="AK75" s="243"/>
      <c r="AL75" s="244"/>
      <c r="AM75" s="243"/>
      <c r="AN75" s="244"/>
      <c r="AO75" s="243"/>
      <c r="AP75" s="244"/>
      <c r="AQ75" s="243"/>
      <c r="AR75" s="244"/>
      <c r="AS75" s="243"/>
      <c r="AT75" s="242"/>
      <c r="AU75" s="243"/>
      <c r="AV75" s="244"/>
      <c r="AW75" s="243"/>
      <c r="AX75" s="244"/>
      <c r="AY75" s="243"/>
      <c r="AZ75" s="242"/>
      <c r="BA75" s="243"/>
      <c r="BB75" s="245"/>
      <c r="BC75" s="243"/>
      <c r="BD75" s="242"/>
      <c r="BE75" s="243"/>
      <c r="BF75" s="242"/>
    </row>
    <row r="76" spans="1:58" ht="13.8" x14ac:dyDescent="0.3">
      <c r="A76" s="359" t="s">
        <v>230</v>
      </c>
      <c r="B76" s="360">
        <f t="shared" ref="B76:F76" si="44">C30*B$53</f>
        <v>0</v>
      </c>
      <c r="C76" s="360">
        <f t="shared" si="44"/>
        <v>0</v>
      </c>
      <c r="D76" s="360">
        <f t="shared" si="44"/>
        <v>0</v>
      </c>
      <c r="E76" s="360">
        <f t="shared" si="44"/>
        <v>0</v>
      </c>
      <c r="F76" s="360">
        <f t="shared" si="44"/>
        <v>0</v>
      </c>
      <c r="G76" s="361">
        <f t="shared" ref="G76:K76" si="45">I30*G$53</f>
        <v>0</v>
      </c>
      <c r="H76" s="361">
        <f t="shared" si="45"/>
        <v>0</v>
      </c>
      <c r="I76" s="360">
        <f t="shared" si="45"/>
        <v>0</v>
      </c>
      <c r="J76" s="360">
        <f t="shared" si="45"/>
        <v>0</v>
      </c>
      <c r="K76" s="360">
        <f t="shared" si="45"/>
        <v>0</v>
      </c>
      <c r="L76" s="311"/>
      <c r="M76" s="311"/>
      <c r="N76" s="312"/>
      <c r="O76" s="244"/>
      <c r="P76" s="243"/>
      <c r="Q76" s="244"/>
      <c r="R76" s="243"/>
      <c r="S76" s="242"/>
      <c r="T76" s="243"/>
      <c r="U76" s="242"/>
      <c r="V76" s="243"/>
      <c r="W76" s="242"/>
      <c r="X76" s="242"/>
      <c r="Y76" s="243"/>
      <c r="Z76" s="244"/>
      <c r="AA76" s="243"/>
      <c r="AB76" s="244"/>
      <c r="AC76" s="243"/>
      <c r="AD76" s="244"/>
      <c r="AE76" s="243"/>
      <c r="AF76" s="242"/>
      <c r="AG76" s="243"/>
      <c r="AH76" s="244"/>
      <c r="AI76" s="243"/>
      <c r="AJ76" s="245"/>
      <c r="AK76" s="243"/>
      <c r="AL76" s="244"/>
      <c r="AM76" s="243"/>
      <c r="AN76" s="244"/>
      <c r="AO76" s="243"/>
      <c r="AP76" s="244"/>
      <c r="AQ76" s="243"/>
      <c r="AR76" s="244"/>
      <c r="AS76" s="243"/>
      <c r="AT76" s="242"/>
      <c r="AU76" s="243"/>
      <c r="AV76" s="244"/>
      <c r="AW76" s="243"/>
      <c r="AX76" s="244"/>
      <c r="AY76" s="243"/>
      <c r="AZ76" s="242"/>
      <c r="BA76" s="243"/>
      <c r="BB76" s="245"/>
      <c r="BC76" s="243"/>
      <c r="BD76" s="242"/>
      <c r="BE76" s="243"/>
      <c r="BF76" s="242"/>
    </row>
    <row r="77" spans="1:58" ht="14.4" thickBot="1" x14ac:dyDescent="0.35">
      <c r="A77" s="364" t="s">
        <v>231</v>
      </c>
      <c r="B77" s="360">
        <f t="shared" ref="B77:F77" si="46">C31*B$53</f>
        <v>0</v>
      </c>
      <c r="C77" s="360">
        <f t="shared" si="46"/>
        <v>0</v>
      </c>
      <c r="D77" s="360">
        <f t="shared" si="46"/>
        <v>0</v>
      </c>
      <c r="E77" s="360">
        <f t="shared" si="46"/>
        <v>0</v>
      </c>
      <c r="F77" s="360">
        <f t="shared" si="46"/>
        <v>0</v>
      </c>
      <c r="G77" s="361">
        <f>I31*G$53</f>
        <v>0</v>
      </c>
      <c r="H77" s="361">
        <f>J31*H$53</f>
        <v>0</v>
      </c>
      <c r="I77" s="360">
        <f t="shared" ref="I77:K77" si="47">K31*I$53</f>
        <v>0</v>
      </c>
      <c r="J77" s="360">
        <f t="shared" si="47"/>
        <v>0</v>
      </c>
      <c r="K77" s="360">
        <f t="shared" si="47"/>
        <v>0</v>
      </c>
      <c r="L77" s="311"/>
      <c r="M77" s="311"/>
      <c r="N77" s="312"/>
      <c r="O77" s="244"/>
      <c r="P77" s="243"/>
      <c r="Q77" s="244"/>
      <c r="R77" s="243"/>
      <c r="S77" s="242"/>
      <c r="T77" s="243"/>
      <c r="U77" s="242"/>
      <c r="V77" s="243"/>
      <c r="W77" s="242"/>
      <c r="X77" s="242"/>
      <c r="Y77" s="243"/>
      <c r="Z77" s="244"/>
      <c r="AA77" s="243"/>
      <c r="AB77" s="244"/>
      <c r="AC77" s="243"/>
      <c r="AD77" s="244"/>
      <c r="AE77" s="243"/>
      <c r="AF77" s="242"/>
      <c r="AG77" s="243"/>
      <c r="AH77" s="244"/>
      <c r="AI77" s="243"/>
      <c r="AJ77" s="245"/>
      <c r="AK77" s="243"/>
      <c r="AL77" s="244"/>
      <c r="AM77" s="243"/>
      <c r="AN77" s="244"/>
      <c r="AO77" s="243"/>
      <c r="AP77" s="244"/>
      <c r="AQ77" s="243"/>
      <c r="AR77" s="244"/>
      <c r="AS77" s="243"/>
      <c r="AT77" s="242"/>
      <c r="AU77" s="243"/>
      <c r="AV77" s="244"/>
      <c r="AW77" s="243"/>
      <c r="AX77" s="244"/>
      <c r="AY77" s="243"/>
      <c r="AZ77" s="242"/>
      <c r="BA77" s="243"/>
      <c r="BB77" s="245"/>
      <c r="BC77" s="243"/>
      <c r="BD77" s="242"/>
      <c r="BE77" s="243"/>
      <c r="BF77" s="242"/>
    </row>
    <row r="78" spans="1:58" ht="14.4" thickBot="1" x14ac:dyDescent="0.35">
      <c r="A78" s="365" t="s">
        <v>215</v>
      </c>
      <c r="B78" s="354">
        <f>SUM(B55:B77)</f>
        <v>5861.5716738383908</v>
      </c>
      <c r="C78" s="354">
        <f>SUM(C55:C77)</f>
        <v>1962.3600000000004</v>
      </c>
      <c r="D78" s="354">
        <f t="shared" ref="D78:K78" si="48">SUM(D55:D77)</f>
        <v>0</v>
      </c>
      <c r="E78" s="354">
        <f t="shared" si="48"/>
        <v>0</v>
      </c>
      <c r="F78" s="354">
        <f t="shared" si="48"/>
        <v>0</v>
      </c>
      <c r="G78" s="354">
        <f t="shared" si="48"/>
        <v>0</v>
      </c>
      <c r="H78" s="354">
        <f t="shared" si="48"/>
        <v>0</v>
      </c>
      <c r="I78" s="354">
        <f t="shared" si="48"/>
        <v>9397.26</v>
      </c>
      <c r="J78" s="354">
        <f t="shared" si="48"/>
        <v>0</v>
      </c>
      <c r="K78" s="354">
        <f t="shared" si="48"/>
        <v>0</v>
      </c>
      <c r="L78" s="311"/>
      <c r="M78" s="311"/>
      <c r="N78" s="312"/>
      <c r="O78" s="244"/>
      <c r="P78" s="243"/>
      <c r="Q78" s="244"/>
      <c r="R78" s="243"/>
      <c r="S78" s="242"/>
      <c r="T78" s="243"/>
      <c r="U78" s="242"/>
      <c r="V78" s="243"/>
      <c r="W78" s="242"/>
      <c r="X78" s="242"/>
      <c r="Y78" s="243"/>
      <c r="Z78" s="244"/>
      <c r="AA78" s="243"/>
      <c r="AB78" s="244"/>
      <c r="AC78" s="243"/>
      <c r="AD78" s="244"/>
      <c r="AE78" s="243"/>
      <c r="AF78" s="242"/>
      <c r="AG78" s="243"/>
      <c r="AH78" s="244"/>
      <c r="AI78" s="243"/>
      <c r="AJ78" s="245"/>
      <c r="AK78" s="243"/>
      <c r="AL78" s="244"/>
      <c r="AM78" s="243"/>
      <c r="AN78" s="244"/>
      <c r="AO78" s="243"/>
      <c r="AP78" s="244"/>
      <c r="AQ78" s="243"/>
      <c r="AR78" s="244"/>
      <c r="AS78" s="243"/>
      <c r="AT78" s="242"/>
      <c r="AU78" s="243"/>
      <c r="AV78" s="244"/>
      <c r="AW78" s="243"/>
      <c r="AX78" s="244"/>
      <c r="AY78" s="243"/>
      <c r="AZ78" s="242"/>
      <c r="BA78" s="243"/>
      <c r="BB78" s="245"/>
      <c r="BC78" s="243"/>
      <c r="BD78" s="242"/>
      <c r="BE78" s="243"/>
      <c r="BF78" s="242"/>
    </row>
    <row r="79" spans="1:58" ht="13.8" x14ac:dyDescent="0.3">
      <c r="A79" s="137" t="s">
        <v>65</v>
      </c>
      <c r="B79" s="311"/>
      <c r="C79" s="311"/>
      <c r="D79" s="311"/>
      <c r="E79" s="311"/>
      <c r="F79" s="311"/>
      <c r="G79" s="311"/>
      <c r="H79" s="311"/>
      <c r="I79" s="310"/>
      <c r="J79" s="311"/>
      <c r="K79" s="311"/>
      <c r="L79" s="311"/>
      <c r="M79" s="311"/>
      <c r="N79" s="312"/>
      <c r="O79" s="244"/>
      <c r="P79" s="243"/>
      <c r="Q79" s="244"/>
      <c r="R79" s="243"/>
      <c r="S79" s="242"/>
      <c r="T79" s="243"/>
      <c r="U79" s="242"/>
      <c r="V79" s="243"/>
      <c r="W79" s="242"/>
      <c r="X79" s="242"/>
      <c r="Y79" s="243"/>
      <c r="Z79" s="244"/>
      <c r="AA79" s="243"/>
      <c r="AB79" s="244"/>
      <c r="AC79" s="243"/>
      <c r="AD79" s="244"/>
      <c r="AE79" s="243"/>
      <c r="AF79" s="242"/>
      <c r="AG79" s="243"/>
      <c r="AH79" s="244"/>
      <c r="AI79" s="243"/>
      <c r="AJ79" s="245"/>
      <c r="AK79" s="243"/>
      <c r="AL79" s="244"/>
      <c r="AM79" s="243"/>
      <c r="AN79" s="244"/>
      <c r="AO79" s="243"/>
      <c r="AP79" s="244"/>
      <c r="AQ79" s="243"/>
      <c r="AR79" s="244"/>
      <c r="AS79" s="243"/>
      <c r="AT79" s="242"/>
      <c r="AU79" s="243"/>
      <c r="AV79" s="244"/>
      <c r="AW79" s="243"/>
      <c r="AX79" s="244"/>
      <c r="AY79" s="243"/>
      <c r="AZ79" s="242"/>
      <c r="BA79" s="243"/>
      <c r="BB79" s="245"/>
      <c r="BC79" s="243"/>
      <c r="BD79" s="242"/>
      <c r="BE79" s="243"/>
      <c r="BF79" s="242"/>
    </row>
    <row r="80" spans="1:58" ht="13.8" x14ac:dyDescent="0.3">
      <c r="A80" s="137" t="s">
        <v>216</v>
      </c>
      <c r="B80" s="311"/>
      <c r="C80" s="311"/>
      <c r="D80" s="311"/>
      <c r="E80" s="311"/>
      <c r="F80" s="311"/>
      <c r="G80" s="311"/>
      <c r="H80" s="311"/>
      <c r="I80" s="310"/>
      <c r="J80" s="311"/>
      <c r="K80" s="311"/>
      <c r="L80" s="311"/>
      <c r="M80" s="311"/>
      <c r="N80" s="312"/>
      <c r="O80" s="244"/>
      <c r="P80" s="243"/>
      <c r="Q80" s="244"/>
      <c r="R80" s="243"/>
      <c r="S80" s="242"/>
      <c r="T80" s="243"/>
      <c r="U80" s="242"/>
      <c r="V80" s="243"/>
      <c r="W80" s="242"/>
      <c r="X80" s="242"/>
      <c r="Y80" s="243"/>
      <c r="Z80" s="244"/>
      <c r="AA80" s="243"/>
      <c r="AB80" s="244"/>
      <c r="AC80" s="243"/>
      <c r="AD80" s="244"/>
      <c r="AE80" s="243"/>
      <c r="AF80" s="242"/>
      <c r="AG80" s="243"/>
      <c r="AH80" s="244"/>
      <c r="AI80" s="243"/>
      <c r="AJ80" s="245"/>
      <c r="AK80" s="243"/>
      <c r="AL80" s="244"/>
      <c r="AM80" s="243"/>
      <c r="AN80" s="244"/>
      <c r="AO80" s="243"/>
      <c r="AP80" s="244"/>
      <c r="AQ80" s="243"/>
      <c r="AR80" s="244"/>
      <c r="AS80" s="243"/>
      <c r="AT80" s="242"/>
      <c r="AU80" s="243"/>
      <c r="AV80" s="244"/>
      <c r="AW80" s="243"/>
      <c r="AX80" s="244"/>
      <c r="AY80" s="243"/>
      <c r="AZ80" s="242"/>
      <c r="BA80" s="243"/>
      <c r="BB80" s="245"/>
      <c r="BC80" s="243"/>
      <c r="BD80" s="242"/>
      <c r="BE80" s="243"/>
      <c r="BF80" s="242"/>
    </row>
    <row r="81" spans="1:58" ht="13.8" x14ac:dyDescent="0.3">
      <c r="A81" s="118" t="s">
        <v>217</v>
      </c>
      <c r="B81" s="311"/>
      <c r="C81" s="311"/>
      <c r="D81" s="311"/>
      <c r="E81" s="311"/>
      <c r="F81" s="311"/>
      <c r="G81" s="311"/>
      <c r="H81" s="311"/>
      <c r="I81" s="310"/>
      <c r="J81" s="311"/>
      <c r="K81" s="311"/>
      <c r="L81" s="311"/>
      <c r="M81" s="311"/>
      <c r="N81" s="312"/>
      <c r="O81" s="244"/>
      <c r="P81" s="243"/>
      <c r="Q81" s="244"/>
      <c r="R81" s="243"/>
      <c r="S81" s="242"/>
      <c r="T81" s="243"/>
      <c r="U81" s="242"/>
      <c r="V81" s="243"/>
      <c r="W81" s="242"/>
      <c r="X81" s="242"/>
      <c r="Y81" s="243"/>
      <c r="Z81" s="244"/>
      <c r="AA81" s="243"/>
      <c r="AB81" s="244"/>
      <c r="AC81" s="243"/>
      <c r="AD81" s="244"/>
      <c r="AE81" s="243"/>
      <c r="AF81" s="242"/>
      <c r="AG81" s="243"/>
      <c r="AH81" s="244"/>
      <c r="AI81" s="243"/>
      <c r="AJ81" s="245"/>
      <c r="AK81" s="243"/>
      <c r="AL81" s="244"/>
      <c r="AM81" s="243"/>
      <c r="AN81" s="244"/>
      <c r="AO81" s="243"/>
      <c r="AP81" s="244"/>
      <c r="AQ81" s="243"/>
      <c r="AR81" s="244"/>
      <c r="AS81" s="243"/>
      <c r="AT81" s="242"/>
      <c r="AU81" s="243"/>
      <c r="AV81" s="244"/>
      <c r="AW81" s="243"/>
      <c r="AX81" s="244"/>
      <c r="AY81" s="243"/>
      <c r="AZ81" s="242"/>
      <c r="BA81" s="243"/>
      <c r="BB81" s="245"/>
      <c r="BC81" s="243"/>
      <c r="BD81" s="242"/>
      <c r="BE81" s="243"/>
      <c r="BF81" s="242"/>
    </row>
    <row r="82" spans="1:58" ht="13.8" x14ac:dyDescent="0.3">
      <c r="A82" s="118" t="s">
        <v>218</v>
      </c>
      <c r="B82" s="311"/>
      <c r="C82" s="311"/>
      <c r="D82" s="311"/>
      <c r="E82" s="311"/>
      <c r="F82" s="311"/>
      <c r="G82" s="311"/>
      <c r="H82" s="311"/>
      <c r="I82" s="310"/>
      <c r="J82" s="311"/>
      <c r="K82" s="311"/>
      <c r="L82" s="311"/>
      <c r="M82" s="311"/>
      <c r="N82" s="312"/>
      <c r="O82" s="244"/>
      <c r="P82" s="243"/>
      <c r="Q82" s="244"/>
      <c r="R82" s="243"/>
      <c r="S82" s="242"/>
      <c r="T82" s="243"/>
      <c r="U82" s="242"/>
      <c r="V82" s="243"/>
      <c r="W82" s="242"/>
      <c r="X82" s="242"/>
      <c r="Y82" s="243"/>
      <c r="Z82" s="244"/>
      <c r="AA82" s="243"/>
      <c r="AB82" s="244"/>
      <c r="AC82" s="243"/>
      <c r="AD82" s="244"/>
      <c r="AE82" s="243"/>
      <c r="AF82" s="242"/>
      <c r="AG82" s="243"/>
      <c r="AH82" s="244"/>
      <c r="AI82" s="243"/>
      <c r="AJ82" s="245"/>
      <c r="AK82" s="243"/>
      <c r="AL82" s="244"/>
      <c r="AM82" s="243"/>
      <c r="AN82" s="244"/>
      <c r="AO82" s="243"/>
      <c r="AP82" s="244"/>
      <c r="AQ82" s="243"/>
      <c r="AR82" s="244"/>
      <c r="AS82" s="243"/>
      <c r="AT82" s="242"/>
      <c r="AU82" s="243"/>
      <c r="AV82" s="244"/>
      <c r="AW82" s="243"/>
      <c r="AX82" s="244"/>
      <c r="AY82" s="243"/>
      <c r="AZ82" s="242"/>
      <c r="BA82" s="243"/>
      <c r="BB82" s="245"/>
      <c r="BC82" s="243"/>
      <c r="BD82" s="242"/>
      <c r="BE82" s="243"/>
      <c r="BF82" s="242"/>
    </row>
    <row r="83" spans="1:58" ht="13.8" x14ac:dyDescent="0.3">
      <c r="A83" s="118" t="s">
        <v>219</v>
      </c>
      <c r="B83" s="311"/>
      <c r="C83" s="311"/>
      <c r="D83" s="311"/>
      <c r="E83" s="311"/>
      <c r="F83" s="311"/>
      <c r="G83" s="311"/>
      <c r="H83" s="311"/>
      <c r="I83" s="310"/>
      <c r="J83" s="311"/>
      <c r="K83" s="311"/>
      <c r="L83" s="311"/>
      <c r="M83" s="311"/>
      <c r="N83" s="312"/>
      <c r="O83" s="244"/>
      <c r="P83" s="243"/>
      <c r="Q83" s="244"/>
      <c r="R83" s="243"/>
      <c r="S83" s="242"/>
      <c r="T83" s="243"/>
      <c r="U83" s="242"/>
      <c r="V83" s="243"/>
      <c r="W83" s="242"/>
      <c r="X83" s="242"/>
      <c r="Y83" s="243"/>
      <c r="Z83" s="244"/>
      <c r="AA83" s="243"/>
      <c r="AB83" s="244"/>
      <c r="AC83" s="243"/>
      <c r="AD83" s="244"/>
      <c r="AE83" s="243"/>
      <c r="AF83" s="242"/>
      <c r="AG83" s="243"/>
      <c r="AH83" s="244"/>
      <c r="AI83" s="243"/>
      <c r="AJ83" s="245"/>
      <c r="AK83" s="243"/>
      <c r="AL83" s="244"/>
      <c r="AM83" s="243"/>
      <c r="AN83" s="244"/>
      <c r="AO83" s="243"/>
      <c r="AP83" s="244"/>
      <c r="AQ83" s="243"/>
      <c r="AR83" s="244"/>
      <c r="AS83" s="243"/>
      <c r="AT83" s="242"/>
      <c r="AU83" s="243"/>
      <c r="AV83" s="244"/>
      <c r="AW83" s="243"/>
      <c r="AX83" s="244"/>
      <c r="AY83" s="243"/>
      <c r="AZ83" s="242"/>
      <c r="BA83" s="243"/>
      <c r="BB83" s="245"/>
      <c r="BC83" s="243"/>
      <c r="BD83" s="242"/>
      <c r="BE83" s="243"/>
      <c r="BF83" s="242"/>
    </row>
    <row r="84" spans="1:58" ht="14.4" thickBo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58" ht="16.2" thickBot="1" x14ac:dyDescent="0.35">
      <c r="A85" s="152" t="s">
        <v>57</v>
      </c>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58" ht="97.2" thickBot="1" x14ac:dyDescent="0.35">
      <c r="A86" s="272" t="s">
        <v>3</v>
      </c>
      <c r="B86" s="273" t="s">
        <v>71</v>
      </c>
      <c r="C86" s="274" t="s">
        <v>88</v>
      </c>
      <c r="D86" s="29"/>
      <c r="E86" s="21"/>
      <c r="F86" s="21"/>
      <c r="G86" s="21"/>
      <c r="H86" s="21"/>
      <c r="I86" s="21"/>
      <c r="J86" s="21"/>
      <c r="K86" s="21"/>
      <c r="L86" s="21"/>
      <c r="M86" s="21"/>
      <c r="N86" s="21"/>
      <c r="O86" s="21"/>
      <c r="P86" s="21"/>
      <c r="Q86" s="21"/>
      <c r="R86" s="21"/>
      <c r="S86" s="21"/>
      <c r="T86" s="21"/>
      <c r="U86" s="21"/>
      <c r="V86" s="21"/>
      <c r="W86" s="21"/>
      <c r="X86" s="21"/>
      <c r="Y86" s="21"/>
    </row>
    <row r="87" spans="1:58" ht="13.8" x14ac:dyDescent="0.3">
      <c r="A87" s="277" t="s">
        <v>28</v>
      </c>
      <c r="B87" s="313">
        <f>C44*B53</f>
        <v>12366.486580171239</v>
      </c>
      <c r="C87" s="255">
        <f>B78</f>
        <v>5861.5716738383908</v>
      </c>
      <c r="D87" s="21"/>
      <c r="E87" s="21"/>
      <c r="F87" s="21"/>
      <c r="G87" s="21"/>
      <c r="H87" s="21"/>
      <c r="I87" s="21"/>
      <c r="J87" s="21"/>
      <c r="K87" s="21"/>
      <c r="L87" s="21"/>
      <c r="M87" s="21"/>
      <c r="N87" s="21"/>
      <c r="O87" s="21"/>
      <c r="P87" s="21"/>
      <c r="Q87" s="21"/>
      <c r="R87" s="21"/>
      <c r="S87" s="21"/>
      <c r="T87" s="21"/>
      <c r="U87" s="21"/>
      <c r="V87" s="21"/>
      <c r="W87" s="21"/>
      <c r="X87" s="21"/>
      <c r="Y87" s="21"/>
    </row>
    <row r="88" spans="1:58" ht="13.8" x14ac:dyDescent="0.3">
      <c r="A88" s="46" t="s">
        <v>33</v>
      </c>
      <c r="B88" s="314">
        <f>D44*C53</f>
        <v>82.800000000000011</v>
      </c>
      <c r="C88" s="50">
        <f>C78</f>
        <v>1962.3600000000004</v>
      </c>
      <c r="D88" s="51"/>
      <c r="E88" s="21"/>
      <c r="F88" s="21"/>
      <c r="G88" s="21"/>
      <c r="H88" s="21"/>
      <c r="I88" s="21"/>
      <c r="J88" s="21"/>
      <c r="K88" s="21"/>
      <c r="L88" s="21"/>
      <c r="M88" s="21"/>
      <c r="N88" s="21"/>
      <c r="O88" s="21"/>
      <c r="P88" s="21"/>
      <c r="Q88" s="21"/>
      <c r="R88" s="21"/>
      <c r="S88" s="21"/>
      <c r="T88" s="21"/>
      <c r="U88" s="21"/>
      <c r="V88" s="21"/>
      <c r="W88" s="21"/>
      <c r="X88" s="21"/>
      <c r="Y88" s="21"/>
    </row>
    <row r="89" spans="1:58" ht="13.8" x14ac:dyDescent="0.3">
      <c r="A89" s="46" t="s">
        <v>5</v>
      </c>
      <c r="B89" s="314">
        <f>E44*D53</f>
        <v>0</v>
      </c>
      <c r="C89" s="50">
        <f>D78</f>
        <v>0</v>
      </c>
      <c r="D89" s="21"/>
      <c r="E89" s="21"/>
      <c r="F89" s="21"/>
      <c r="G89" s="21"/>
      <c r="H89" s="21"/>
      <c r="I89" s="21"/>
      <c r="J89" s="21"/>
      <c r="K89" s="21"/>
      <c r="L89" s="21"/>
      <c r="M89" s="21"/>
      <c r="N89" s="21"/>
      <c r="O89" s="21"/>
      <c r="P89" s="21"/>
      <c r="Q89" s="21"/>
      <c r="R89" s="21"/>
      <c r="S89" s="21"/>
      <c r="T89" s="21"/>
      <c r="U89" s="21"/>
      <c r="V89" s="21"/>
      <c r="W89" s="21"/>
      <c r="X89" s="21"/>
      <c r="Y89" s="21"/>
    </row>
    <row r="90" spans="1:58" ht="13.8" x14ac:dyDescent="0.3">
      <c r="A90" s="138" t="s">
        <v>8</v>
      </c>
      <c r="B90" s="314">
        <f>F44*E53</f>
        <v>0</v>
      </c>
      <c r="C90" s="50">
        <f>E78</f>
        <v>0</v>
      </c>
      <c r="D90" s="21"/>
      <c r="E90" s="21"/>
      <c r="F90" s="21"/>
      <c r="G90" s="21"/>
      <c r="H90" s="21"/>
      <c r="I90" s="21"/>
      <c r="J90" s="21"/>
      <c r="K90" s="21"/>
      <c r="L90" s="21"/>
      <c r="M90" s="21"/>
      <c r="N90" s="21"/>
      <c r="O90" s="21"/>
      <c r="P90" s="21"/>
      <c r="Q90" s="21"/>
      <c r="R90" s="21"/>
      <c r="S90" s="21"/>
      <c r="T90" s="21"/>
      <c r="U90" s="21"/>
      <c r="V90" s="21"/>
      <c r="W90" s="21"/>
      <c r="X90" s="21"/>
      <c r="Y90" s="21"/>
    </row>
    <row r="91" spans="1:58" ht="13.8" x14ac:dyDescent="0.3">
      <c r="A91" s="138" t="s">
        <v>34</v>
      </c>
      <c r="B91" s="314">
        <f>G44*F53</f>
        <v>0</v>
      </c>
      <c r="C91" s="50">
        <f>F78</f>
        <v>0</v>
      </c>
      <c r="D91" s="21"/>
      <c r="E91" s="21"/>
      <c r="F91" s="21"/>
      <c r="G91" s="21"/>
      <c r="H91" s="21"/>
      <c r="I91" s="21"/>
      <c r="J91" s="21"/>
      <c r="K91" s="21"/>
      <c r="L91" s="21"/>
      <c r="M91" s="21"/>
      <c r="N91" s="21"/>
      <c r="O91" s="21"/>
      <c r="P91" s="21"/>
      <c r="Q91" s="21"/>
      <c r="R91" s="21"/>
      <c r="S91" s="21"/>
      <c r="T91" s="21"/>
      <c r="U91" s="21"/>
      <c r="V91" s="21"/>
      <c r="W91" s="21"/>
      <c r="X91" s="21"/>
      <c r="Y91" s="21"/>
    </row>
    <row r="92" spans="1:58" ht="13.8" x14ac:dyDescent="0.3">
      <c r="A92" s="138" t="s">
        <v>35</v>
      </c>
      <c r="B92" s="315">
        <f>I44*G53</f>
        <v>0</v>
      </c>
      <c r="C92" s="50">
        <f>G78</f>
        <v>0</v>
      </c>
      <c r="D92" s="21"/>
      <c r="E92" s="21"/>
      <c r="F92" s="21"/>
      <c r="G92" s="21"/>
      <c r="H92" s="21"/>
      <c r="I92" s="21"/>
      <c r="J92" s="21"/>
      <c r="K92" s="21"/>
      <c r="L92" s="21"/>
      <c r="M92" s="21"/>
      <c r="N92" s="21"/>
      <c r="O92" s="21"/>
      <c r="P92" s="21"/>
      <c r="Q92" s="21"/>
      <c r="R92" s="21"/>
      <c r="S92" s="21"/>
      <c r="T92" s="21"/>
      <c r="U92" s="21"/>
      <c r="V92" s="21"/>
      <c r="W92" s="21"/>
      <c r="X92" s="21"/>
      <c r="Y92" s="21"/>
    </row>
    <row r="93" spans="1:58" ht="13.8" x14ac:dyDescent="0.3">
      <c r="A93" s="138" t="s">
        <v>15</v>
      </c>
      <c r="B93" s="315">
        <f>J44*H53</f>
        <v>0</v>
      </c>
      <c r="C93" s="50">
        <f>H78</f>
        <v>0</v>
      </c>
      <c r="D93" s="21"/>
      <c r="E93" s="21"/>
      <c r="F93" s="21"/>
      <c r="G93" s="21"/>
      <c r="H93" s="21"/>
      <c r="I93" s="21"/>
      <c r="J93" s="21"/>
      <c r="K93" s="21"/>
      <c r="L93" s="21"/>
      <c r="M93" s="21"/>
      <c r="N93" s="21"/>
      <c r="O93" s="21"/>
      <c r="P93" s="21"/>
      <c r="Q93" s="21"/>
      <c r="R93" s="21"/>
      <c r="S93" s="21"/>
      <c r="T93" s="21"/>
      <c r="U93" s="21"/>
      <c r="V93" s="21"/>
      <c r="W93" s="21"/>
      <c r="X93" s="21"/>
      <c r="Y93" s="21"/>
    </row>
    <row r="94" spans="1:58" ht="13.8" x14ac:dyDescent="0.3">
      <c r="A94" s="138" t="s">
        <v>11</v>
      </c>
      <c r="B94" s="315">
        <f>K44*I53</f>
        <v>2017.6470000000002</v>
      </c>
      <c r="C94" s="139">
        <f>I78</f>
        <v>9397.26</v>
      </c>
      <c r="D94" s="21"/>
      <c r="E94" s="21"/>
      <c r="F94" s="21"/>
      <c r="G94" s="21"/>
      <c r="H94" s="21"/>
      <c r="I94" s="21"/>
      <c r="J94" s="21"/>
      <c r="K94" s="21"/>
      <c r="L94" s="21"/>
      <c r="M94" s="21"/>
      <c r="N94" s="21"/>
      <c r="O94" s="21"/>
      <c r="P94" s="21"/>
      <c r="Q94" s="21"/>
      <c r="R94" s="21"/>
      <c r="S94" s="21"/>
      <c r="T94" s="21"/>
      <c r="U94" s="21"/>
      <c r="V94" s="21"/>
      <c r="W94" s="21"/>
      <c r="X94" s="21"/>
      <c r="Y94" s="21"/>
    </row>
    <row r="95" spans="1:58" ht="13.8" x14ac:dyDescent="0.3">
      <c r="A95" s="138" t="s">
        <v>50</v>
      </c>
      <c r="B95" s="315">
        <f>L44*J53</f>
        <v>3361.9500000000003</v>
      </c>
      <c r="C95" s="139">
        <f>J78</f>
        <v>0</v>
      </c>
      <c r="D95" s="51"/>
      <c r="E95" s="21"/>
      <c r="F95" s="21"/>
      <c r="G95" s="21"/>
      <c r="H95" s="21"/>
      <c r="I95" s="21"/>
      <c r="J95" s="21"/>
      <c r="K95" s="21"/>
      <c r="L95" s="21"/>
      <c r="M95" s="21"/>
      <c r="N95" s="21"/>
      <c r="O95" s="21"/>
      <c r="P95" s="21"/>
      <c r="Q95" s="21"/>
      <c r="R95" s="21"/>
      <c r="S95" s="21"/>
      <c r="T95" s="21"/>
      <c r="U95" s="21"/>
      <c r="V95" s="21"/>
      <c r="W95" s="21"/>
      <c r="X95" s="21"/>
      <c r="Y95" s="21"/>
    </row>
    <row r="96" spans="1:58" ht="14.4" thickBot="1" x14ac:dyDescent="0.35">
      <c r="A96" s="278" t="s">
        <v>20</v>
      </c>
      <c r="B96" s="316">
        <f>M44*K53</f>
        <v>26088.960000000003</v>
      </c>
      <c r="C96" s="256">
        <f>K78</f>
        <v>0</v>
      </c>
      <c r="D96" s="51"/>
      <c r="E96" s="21"/>
      <c r="F96" s="21"/>
      <c r="G96" s="21"/>
      <c r="H96" s="21"/>
      <c r="I96" s="21"/>
      <c r="J96" s="21"/>
      <c r="K96" s="21"/>
      <c r="L96" s="21"/>
      <c r="M96" s="21"/>
      <c r="N96" s="21"/>
      <c r="O96" s="21"/>
      <c r="P96" s="21"/>
      <c r="Q96" s="21"/>
      <c r="R96" s="21"/>
      <c r="S96" s="21"/>
      <c r="T96" s="21"/>
      <c r="U96" s="21"/>
      <c r="V96" s="21"/>
      <c r="W96" s="21"/>
      <c r="X96" s="21"/>
      <c r="Y96" s="21"/>
    </row>
    <row r="97" spans="1:25" ht="14.4" thickBot="1" x14ac:dyDescent="0.35">
      <c r="A97" s="275" t="s">
        <v>48</v>
      </c>
      <c r="B97" s="317">
        <f>SUM(B87:B96)</f>
        <v>43917.84358017124</v>
      </c>
      <c r="C97" s="276">
        <f>SUM(C87:C96)</f>
        <v>17221.191673838392</v>
      </c>
      <c r="D97" s="21"/>
      <c r="E97" s="21"/>
      <c r="F97" s="21"/>
      <c r="G97" s="21"/>
      <c r="H97" s="21"/>
      <c r="I97" s="21"/>
      <c r="J97" s="21"/>
      <c r="K97" s="21"/>
      <c r="L97" s="21"/>
      <c r="M97" s="21"/>
      <c r="N97" s="21"/>
      <c r="O97" s="21"/>
      <c r="P97" s="21"/>
      <c r="Q97" s="21"/>
      <c r="R97" s="21"/>
      <c r="S97" s="21"/>
      <c r="T97" s="21"/>
      <c r="U97" s="21"/>
      <c r="V97" s="21"/>
      <c r="W97" s="21"/>
      <c r="X97" s="21"/>
      <c r="Y97" s="21"/>
    </row>
    <row r="98" spans="1:25" ht="13.8" x14ac:dyDescent="0.3">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25" ht="13.8" x14ac:dyDescent="0.3">
      <c r="A99" s="21"/>
      <c r="B99" s="318" t="s">
        <v>24</v>
      </c>
      <c r="C99" s="21"/>
      <c r="D99" s="21"/>
      <c r="E99" s="21"/>
      <c r="F99" s="21"/>
      <c r="G99" s="21"/>
      <c r="H99" s="21"/>
      <c r="I99" s="21"/>
      <c r="J99" s="21"/>
      <c r="K99" s="21"/>
      <c r="L99" s="21"/>
      <c r="M99" s="21"/>
      <c r="N99" s="21"/>
      <c r="O99" s="21"/>
      <c r="P99" s="21"/>
      <c r="Q99" s="21"/>
      <c r="R99" s="21"/>
      <c r="S99" s="21"/>
      <c r="T99" s="21"/>
      <c r="U99" s="21"/>
      <c r="V99" s="21"/>
      <c r="W99" s="21"/>
      <c r="X99" s="21"/>
      <c r="Y99" s="21"/>
    </row>
    <row r="100" spans="1:25" ht="13.8" x14ac:dyDescent="0.3">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ht="13.8" x14ac:dyDescent="0.3">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ht="13.8" x14ac:dyDescent="0.3">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ht="13.8" x14ac:dyDescent="0.3">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ht="13.8" x14ac:dyDescent="0.3">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ht="13.8" x14ac:dyDescent="0.3">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ht="13.8" x14ac:dyDescent="0.3">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ht="13.8" x14ac:dyDescent="0.3">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ht="13.8" x14ac:dyDescent="0.3">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ht="13.8" x14ac:dyDescent="0.3">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ht="13.8" x14ac:dyDescent="0.3">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5" ht="13.8" x14ac:dyDescent="0.3">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5" ht="13.8" x14ac:dyDescent="0.3">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ht="13.8" x14ac:dyDescent="0.3">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ht="13.8" x14ac:dyDescent="0.3">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ht="13.8" x14ac:dyDescent="0.3">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ht="13.8" x14ac:dyDescent="0.3">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ht="13.8"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ht="13.8"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ht="13.8" x14ac:dyDescent="0.3">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ht="13.8" x14ac:dyDescent="0.3">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ht="13.8" x14ac:dyDescent="0.3">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ht="13.8" x14ac:dyDescent="0.3">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ht="13.8" x14ac:dyDescent="0.3">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ht="13.8" x14ac:dyDescent="0.3">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ht="13.8" x14ac:dyDescent="0.3">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ht="13.8" x14ac:dyDescent="0.3">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ht="13.8" x14ac:dyDescent="0.3">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ht="13.8" x14ac:dyDescent="0.3">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ht="13.8" x14ac:dyDescent="0.3">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ht="13.8" x14ac:dyDescent="0.3">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ht="13.8" x14ac:dyDescent="0.3">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ht="13.8" x14ac:dyDescent="0.3">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ht="13.8" x14ac:dyDescent="0.3">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ht="13.8" x14ac:dyDescent="0.3">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ht="13.8" x14ac:dyDescent="0.3">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ht="13.8" x14ac:dyDescent="0.3">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ht="13.8" x14ac:dyDescent="0.3">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ht="13.8" x14ac:dyDescent="0.3">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ht="13.8" x14ac:dyDescent="0.3">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ht="13.8" x14ac:dyDescent="0.3">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ht="13.8" x14ac:dyDescent="0.3">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ht="13.8" x14ac:dyDescent="0.3">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ht="13.8" x14ac:dyDescent="0.3">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ht="13.8" x14ac:dyDescent="0.3">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ht="13.8" x14ac:dyDescent="0.3">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ht="13.8" x14ac:dyDescent="0.3">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ht="13.8" x14ac:dyDescent="0.3">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ht="13.8" x14ac:dyDescent="0.3">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ht="13.8" x14ac:dyDescent="0.3">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ht="13.8" x14ac:dyDescent="0.3">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ht="13.8" x14ac:dyDescent="0.3">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ht="13.8" x14ac:dyDescent="0.3">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ht="13.8" x14ac:dyDescent="0.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ht="13.8" x14ac:dyDescent="0.3">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ht="13.8" x14ac:dyDescent="0.3">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ht="13.8" x14ac:dyDescent="0.3">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ht="13.8" x14ac:dyDescent="0.3">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sheetData>
  <mergeCells count="3">
    <mergeCell ref="A51:A52"/>
    <mergeCell ref="B54:K54"/>
    <mergeCell ref="A3:A4"/>
  </mergeCells>
  <pageMargins left="0" right="0" top="0" bottom="0" header="0.3" footer="0.3"/>
  <pageSetup paperSize="17"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BRA Resource Clearing Results</vt:lpstr>
      <vt:lpstr>BRA Load Pricing Results</vt:lpstr>
      <vt:lpstr>BRA CTRs</vt:lpstr>
      <vt:lpstr>BRA ICTRs</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Marzewski, Skyler</cp:lastModifiedBy>
  <cp:lastPrinted>2019-09-17T17:18:56Z</cp:lastPrinted>
  <dcterms:created xsi:type="dcterms:W3CDTF">2007-03-21T19:37:11Z</dcterms:created>
  <dcterms:modified xsi:type="dcterms:W3CDTF">2022-01-06T19:27:52Z</dcterms:modified>
</cp:coreProperties>
</file>