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ayiks\Desktop\"/>
    </mc:Choice>
  </mc:AlternateContent>
  <bookViews>
    <workbookView xWindow="285" yWindow="420" windowWidth="12240" windowHeight="6330" tabRatio="848"/>
  </bookViews>
  <sheets>
    <sheet name="FZSF-FZCP" sheetId="39" r:id="rId1"/>
    <sheet name="UCAP Oblig.-ZCP" sheetId="38" r:id="rId2"/>
    <sheet name="Summary" sheetId="7" r:id="rId3"/>
    <sheet name="Pricing Points" sheetId="40" r:id="rId4"/>
    <sheet name="BRA Resource Clearing Results" sheetId="25" r:id="rId5"/>
    <sheet name="BRA Load Pricing Results" sheetId="30" r:id="rId6"/>
    <sheet name="BRA CTRs" sheetId="2" r:id="rId7"/>
    <sheet name="BRA ICTRs" sheetId="3" r:id="rId8"/>
    <sheet name="3rdIA Resource Clearing Results" sheetId="14" r:id="rId9"/>
    <sheet name="3rd IA Load Pricing Results" sheetId="24" r:id="rId10"/>
    <sheet name="3rd IA CTRs" sheetId="27" r:id="rId11"/>
    <sheet name="3rd IA ICTRs" sheetId="32" r:id="rId12"/>
  </sheets>
  <definedNames>
    <definedName name="_xlnm.Print_Area" localSheetId="11">'3rd IA ICTRs'!$A$1:$M$75</definedName>
    <definedName name="_xlnm.Print_Area" localSheetId="6">'BRA CTRs'!$A$1:$AF$49</definedName>
    <definedName name="_xlnm.Print_Area" localSheetId="7">'BRA ICTRs'!$A$1:$AK$99</definedName>
    <definedName name="_xlnm.Print_Area" localSheetId="2">Summary!#REF!</definedName>
  </definedNames>
  <calcPr calcId="162913"/>
</workbook>
</file>

<file path=xl/calcChain.xml><?xml version="1.0" encoding="utf-8"?>
<calcChain xmlns="http://schemas.openxmlformats.org/spreadsheetml/2006/main">
  <c r="C32" i="24" l="1"/>
  <c r="C33" i="24"/>
  <c r="F42" i="24" l="1"/>
  <c r="K46" i="32" l="1"/>
  <c r="G12" i="27" l="1"/>
  <c r="N46" i="32"/>
  <c r="N32" i="32"/>
  <c r="N13" i="32"/>
  <c r="N48" i="32" s="1"/>
  <c r="B73" i="14" l="1"/>
  <c r="B61" i="14" l="1"/>
  <c r="B62" i="14"/>
  <c r="B64" i="14"/>
  <c r="B63" i="14"/>
  <c r="D43" i="14" l="1"/>
  <c r="E21" i="24" l="1"/>
  <c r="E22" i="24"/>
  <c r="AA43" i="2" l="1"/>
  <c r="Y43" i="2"/>
  <c r="W43" i="2"/>
  <c r="U43" i="2"/>
  <c r="S43" i="2"/>
  <c r="Q43" i="2"/>
  <c r="O43" i="2"/>
  <c r="M43" i="2"/>
  <c r="K43" i="2"/>
  <c r="I43" i="2"/>
  <c r="AA42" i="2"/>
  <c r="Y42" i="2"/>
  <c r="W42" i="2"/>
  <c r="U42" i="2"/>
  <c r="S42" i="2"/>
  <c r="Q42" i="2"/>
  <c r="O42" i="2"/>
  <c r="M42" i="2"/>
  <c r="I42" i="2"/>
  <c r="AA41" i="2"/>
  <c r="Y41" i="2"/>
  <c r="U41" i="2"/>
  <c r="S41" i="2"/>
  <c r="Q41" i="2"/>
  <c r="O41" i="2"/>
  <c r="M41" i="2"/>
  <c r="K41" i="2"/>
  <c r="I41" i="2"/>
  <c r="G41" i="2"/>
  <c r="AA40" i="2"/>
  <c r="Y40" i="2"/>
  <c r="W40" i="2"/>
  <c r="U40" i="2"/>
  <c r="S40" i="2"/>
  <c r="Q40" i="2"/>
  <c r="M40" i="2"/>
  <c r="K40" i="2"/>
  <c r="G40" i="2"/>
  <c r="AA39" i="2"/>
  <c r="Y39" i="2"/>
  <c r="W39" i="2"/>
  <c r="U39" i="2"/>
  <c r="S39" i="2"/>
  <c r="Q39" i="2"/>
  <c r="O39" i="2"/>
  <c r="M39" i="2"/>
  <c r="K39" i="2"/>
  <c r="I39" i="2"/>
  <c r="G39" i="2"/>
  <c r="AA38" i="2"/>
  <c r="Y38" i="2"/>
  <c r="W38" i="2"/>
  <c r="U38" i="2"/>
  <c r="S38" i="2"/>
  <c r="Q38" i="2"/>
  <c r="O38" i="2"/>
  <c r="M38" i="2"/>
  <c r="K38" i="2"/>
  <c r="I38" i="2"/>
  <c r="AA37" i="2"/>
  <c r="Y37" i="2"/>
  <c r="W37" i="2"/>
  <c r="U37" i="2"/>
  <c r="S37" i="2"/>
  <c r="Q37" i="2"/>
  <c r="O37" i="2"/>
  <c r="M37" i="2"/>
  <c r="K37" i="2"/>
  <c r="I37" i="2"/>
  <c r="G37" i="2"/>
  <c r="E37" i="2"/>
  <c r="AA36" i="2"/>
  <c r="Y36" i="2"/>
  <c r="W36" i="2"/>
  <c r="U36" i="2"/>
  <c r="S36" i="2"/>
  <c r="Q36" i="2"/>
  <c r="O36" i="2"/>
  <c r="M36" i="2"/>
  <c r="K36" i="2"/>
  <c r="I36" i="2"/>
  <c r="G36" i="2"/>
  <c r="AA35" i="2"/>
  <c r="Y35" i="2"/>
  <c r="W35" i="2"/>
  <c r="U35" i="2"/>
  <c r="S35" i="2"/>
  <c r="Q35" i="2"/>
  <c r="O35" i="2"/>
  <c r="M35" i="2"/>
  <c r="K35" i="2"/>
  <c r="I35" i="2"/>
  <c r="AA34" i="2"/>
  <c r="Y34" i="2"/>
  <c r="W34" i="2"/>
  <c r="U34" i="2"/>
  <c r="S34" i="2"/>
  <c r="Q34" i="2"/>
  <c r="O34" i="2"/>
  <c r="M34" i="2"/>
  <c r="K34" i="2"/>
  <c r="I34" i="2"/>
  <c r="G34" i="2"/>
  <c r="E34" i="2"/>
  <c r="AA33" i="2"/>
  <c r="Y33" i="2"/>
  <c r="W33" i="2"/>
  <c r="U33" i="2"/>
  <c r="S33" i="2"/>
  <c r="Q33" i="2"/>
  <c r="O33" i="2"/>
  <c r="K33" i="2"/>
  <c r="I33" i="2"/>
  <c r="AA32" i="2"/>
  <c r="Y32" i="2"/>
  <c r="W32" i="2"/>
  <c r="U32" i="2"/>
  <c r="S32" i="2"/>
  <c r="Q32" i="2"/>
  <c r="O32" i="2"/>
  <c r="M32" i="2"/>
  <c r="K32" i="2"/>
  <c r="I32" i="2"/>
  <c r="G32" i="2"/>
  <c r="E32" i="2"/>
  <c r="AA31" i="2"/>
  <c r="Y31" i="2"/>
  <c r="W31" i="2"/>
  <c r="U31" i="2"/>
  <c r="S31" i="2"/>
  <c r="Q31" i="2"/>
  <c r="O31" i="2"/>
  <c r="M31" i="2"/>
  <c r="K31" i="2"/>
  <c r="I31" i="2"/>
  <c r="G31" i="2"/>
  <c r="E31" i="2"/>
  <c r="Y30" i="2"/>
  <c r="W30" i="2"/>
  <c r="U30" i="2"/>
  <c r="S30" i="2"/>
  <c r="Q30" i="2"/>
  <c r="O30" i="2"/>
  <c r="M30" i="2"/>
  <c r="K30" i="2"/>
  <c r="I30" i="2"/>
  <c r="G30" i="2"/>
  <c r="E30" i="2"/>
  <c r="AA29" i="2"/>
  <c r="W29" i="2"/>
  <c r="U29" i="2"/>
  <c r="S29" i="2"/>
  <c r="Q29" i="2"/>
  <c r="O29" i="2"/>
  <c r="M29" i="2"/>
  <c r="K29" i="2"/>
  <c r="I29" i="2"/>
  <c r="G29" i="2"/>
  <c r="E29" i="2"/>
  <c r="AA28" i="2"/>
  <c r="Y28" i="2"/>
  <c r="W28" i="2"/>
  <c r="U28" i="2"/>
  <c r="Q28" i="2"/>
  <c r="O28" i="2"/>
  <c r="M28" i="2"/>
  <c r="K28" i="2"/>
  <c r="I28" i="2"/>
  <c r="G28" i="2"/>
  <c r="E28" i="2"/>
  <c r="AA27" i="2"/>
  <c r="Y27" i="2"/>
  <c r="W27" i="2"/>
  <c r="S27" i="2"/>
  <c r="Q27" i="2"/>
  <c r="O27" i="2"/>
  <c r="M27" i="2"/>
  <c r="K27" i="2"/>
  <c r="G27" i="2"/>
  <c r="AA26" i="2"/>
  <c r="Y26" i="2"/>
  <c r="W26" i="2"/>
  <c r="U26" i="2"/>
  <c r="S26" i="2"/>
  <c r="O26" i="2"/>
  <c r="M26" i="2"/>
  <c r="K26" i="2"/>
  <c r="I26" i="2"/>
  <c r="G26" i="2"/>
  <c r="E26" i="2"/>
  <c r="AA25" i="2"/>
  <c r="Y25" i="2"/>
  <c r="W25" i="2"/>
  <c r="U25" i="2"/>
  <c r="S25" i="2"/>
  <c r="Q25" i="2"/>
  <c r="O25" i="2"/>
  <c r="M25" i="2"/>
  <c r="K25" i="2"/>
  <c r="I25" i="2"/>
  <c r="G25" i="2"/>
  <c r="E25" i="2"/>
  <c r="AA24" i="2"/>
  <c r="Y24" i="2"/>
  <c r="W24" i="2"/>
  <c r="U24" i="2"/>
  <c r="S24" i="2"/>
  <c r="Q24" i="2"/>
  <c r="O24" i="2"/>
  <c r="M24" i="2"/>
  <c r="K24" i="2"/>
  <c r="I24" i="2"/>
  <c r="G24" i="2"/>
  <c r="E24" i="2"/>
  <c r="AA23" i="2"/>
  <c r="Y23" i="2"/>
  <c r="W23" i="2"/>
  <c r="U23" i="2"/>
  <c r="S23" i="2"/>
  <c r="Q23" i="2"/>
  <c r="O23" i="2"/>
  <c r="M23" i="2"/>
  <c r="K23" i="2"/>
  <c r="I23" i="2"/>
  <c r="AC34" i="2" l="1"/>
  <c r="AF34" i="2" s="1"/>
  <c r="AC24" i="2"/>
  <c r="AF24" i="2" s="1"/>
  <c r="AC25" i="2"/>
  <c r="AF25" i="2" s="1"/>
  <c r="AC31" i="2"/>
  <c r="AF31" i="2" s="1"/>
  <c r="AC32" i="2"/>
  <c r="AF32" i="2" s="1"/>
  <c r="AC37" i="2"/>
  <c r="AF37" i="2" s="1"/>
  <c r="E16" i="2" l="1"/>
  <c r="E15" i="2"/>
  <c r="E14" i="2"/>
  <c r="E13" i="2"/>
  <c r="E12" i="2"/>
  <c r="E10" i="2"/>
  <c r="E7" i="2"/>
  <c r="E6" i="2"/>
  <c r="E5" i="2"/>
  <c r="E61" i="30"/>
  <c r="G61" i="30"/>
  <c r="D13" i="30"/>
  <c r="F80" i="25"/>
  <c r="E80" i="25"/>
  <c r="D80" i="25"/>
  <c r="B77" i="25"/>
  <c r="B71" i="25"/>
  <c r="B70" i="25"/>
  <c r="B58" i="25"/>
  <c r="B54" i="25"/>
  <c r="B79" i="25"/>
  <c r="E40" i="25"/>
  <c r="F40" i="25" s="1"/>
  <c r="B38" i="7" s="1"/>
  <c r="B59" i="25"/>
  <c r="B78" i="25"/>
  <c r="E39" i="25"/>
  <c r="F39" i="25" s="1"/>
  <c r="B37" i="7" s="1"/>
  <c r="E38" i="25"/>
  <c r="C57" i="25" s="1"/>
  <c r="B57" i="25"/>
  <c r="B76" i="25"/>
  <c r="E37" i="25"/>
  <c r="C56" i="25" s="1"/>
  <c r="B56" i="25"/>
  <c r="B75" i="25"/>
  <c r="B55" i="25"/>
  <c r="B74" i="25"/>
  <c r="E35" i="25"/>
  <c r="C54" i="25" s="1"/>
  <c r="B73" i="25"/>
  <c r="B72" i="25"/>
  <c r="E33" i="25"/>
  <c r="C52" i="25" s="1"/>
  <c r="E32" i="25"/>
  <c r="C51" i="25" s="1"/>
  <c r="B51" i="25"/>
  <c r="B50" i="25"/>
  <c r="B69" i="25"/>
  <c r="E30" i="25"/>
  <c r="B68" i="25"/>
  <c r="E29" i="25"/>
  <c r="C48" i="25" s="1"/>
  <c r="B67" i="25"/>
  <c r="B66" i="25"/>
  <c r="E27" i="25"/>
  <c r="B46" i="25"/>
  <c r="B65" i="25"/>
  <c r="C97" i="25"/>
  <c r="D97" i="25" s="1"/>
  <c r="D21" i="30"/>
  <c r="X21" i="2"/>
  <c r="V21" i="2"/>
  <c r="T21" i="2"/>
  <c r="C92" i="25"/>
  <c r="D92" i="25" s="1"/>
  <c r="C91" i="25"/>
  <c r="D91" i="25" s="1"/>
  <c r="C90" i="25"/>
  <c r="D90" i="25" s="1"/>
  <c r="C89" i="25"/>
  <c r="D89" i="25" s="1"/>
  <c r="E9" i="2" s="1"/>
  <c r="C88" i="25"/>
  <c r="D88" i="25" s="1"/>
  <c r="B10" i="25"/>
  <c r="C87" i="25"/>
  <c r="D87" i="25" s="1"/>
  <c r="J21" i="2"/>
  <c r="H21" i="2"/>
  <c r="D14" i="30"/>
  <c r="B16" i="25"/>
  <c r="C19" i="30" s="1"/>
  <c r="D54" i="25" l="1"/>
  <c r="B17" i="25"/>
  <c r="D17" i="25" s="1"/>
  <c r="D57" i="25"/>
  <c r="E57" i="25" s="1"/>
  <c r="D18" i="30"/>
  <c r="K55" i="3" s="1"/>
  <c r="B18" i="25"/>
  <c r="D18" i="25" s="1"/>
  <c r="C84" i="25"/>
  <c r="D84" i="25" s="1"/>
  <c r="D22" i="30"/>
  <c r="J55" i="3" s="1"/>
  <c r="F21" i="2"/>
  <c r="C96" i="25"/>
  <c r="D96" i="25" s="1"/>
  <c r="Z21" i="2"/>
  <c r="Z43" i="2" s="1"/>
  <c r="F29" i="25"/>
  <c r="B13" i="25"/>
  <c r="D13" i="25" s="1"/>
  <c r="C73" i="25" s="1"/>
  <c r="E11" i="2"/>
  <c r="E31" i="25"/>
  <c r="AB21" i="2"/>
  <c r="D5" i="25"/>
  <c r="B5" i="7" s="1"/>
  <c r="B9" i="25"/>
  <c r="D9" i="25" s="1"/>
  <c r="C69" i="25" s="1"/>
  <c r="B45" i="25"/>
  <c r="B47" i="25"/>
  <c r="F35" i="25"/>
  <c r="B33" i="7" s="1"/>
  <c r="E8" i="2"/>
  <c r="E26" i="25"/>
  <c r="E28" i="25"/>
  <c r="F28" i="25" s="1"/>
  <c r="C6" i="2" s="1"/>
  <c r="F30" i="25"/>
  <c r="B28" i="7" s="1"/>
  <c r="D51" i="25"/>
  <c r="V34" i="2"/>
  <c r="V26" i="2"/>
  <c r="V42" i="2"/>
  <c r="V28" i="2"/>
  <c r="V36" i="2"/>
  <c r="V25" i="2"/>
  <c r="V40" i="2"/>
  <c r="V23" i="2"/>
  <c r="V35" i="2"/>
  <c r="V39" i="2"/>
  <c r="V24" i="2"/>
  <c r="V29" i="2"/>
  <c r="V41" i="2"/>
  <c r="V43" i="2"/>
  <c r="V32" i="2"/>
  <c r="V38" i="2"/>
  <c r="V37" i="2"/>
  <c r="V30" i="2"/>
  <c r="V31" i="2"/>
  <c r="V33" i="2"/>
  <c r="T37" i="2"/>
  <c r="T24" i="2"/>
  <c r="T39" i="2"/>
  <c r="T38" i="2"/>
  <c r="T41" i="2"/>
  <c r="T26" i="2"/>
  <c r="T42" i="2"/>
  <c r="T31" i="2"/>
  <c r="T35" i="2"/>
  <c r="T34" i="2"/>
  <c r="T29" i="2"/>
  <c r="T40" i="2"/>
  <c r="T23" i="2"/>
  <c r="T27" i="2"/>
  <c r="T36" i="2"/>
  <c r="T32" i="2"/>
  <c r="T33" i="2"/>
  <c r="T43" i="2"/>
  <c r="T30" i="2"/>
  <c r="T25" i="2"/>
  <c r="H28" i="2"/>
  <c r="H39" i="2"/>
  <c r="H30" i="2"/>
  <c r="H41" i="2"/>
  <c r="H29" i="2"/>
  <c r="H37" i="2"/>
  <c r="H27" i="2"/>
  <c r="H25" i="2"/>
  <c r="H34" i="2"/>
  <c r="H26" i="2"/>
  <c r="H40" i="2"/>
  <c r="H31" i="2"/>
  <c r="H36" i="2"/>
  <c r="H32" i="2"/>
  <c r="H24" i="2"/>
  <c r="D56" i="25"/>
  <c r="X39" i="2"/>
  <c r="X30" i="2"/>
  <c r="X24" i="2"/>
  <c r="X23" i="2"/>
  <c r="X34" i="2"/>
  <c r="X28" i="2"/>
  <c r="X37" i="2"/>
  <c r="X42" i="2"/>
  <c r="X29" i="2"/>
  <c r="X27" i="2"/>
  <c r="X33" i="2"/>
  <c r="X32" i="2"/>
  <c r="X25" i="2"/>
  <c r="X40" i="2"/>
  <c r="X26" i="2"/>
  <c r="X35" i="2"/>
  <c r="X36" i="2"/>
  <c r="X43" i="2"/>
  <c r="X31" i="2"/>
  <c r="X38" i="2"/>
  <c r="J32" i="2"/>
  <c r="J36" i="2"/>
  <c r="J30" i="2"/>
  <c r="J38" i="2"/>
  <c r="J42" i="2"/>
  <c r="J28" i="2"/>
  <c r="J37" i="2"/>
  <c r="J35" i="2"/>
  <c r="J26" i="2"/>
  <c r="J33" i="2"/>
  <c r="J39" i="2"/>
  <c r="J23" i="2"/>
  <c r="J31" i="2"/>
  <c r="J29" i="2"/>
  <c r="J41" i="2"/>
  <c r="J25" i="2"/>
  <c r="J43" i="2"/>
  <c r="J34" i="2"/>
  <c r="J24" i="2"/>
  <c r="Z36" i="2"/>
  <c r="Z38" i="2"/>
  <c r="Z30" i="2"/>
  <c r="Z28" i="2"/>
  <c r="Z32" i="2"/>
  <c r="Z24" i="2"/>
  <c r="Z27" i="2"/>
  <c r="Z34" i="2"/>
  <c r="Z35" i="2"/>
  <c r="Z39" i="2"/>
  <c r="Z42" i="2"/>
  <c r="Z25" i="2"/>
  <c r="Z26" i="2"/>
  <c r="Z41" i="2"/>
  <c r="Z37" i="2"/>
  <c r="D16" i="25"/>
  <c r="E34" i="25"/>
  <c r="C53" i="25" s="1"/>
  <c r="E36" i="25"/>
  <c r="C85" i="25"/>
  <c r="D85" i="25" s="1"/>
  <c r="D15" i="30"/>
  <c r="D19" i="30"/>
  <c r="C46" i="25"/>
  <c r="D46" i="25" s="1"/>
  <c r="C58" i="25"/>
  <c r="D58" i="25" s="1"/>
  <c r="F28" i="2"/>
  <c r="F34" i="2"/>
  <c r="F26" i="2"/>
  <c r="F24" i="2"/>
  <c r="F31" i="2"/>
  <c r="F29" i="2"/>
  <c r="F37" i="2"/>
  <c r="F25" i="2"/>
  <c r="F32" i="2"/>
  <c r="F30" i="2"/>
  <c r="D10" i="25"/>
  <c r="C47" i="25"/>
  <c r="C59" i="25"/>
  <c r="D59" i="25" s="1"/>
  <c r="C77" i="25"/>
  <c r="C86" i="25"/>
  <c r="D86" i="25" s="1"/>
  <c r="C20" i="30"/>
  <c r="F32" i="25"/>
  <c r="B30" i="7" s="1"/>
  <c r="B6" i="25"/>
  <c r="B14" i="25"/>
  <c r="D14" i="25" s="1"/>
  <c r="B14" i="7" s="1"/>
  <c r="F33" i="25"/>
  <c r="B48" i="25"/>
  <c r="D48" i="25" s="1"/>
  <c r="B52" i="25"/>
  <c r="D52" i="25" s="1"/>
  <c r="C93" i="25"/>
  <c r="D93" i="25" s="1"/>
  <c r="D16" i="30"/>
  <c r="D55" i="3" s="1"/>
  <c r="D20" i="30"/>
  <c r="P21" i="2"/>
  <c r="B19" i="25"/>
  <c r="F27" i="25"/>
  <c r="F37" i="25"/>
  <c r="C65" i="25"/>
  <c r="C94" i="25"/>
  <c r="D94" i="25" s="1"/>
  <c r="C21" i="30"/>
  <c r="B11" i="25"/>
  <c r="D11" i="25" s="1"/>
  <c r="C71" i="25" s="1"/>
  <c r="B7" i="25"/>
  <c r="B15" i="25"/>
  <c r="B49" i="25"/>
  <c r="B53" i="25"/>
  <c r="C13" i="30"/>
  <c r="D17" i="30"/>
  <c r="H55" i="3" s="1"/>
  <c r="B55" i="3"/>
  <c r="AB33" i="2"/>
  <c r="AB27" i="2"/>
  <c r="AB41" i="2"/>
  <c r="AB28" i="2"/>
  <c r="AB38" i="2"/>
  <c r="AB25" i="2"/>
  <c r="AB40" i="2"/>
  <c r="AB35" i="2"/>
  <c r="AB32" i="2"/>
  <c r="AB31" i="2"/>
  <c r="AB42" i="2"/>
  <c r="AB36" i="2"/>
  <c r="AB39" i="2"/>
  <c r="AB23" i="2"/>
  <c r="AB34" i="2"/>
  <c r="AB37" i="2"/>
  <c r="AB26" i="2"/>
  <c r="AB29" i="2"/>
  <c r="AB43" i="2"/>
  <c r="AB24" i="2"/>
  <c r="B12" i="25"/>
  <c r="F26" i="25"/>
  <c r="C95" i="25"/>
  <c r="D95" i="25" s="1"/>
  <c r="B80" i="25"/>
  <c r="F38" i="25"/>
  <c r="B36" i="7" s="1"/>
  <c r="B8" i="25"/>
  <c r="D47" i="25" l="1"/>
  <c r="C14" i="2"/>
  <c r="B13" i="7"/>
  <c r="Z23" i="2"/>
  <c r="Z33" i="2"/>
  <c r="Z40" i="2"/>
  <c r="D98" i="25"/>
  <c r="Z31" i="2"/>
  <c r="F31" i="25"/>
  <c r="B29" i="7" s="1"/>
  <c r="C50" i="25"/>
  <c r="D50" i="25" s="1"/>
  <c r="E50" i="25" s="1"/>
  <c r="B18" i="7"/>
  <c r="E56" i="25"/>
  <c r="F34" i="25"/>
  <c r="B32" i="7" s="1"/>
  <c r="B27" i="7"/>
  <c r="C7" i="2"/>
  <c r="D53" i="25"/>
  <c r="E53" i="25" s="1"/>
  <c r="B10" i="7"/>
  <c r="B17" i="7"/>
  <c r="B26" i="7"/>
  <c r="C76" i="25"/>
  <c r="B9" i="7"/>
  <c r="C49" i="25"/>
  <c r="D49" i="25" s="1"/>
  <c r="E49" i="25" s="1"/>
  <c r="B11" i="7"/>
  <c r="C70" i="25"/>
  <c r="E58" i="25"/>
  <c r="C15" i="2"/>
  <c r="C16" i="2"/>
  <c r="E19" i="24"/>
  <c r="E34" i="24"/>
  <c r="C55" i="3"/>
  <c r="D8" i="25"/>
  <c r="C16" i="30"/>
  <c r="C5" i="2"/>
  <c r="B25" i="7"/>
  <c r="E29" i="24"/>
  <c r="E20" i="24"/>
  <c r="F36" i="25"/>
  <c r="C55" i="25"/>
  <c r="D55" i="25" s="1"/>
  <c r="E13" i="24"/>
  <c r="B35" i="7"/>
  <c r="C13" i="2"/>
  <c r="D19" i="25"/>
  <c r="C22" i="30"/>
  <c r="D15" i="25"/>
  <c r="C18" i="30"/>
  <c r="E54" i="25"/>
  <c r="C74" i="25"/>
  <c r="D6" i="25"/>
  <c r="C14" i="30"/>
  <c r="B60" i="25"/>
  <c r="E48" i="25"/>
  <c r="E28" i="24"/>
  <c r="C10" i="2"/>
  <c r="B31" i="7"/>
  <c r="B24" i="7"/>
  <c r="B16" i="7"/>
  <c r="C45" i="25"/>
  <c r="E32" i="24"/>
  <c r="E33" i="24" s="1"/>
  <c r="D7" i="25"/>
  <c r="C15" i="30"/>
  <c r="P41" i="2"/>
  <c r="P27" i="2"/>
  <c r="P38" i="2"/>
  <c r="P29" i="2"/>
  <c r="P35" i="2"/>
  <c r="P43" i="2"/>
  <c r="P37" i="2"/>
  <c r="P24" i="2"/>
  <c r="P33" i="2"/>
  <c r="P31" i="2"/>
  <c r="P42" i="2"/>
  <c r="P36" i="2"/>
  <c r="P32" i="2"/>
  <c r="P26" i="2"/>
  <c r="P25" i="2"/>
  <c r="P39" i="2"/>
  <c r="P23" i="2"/>
  <c r="P34" i="2"/>
  <c r="P30" i="2"/>
  <c r="P28" i="2"/>
  <c r="D12" i="25"/>
  <c r="C17" i="30"/>
  <c r="I55" i="3"/>
  <c r="E51" i="25"/>
  <c r="E30" i="24" l="1"/>
  <c r="E59" i="25"/>
  <c r="E52" i="25"/>
  <c r="E47" i="25"/>
  <c r="E35" i="24"/>
  <c r="E36" i="24" s="1"/>
  <c r="B12" i="7"/>
  <c r="C72" i="25"/>
  <c r="B7" i="7"/>
  <c r="C67" i="25"/>
  <c r="B6" i="7"/>
  <c r="C66" i="25"/>
  <c r="C60" i="25"/>
  <c r="D45" i="25"/>
  <c r="E55" i="25"/>
  <c r="E46" i="25"/>
  <c r="B19" i="7"/>
  <c r="C12" i="2"/>
  <c r="B34" i="7"/>
  <c r="B15" i="7"/>
  <c r="C75" i="25"/>
  <c r="B8" i="7"/>
  <c r="C68" i="25"/>
  <c r="E17" i="24" l="1"/>
  <c r="E15" i="24"/>
  <c r="E16" i="24"/>
  <c r="D60" i="25"/>
  <c r="E45" i="25"/>
  <c r="E60" i="25" s="1"/>
  <c r="E18" i="24"/>
  <c r="C80" i="25"/>
  <c r="H52" i="30" l="1"/>
  <c r="I52" i="30" s="1"/>
  <c r="J52" i="30" s="1"/>
  <c r="B77" i="7" s="1"/>
  <c r="B18" i="38" s="1"/>
  <c r="H50" i="30"/>
  <c r="I50" i="30" s="1"/>
  <c r="J50" i="30" s="1"/>
  <c r="H59" i="30"/>
  <c r="I59" i="30" s="1"/>
  <c r="J59" i="30" s="1"/>
  <c r="H45" i="30"/>
  <c r="I45" i="30" s="1"/>
  <c r="J45" i="30" s="1"/>
  <c r="H57" i="30"/>
  <c r="I57" i="30" s="1"/>
  <c r="J57" i="30" s="1"/>
  <c r="H48" i="30"/>
  <c r="I48" i="30" s="1"/>
  <c r="J48" i="30" s="1"/>
  <c r="B73" i="7" s="1"/>
  <c r="B14" i="38" s="1"/>
  <c r="H46" i="30"/>
  <c r="I46" i="30" s="1"/>
  <c r="J46" i="30" s="1"/>
  <c r="H51" i="30"/>
  <c r="I51" i="30" s="1"/>
  <c r="J51" i="30" s="1"/>
  <c r="B76" i="7" s="1"/>
  <c r="B17" i="38" s="1"/>
  <c r="H42" i="30"/>
  <c r="I42" i="30" s="1"/>
  <c r="J42" i="30" s="1"/>
  <c r="B67" i="7" s="1"/>
  <c r="B8" i="38" s="1"/>
  <c r="H49" i="30"/>
  <c r="I49" i="30" s="1"/>
  <c r="J49" i="30" s="1"/>
  <c r="B74" i="7" s="1"/>
  <c r="B15" i="38" s="1"/>
  <c r="H47" i="30"/>
  <c r="I47" i="30" s="1"/>
  <c r="J47" i="30" s="1"/>
  <c r="H60" i="30"/>
  <c r="I60" i="30" s="1"/>
  <c r="J60" i="30" s="1"/>
  <c r="B85" i="7" s="1"/>
  <c r="B26" i="38" s="1"/>
  <c r="H43" i="30"/>
  <c r="I43" i="30" s="1"/>
  <c r="J43" i="30" s="1"/>
  <c r="H53" i="30"/>
  <c r="I53" i="30" s="1"/>
  <c r="J53" i="30" s="1"/>
  <c r="B78" i="7" s="1"/>
  <c r="B19" i="38" s="1"/>
  <c r="H56" i="30"/>
  <c r="I56" i="30" s="1"/>
  <c r="J56" i="30" s="1"/>
  <c r="B81" i="7" s="1"/>
  <c r="B22" i="38" s="1"/>
  <c r="H41" i="30"/>
  <c r="I41" i="30" s="1"/>
  <c r="J41" i="30" s="1"/>
  <c r="B66" i="7" s="1"/>
  <c r="B7" i="38" s="1"/>
  <c r="H58" i="30"/>
  <c r="I58" i="30" s="1"/>
  <c r="J58" i="30" s="1"/>
  <c r="H44" i="30"/>
  <c r="I44" i="30" s="1"/>
  <c r="J44" i="30" s="1"/>
  <c r="H40" i="30"/>
  <c r="I40" i="30" s="1"/>
  <c r="J40" i="30" s="1"/>
  <c r="H55" i="30"/>
  <c r="I55" i="30" s="1"/>
  <c r="J55" i="30" s="1"/>
  <c r="B80" i="7" s="1"/>
  <c r="B21" i="38" s="1"/>
  <c r="H54" i="30"/>
  <c r="I54" i="30" s="1"/>
  <c r="J54" i="30" s="1"/>
  <c r="B79" i="7" s="1"/>
  <c r="B20" i="38" s="1"/>
  <c r="E14" i="24"/>
  <c r="G80" i="25"/>
  <c r="F46" i="24"/>
  <c r="B15" i="2" l="1"/>
  <c r="D15" i="2" s="1"/>
  <c r="B71" i="7"/>
  <c r="B12" i="38" s="1"/>
  <c r="B68" i="7"/>
  <c r="B9" i="38" s="1"/>
  <c r="B11" i="2"/>
  <c r="B82" i="7"/>
  <c r="B23" i="38" s="1"/>
  <c r="B10" i="2"/>
  <c r="B72" i="7"/>
  <c r="B13" i="38" s="1"/>
  <c r="B16" i="2"/>
  <c r="B8" i="2"/>
  <c r="B84" i="7"/>
  <c r="B25" i="38" s="1"/>
  <c r="B12" i="2"/>
  <c r="B70" i="7"/>
  <c r="B11" i="38" s="1"/>
  <c r="B13" i="2"/>
  <c r="B69" i="7"/>
  <c r="B10" i="38" s="1"/>
  <c r="B9" i="2"/>
  <c r="B75" i="7"/>
  <c r="B16" i="38" s="1"/>
  <c r="J61" i="30"/>
  <c r="B65" i="7"/>
  <c r="B6" i="38" s="1"/>
  <c r="B14" i="2"/>
  <c r="D14" i="2" s="1"/>
  <c r="B83" i="7"/>
  <c r="B24" i="38" s="1"/>
  <c r="H16" i="27"/>
  <c r="H13" i="27"/>
  <c r="H12" i="27"/>
  <c r="H10" i="27"/>
  <c r="H9" i="27"/>
  <c r="H8" i="27"/>
  <c r="H7" i="27"/>
  <c r="H6" i="27"/>
  <c r="G16" i="27"/>
  <c r="G13" i="27"/>
  <c r="G10" i="27"/>
  <c r="G9" i="27"/>
  <c r="G8" i="27"/>
  <c r="G7" i="27"/>
  <c r="G6" i="27"/>
  <c r="B27" i="38" l="1"/>
  <c r="F48" i="32"/>
  <c r="M46" i="32"/>
  <c r="L46" i="32"/>
  <c r="J46" i="32"/>
  <c r="I46" i="32"/>
  <c r="H46" i="32"/>
  <c r="G46" i="32"/>
  <c r="F46" i="32"/>
  <c r="E46" i="32"/>
  <c r="D46" i="32"/>
  <c r="B46" i="32"/>
  <c r="M32" i="32"/>
  <c r="L32" i="32"/>
  <c r="K32" i="32"/>
  <c r="J32" i="32"/>
  <c r="I32" i="32"/>
  <c r="H32" i="32"/>
  <c r="G32" i="32"/>
  <c r="F32" i="32"/>
  <c r="E32" i="32"/>
  <c r="D32" i="32"/>
  <c r="B32" i="32"/>
  <c r="M13" i="32"/>
  <c r="M48" i="32" s="1"/>
  <c r="L13" i="32"/>
  <c r="L48" i="32" s="1"/>
  <c r="K13" i="32"/>
  <c r="K48" i="32" s="1"/>
  <c r="J13" i="32"/>
  <c r="J48" i="32" s="1"/>
  <c r="I13" i="32"/>
  <c r="I48" i="32" s="1"/>
  <c r="H13" i="32"/>
  <c r="H48" i="32" s="1"/>
  <c r="G13" i="32"/>
  <c r="G48" i="32" s="1"/>
  <c r="F13" i="32"/>
  <c r="E13" i="32"/>
  <c r="E48" i="32" s="1"/>
  <c r="D13" i="32"/>
  <c r="D48" i="32" s="1"/>
  <c r="B13" i="32"/>
  <c r="B48" i="32" s="1"/>
  <c r="F43" i="24" l="1"/>
  <c r="D34" i="30"/>
  <c r="C34" i="30"/>
  <c r="D33" i="30"/>
  <c r="C33" i="30"/>
  <c r="D31" i="30"/>
  <c r="G55" i="3" s="1"/>
  <c r="C31" i="30"/>
  <c r="D28" i="30"/>
  <c r="F55" i="3" s="1"/>
  <c r="C28" i="30"/>
  <c r="D27" i="30"/>
  <c r="E55" i="3" s="1"/>
  <c r="C27" i="30"/>
  <c r="AA24" i="27"/>
  <c r="AA25" i="27"/>
  <c r="AA26" i="27"/>
  <c r="AA27" i="27"/>
  <c r="AA28" i="27"/>
  <c r="AA29" i="27"/>
  <c r="AA31" i="27"/>
  <c r="AA32" i="27"/>
  <c r="AA33" i="27"/>
  <c r="AA34" i="27"/>
  <c r="AA35" i="27"/>
  <c r="AA36" i="27"/>
  <c r="AA37" i="27"/>
  <c r="AA38" i="27"/>
  <c r="AA39" i="27"/>
  <c r="AA40" i="27"/>
  <c r="AA41" i="27"/>
  <c r="AA42" i="27"/>
  <c r="AA43" i="27"/>
  <c r="AA23" i="27"/>
  <c r="Y24" i="27"/>
  <c r="Y25" i="27"/>
  <c r="Y26" i="27"/>
  <c r="Y27" i="27"/>
  <c r="Y28" i="27"/>
  <c r="Y30" i="27"/>
  <c r="Y31" i="27"/>
  <c r="Y32" i="27"/>
  <c r="Y33" i="27"/>
  <c r="Y34" i="27"/>
  <c r="Y35" i="27"/>
  <c r="Y36" i="27"/>
  <c r="Y37" i="27"/>
  <c r="Y38" i="27"/>
  <c r="Y39" i="27"/>
  <c r="Y40" i="27"/>
  <c r="Y41" i="27"/>
  <c r="Y42" i="27"/>
  <c r="Y43" i="27"/>
  <c r="Y23" i="27"/>
  <c r="W24" i="27"/>
  <c r="W25" i="27"/>
  <c r="W26" i="27"/>
  <c r="W27" i="27"/>
  <c r="W28" i="27"/>
  <c r="W29" i="27"/>
  <c r="W30" i="27"/>
  <c r="W31" i="27"/>
  <c r="W32" i="27"/>
  <c r="W33" i="27"/>
  <c r="W34" i="27"/>
  <c r="W35" i="27"/>
  <c r="W36" i="27"/>
  <c r="W37" i="27"/>
  <c r="W38" i="27"/>
  <c r="W39" i="27"/>
  <c r="W40" i="27"/>
  <c r="W42" i="27"/>
  <c r="W43" i="27"/>
  <c r="W23" i="27"/>
  <c r="U24" i="27"/>
  <c r="U25" i="27"/>
  <c r="U26" i="27"/>
  <c r="U28" i="27"/>
  <c r="U29" i="27"/>
  <c r="U30" i="27"/>
  <c r="U31" i="27"/>
  <c r="U32" i="27"/>
  <c r="U33" i="27"/>
  <c r="U34" i="27"/>
  <c r="U35" i="27"/>
  <c r="U36" i="27"/>
  <c r="U37" i="27"/>
  <c r="U38" i="27"/>
  <c r="U39" i="27"/>
  <c r="U40" i="27"/>
  <c r="U41" i="27"/>
  <c r="U42" i="27"/>
  <c r="U43" i="27"/>
  <c r="U23" i="27"/>
  <c r="S24" i="27"/>
  <c r="S25" i="27"/>
  <c r="S26" i="27"/>
  <c r="S27" i="27"/>
  <c r="S29" i="27"/>
  <c r="S30" i="27"/>
  <c r="S31" i="27"/>
  <c r="S32" i="27"/>
  <c r="S33" i="27"/>
  <c r="S34" i="27"/>
  <c r="S35" i="27"/>
  <c r="S36" i="27"/>
  <c r="S37" i="27"/>
  <c r="S38" i="27"/>
  <c r="S39" i="27"/>
  <c r="S40" i="27"/>
  <c r="S41" i="27"/>
  <c r="S42" i="27"/>
  <c r="S43" i="27"/>
  <c r="S23" i="27"/>
  <c r="Q24" i="27"/>
  <c r="Q25" i="27"/>
  <c r="Q27" i="27"/>
  <c r="Q28" i="27"/>
  <c r="Q29" i="27"/>
  <c r="Q30" i="27"/>
  <c r="Q31" i="27"/>
  <c r="Q32" i="27"/>
  <c r="Q33" i="27"/>
  <c r="Q34" i="27"/>
  <c r="Q35" i="27"/>
  <c r="Q36" i="27"/>
  <c r="Q37" i="27"/>
  <c r="Q38" i="27"/>
  <c r="Q39" i="27"/>
  <c r="Q40" i="27"/>
  <c r="Q41" i="27"/>
  <c r="Q42" i="27"/>
  <c r="Q43" i="27"/>
  <c r="Q23" i="27"/>
  <c r="O24" i="27"/>
  <c r="O25" i="27"/>
  <c r="O26" i="27"/>
  <c r="O27" i="27"/>
  <c r="O28" i="27"/>
  <c r="O29" i="27"/>
  <c r="O30" i="27"/>
  <c r="O31" i="27"/>
  <c r="O32" i="27"/>
  <c r="O33" i="27"/>
  <c r="O34" i="27"/>
  <c r="O35" i="27"/>
  <c r="O36" i="27"/>
  <c r="O37" i="27"/>
  <c r="O38" i="27"/>
  <c r="O39" i="27"/>
  <c r="O41" i="27"/>
  <c r="O42" i="27"/>
  <c r="O43" i="27"/>
  <c r="O23" i="27"/>
  <c r="M24" i="27"/>
  <c r="M25" i="27"/>
  <c r="M26" i="27"/>
  <c r="M27" i="27"/>
  <c r="M28" i="27"/>
  <c r="M29" i="27"/>
  <c r="M30" i="27"/>
  <c r="M31" i="27"/>
  <c r="M32" i="27"/>
  <c r="M34" i="27"/>
  <c r="M35" i="27"/>
  <c r="M36" i="27"/>
  <c r="M37" i="27"/>
  <c r="M38" i="27"/>
  <c r="M39" i="27"/>
  <c r="M40" i="27"/>
  <c r="M41" i="27"/>
  <c r="M42" i="27"/>
  <c r="M43" i="27"/>
  <c r="M23" i="27"/>
  <c r="K24" i="27"/>
  <c r="K25" i="27"/>
  <c r="K26" i="27"/>
  <c r="K27" i="27"/>
  <c r="K28" i="27"/>
  <c r="K29" i="27"/>
  <c r="K30" i="27"/>
  <c r="K31" i="27"/>
  <c r="K32" i="27"/>
  <c r="K33" i="27"/>
  <c r="K34" i="27"/>
  <c r="K35" i="27"/>
  <c r="K36" i="27"/>
  <c r="K37" i="27"/>
  <c r="K38" i="27"/>
  <c r="K39" i="27"/>
  <c r="K40" i="27"/>
  <c r="K41" i="27"/>
  <c r="K43" i="27"/>
  <c r="K23" i="27"/>
  <c r="I24" i="27"/>
  <c r="I25" i="27"/>
  <c r="I26" i="27"/>
  <c r="I28" i="27"/>
  <c r="I29" i="27"/>
  <c r="I30" i="27"/>
  <c r="I31" i="27"/>
  <c r="I32" i="27"/>
  <c r="I33" i="27"/>
  <c r="I34" i="27"/>
  <c r="I35" i="27"/>
  <c r="I36" i="27"/>
  <c r="I37" i="27"/>
  <c r="I38" i="27"/>
  <c r="I39" i="27"/>
  <c r="I41" i="27"/>
  <c r="I42" i="27"/>
  <c r="I43" i="27"/>
  <c r="I23" i="27"/>
  <c r="E24" i="27"/>
  <c r="E25" i="27"/>
  <c r="E26" i="27"/>
  <c r="E28" i="27"/>
  <c r="E29" i="27"/>
  <c r="E30" i="27"/>
  <c r="E31" i="27"/>
  <c r="E32" i="27"/>
  <c r="E34" i="27"/>
  <c r="E37" i="27"/>
  <c r="G24" i="27"/>
  <c r="G25" i="27"/>
  <c r="G26" i="27"/>
  <c r="G27" i="27"/>
  <c r="G28" i="27"/>
  <c r="G29" i="27"/>
  <c r="G30" i="27"/>
  <c r="G31" i="27"/>
  <c r="G32" i="27"/>
  <c r="G34" i="27"/>
  <c r="G36" i="27"/>
  <c r="G37" i="27"/>
  <c r="G39" i="27"/>
  <c r="G40" i="27"/>
  <c r="G41" i="27"/>
  <c r="B22" i="30"/>
  <c r="E35" i="30"/>
  <c r="C35" i="30"/>
  <c r="C11" i="2" s="1"/>
  <c r="C29" i="30"/>
  <c r="C8" i="2" s="1"/>
  <c r="R21" i="27"/>
  <c r="L21" i="27"/>
  <c r="D29" i="30" l="1"/>
  <c r="L41" i="27"/>
  <c r="L25" i="27"/>
  <c r="L37" i="27"/>
  <c r="R37" i="27"/>
  <c r="R29" i="27"/>
  <c r="R27" i="27"/>
  <c r="R25" i="27"/>
  <c r="R34" i="27"/>
  <c r="R33" i="27"/>
  <c r="R24" i="27"/>
  <c r="R30" i="27"/>
  <c r="R42" i="27"/>
  <c r="R31" i="27"/>
  <c r="D35" i="30"/>
  <c r="R43" i="27"/>
  <c r="L39" i="27"/>
  <c r="E29" i="30"/>
  <c r="B21" i="30"/>
  <c r="B20" i="30"/>
  <c r="B18" i="30"/>
  <c r="AC32" i="27"/>
  <c r="AF32" i="27" s="1"/>
  <c r="AC25" i="27"/>
  <c r="AF25" i="27" s="1"/>
  <c r="AC24" i="27"/>
  <c r="AF24" i="27" s="1"/>
  <c r="AC31" i="27"/>
  <c r="AF31" i="27" s="1"/>
  <c r="R35" i="27"/>
  <c r="R36" i="27"/>
  <c r="R28" i="27"/>
  <c r="R39" i="27"/>
  <c r="R38" i="27"/>
  <c r="R41" i="27"/>
  <c r="R32" i="27"/>
  <c r="R40" i="27"/>
  <c r="AC34" i="27"/>
  <c r="AF34" i="27" s="1"/>
  <c r="L29" i="27"/>
  <c r="AC37" i="27"/>
  <c r="AF37" i="27" s="1"/>
  <c r="R23" i="27"/>
  <c r="L27" i="27"/>
  <c r="L40" i="27"/>
  <c r="L38" i="27"/>
  <c r="L36" i="27"/>
  <c r="L34" i="27"/>
  <c r="L32" i="27"/>
  <c r="L30" i="27"/>
  <c r="L28" i="27"/>
  <c r="L26" i="27"/>
  <c r="L24" i="27"/>
  <c r="L31" i="27"/>
  <c r="L43" i="27"/>
  <c r="L23" i="27"/>
  <c r="L33" i="27"/>
  <c r="L35" i="27"/>
  <c r="F44" i="24"/>
  <c r="F45" i="24"/>
  <c r="F47" i="24"/>
  <c r="F48" i="24"/>
  <c r="F49" i="24"/>
  <c r="F50" i="24"/>
  <c r="F51" i="24"/>
  <c r="F52" i="24"/>
  <c r="F53" i="24"/>
  <c r="F54" i="24"/>
  <c r="F55" i="24"/>
  <c r="F56" i="24"/>
  <c r="F57" i="24"/>
  <c r="F58" i="24"/>
  <c r="F59" i="24"/>
  <c r="F60" i="24"/>
  <c r="F61" i="24"/>
  <c r="F62" i="24"/>
  <c r="G63" i="24"/>
  <c r="J31" i="24"/>
  <c r="R21" i="2" l="1"/>
  <c r="L21" i="2"/>
  <c r="B17" i="30"/>
  <c r="B15" i="30"/>
  <c r="B6" i="2" s="1"/>
  <c r="E63" i="24"/>
  <c r="L35" i="2" l="1"/>
  <c r="L32" i="2"/>
  <c r="L36" i="2"/>
  <c r="L41" i="2"/>
  <c r="L33" i="2"/>
  <c r="L27" i="2"/>
  <c r="L39" i="2"/>
  <c r="L25" i="2"/>
  <c r="L38" i="2"/>
  <c r="L28" i="2"/>
  <c r="L31" i="2"/>
  <c r="L29" i="2"/>
  <c r="L43" i="2"/>
  <c r="L23" i="2"/>
  <c r="L24" i="2"/>
  <c r="L30" i="2"/>
  <c r="L37" i="2"/>
  <c r="L40" i="2"/>
  <c r="L26" i="2"/>
  <c r="L34" i="2"/>
  <c r="R37" i="2"/>
  <c r="R34" i="2"/>
  <c r="R27" i="2"/>
  <c r="R41" i="2"/>
  <c r="R35" i="2"/>
  <c r="R31" i="2"/>
  <c r="R28" i="2"/>
  <c r="R24" i="2"/>
  <c r="R33" i="2"/>
  <c r="R25" i="2"/>
  <c r="R36" i="2"/>
  <c r="R30" i="2"/>
  <c r="R39" i="2"/>
  <c r="R42" i="2"/>
  <c r="R43" i="2"/>
  <c r="R23" i="2"/>
  <c r="R32" i="2"/>
  <c r="R40" i="2"/>
  <c r="R29" i="2"/>
  <c r="R38" i="2"/>
  <c r="B19" i="30"/>
  <c r="B16" i="30"/>
  <c r="B7" i="2" s="1"/>
  <c r="B14" i="30"/>
  <c r="B5" i="2" s="1"/>
  <c r="B13" i="30"/>
  <c r="E13" i="30" s="1"/>
  <c r="E32" i="30"/>
  <c r="E18" i="30" l="1"/>
  <c r="F18" i="30" s="1"/>
  <c r="K45" i="30" s="1"/>
  <c r="E21" i="30"/>
  <c r="F21" i="30" s="1"/>
  <c r="K46" i="30" s="1"/>
  <c r="E14" i="30"/>
  <c r="F13" i="30"/>
  <c r="E22" i="30"/>
  <c r="F22" i="30" s="1"/>
  <c r="K47" i="30" s="1"/>
  <c r="K41" i="30" l="1"/>
  <c r="K42" i="30"/>
  <c r="K51" i="30"/>
  <c r="K48" i="30"/>
  <c r="K49" i="30"/>
  <c r="K54" i="30"/>
  <c r="B35" i="30"/>
  <c r="F35" i="30" s="1"/>
  <c r="E20" i="30"/>
  <c r="F20" i="30" s="1"/>
  <c r="K58" i="30" s="1"/>
  <c r="E15" i="30"/>
  <c r="F15" i="30" s="1"/>
  <c r="E16" i="30"/>
  <c r="F14" i="30"/>
  <c r="K43" i="30" l="1"/>
  <c r="K53" i="30"/>
  <c r="K56" i="30"/>
  <c r="K55" i="30"/>
  <c r="K40" i="30"/>
  <c r="K60" i="30"/>
  <c r="K52" i="30"/>
  <c r="B32" i="30"/>
  <c r="E17" i="30"/>
  <c r="F17" i="30" s="1"/>
  <c r="K57" i="30" s="1"/>
  <c r="E19" i="30"/>
  <c r="F19" i="30" s="1"/>
  <c r="K44" i="30" s="1"/>
  <c r="F16" i="30"/>
  <c r="B29" i="30"/>
  <c r="F29" i="30" s="1"/>
  <c r="I95" i="14"/>
  <c r="B92" i="14"/>
  <c r="B80" i="14" l="1"/>
  <c r="K59" i="30"/>
  <c r="B82" i="14"/>
  <c r="C61" i="14" l="1"/>
  <c r="C110" i="14"/>
  <c r="D110" i="14" s="1"/>
  <c r="C109" i="14"/>
  <c r="D109" i="14" s="1"/>
  <c r="C108" i="14"/>
  <c r="D108" i="14" s="1"/>
  <c r="C107" i="14"/>
  <c r="D107" i="14" s="1"/>
  <c r="C106" i="14"/>
  <c r="D106" i="14" s="1"/>
  <c r="C105" i="14"/>
  <c r="D105" i="14" s="1"/>
  <c r="C104" i="14"/>
  <c r="D104" i="14" s="1"/>
  <c r="C103" i="14"/>
  <c r="D103" i="14" s="1"/>
  <c r="C102" i="14"/>
  <c r="D102" i="14" s="1"/>
  <c r="C99" i="14"/>
  <c r="B14" i="14"/>
  <c r="H95" i="14"/>
  <c r="F95" i="14"/>
  <c r="E95" i="14"/>
  <c r="D95" i="14"/>
  <c r="B94" i="14"/>
  <c r="B93" i="14"/>
  <c r="B91" i="14"/>
  <c r="B90" i="14"/>
  <c r="B89" i="14"/>
  <c r="B88" i="14"/>
  <c r="B87" i="14"/>
  <c r="B86" i="14"/>
  <c r="B85" i="14"/>
  <c r="B84" i="14"/>
  <c r="B83" i="14"/>
  <c r="B81" i="14"/>
  <c r="C75" i="14"/>
  <c r="B75" i="14"/>
  <c r="C74" i="14"/>
  <c r="B74" i="14"/>
  <c r="C73" i="14"/>
  <c r="C72" i="14"/>
  <c r="B72" i="14"/>
  <c r="C71" i="14"/>
  <c r="B71" i="14"/>
  <c r="C70" i="14"/>
  <c r="B70" i="14"/>
  <c r="C69" i="14"/>
  <c r="B69" i="14"/>
  <c r="C68" i="14"/>
  <c r="B68" i="14"/>
  <c r="C67" i="14"/>
  <c r="B67" i="14"/>
  <c r="C66" i="14"/>
  <c r="B66" i="14"/>
  <c r="C65" i="14"/>
  <c r="B65" i="14"/>
  <c r="C64" i="14"/>
  <c r="C63" i="14"/>
  <c r="C62" i="14"/>
  <c r="D57" i="14"/>
  <c r="C58" i="7" s="1"/>
  <c r="D56" i="14"/>
  <c r="C57" i="7" s="1"/>
  <c r="D55" i="14"/>
  <c r="C56" i="7" s="1"/>
  <c r="D54" i="14"/>
  <c r="C55" i="7" s="1"/>
  <c r="D53" i="14"/>
  <c r="C54" i="7" s="1"/>
  <c r="D52" i="14"/>
  <c r="C53" i="7" s="1"/>
  <c r="D51" i="14"/>
  <c r="C52" i="7" s="1"/>
  <c r="D50" i="14"/>
  <c r="C51" i="7" s="1"/>
  <c r="D49" i="14"/>
  <c r="C50" i="7" s="1"/>
  <c r="D48" i="14"/>
  <c r="C49" i="7" s="1"/>
  <c r="D47" i="14"/>
  <c r="C48" i="7" s="1"/>
  <c r="D46" i="14"/>
  <c r="C47" i="7" s="1"/>
  <c r="D45" i="14"/>
  <c r="C46" i="7" s="1"/>
  <c r="D44" i="14"/>
  <c r="C45" i="7" s="1"/>
  <c r="C44" i="7"/>
  <c r="D39" i="14"/>
  <c r="D38" i="14"/>
  <c r="D37" i="14"/>
  <c r="D36" i="14"/>
  <c r="D35" i="14"/>
  <c r="D34" i="14"/>
  <c r="D33" i="14"/>
  <c r="C32" i="7" s="1"/>
  <c r="D32" i="14"/>
  <c r="D31" i="14"/>
  <c r="D30" i="14"/>
  <c r="D29" i="14"/>
  <c r="D28" i="14"/>
  <c r="D27" i="14"/>
  <c r="D26" i="14"/>
  <c r="D25" i="14"/>
  <c r="D14" i="14" l="1"/>
  <c r="C30" i="7"/>
  <c r="D32" i="24"/>
  <c r="D13" i="24"/>
  <c r="D99" i="14"/>
  <c r="E5" i="27" s="1"/>
  <c r="E8" i="27"/>
  <c r="D65" i="14"/>
  <c r="C28" i="24" s="1"/>
  <c r="C28" i="7"/>
  <c r="D72" i="14"/>
  <c r="C35" i="7"/>
  <c r="C13" i="27"/>
  <c r="D73" i="14"/>
  <c r="C36" i="7"/>
  <c r="C14" i="27"/>
  <c r="C24" i="7"/>
  <c r="C13" i="24"/>
  <c r="C27" i="7"/>
  <c r="C7" i="27"/>
  <c r="D28" i="24"/>
  <c r="D29" i="24" s="1"/>
  <c r="E55" i="32" s="1"/>
  <c r="C37" i="7"/>
  <c r="C15" i="27"/>
  <c r="C38" i="7"/>
  <c r="C16" i="27"/>
  <c r="D68" i="14"/>
  <c r="C31" i="7"/>
  <c r="D34" i="24"/>
  <c r="C10" i="27"/>
  <c r="D66" i="14"/>
  <c r="C29" i="24" s="1"/>
  <c r="C29" i="7"/>
  <c r="C25" i="7"/>
  <c r="C5" i="27"/>
  <c r="D70" i="14"/>
  <c r="C35" i="24" s="1"/>
  <c r="C33" i="7"/>
  <c r="C26" i="7"/>
  <c r="C6" i="27"/>
  <c r="C34" i="7"/>
  <c r="C12" i="27"/>
  <c r="D71" i="14"/>
  <c r="D74" i="14"/>
  <c r="D67" i="14"/>
  <c r="D75" i="14"/>
  <c r="D69" i="14"/>
  <c r="C34" i="24" s="1"/>
  <c r="C89" i="14"/>
  <c r="B6" i="14"/>
  <c r="D6" i="14" s="1"/>
  <c r="B12" i="14"/>
  <c r="D12" i="14" s="1"/>
  <c r="B19" i="14"/>
  <c r="D19" i="14" s="1"/>
  <c r="B18" i="14"/>
  <c r="D18" i="14" s="1"/>
  <c r="B10" i="14"/>
  <c r="D10" i="14" s="1"/>
  <c r="B11" i="14"/>
  <c r="D11" i="14" s="1"/>
  <c r="D63" i="14"/>
  <c r="B17" i="14"/>
  <c r="D17" i="14" s="1"/>
  <c r="B9" i="14"/>
  <c r="D9" i="14" s="1"/>
  <c r="B13" i="14"/>
  <c r="D13" i="14" s="1"/>
  <c r="B95" i="14"/>
  <c r="B16" i="14"/>
  <c r="D16" i="14" s="1"/>
  <c r="B8" i="14"/>
  <c r="D8" i="14" s="1"/>
  <c r="B15" i="14"/>
  <c r="D15" i="14" s="1"/>
  <c r="B7" i="14"/>
  <c r="D7" i="14" s="1"/>
  <c r="D5" i="14"/>
  <c r="D64" i="14"/>
  <c r="D62" i="14"/>
  <c r="D61" i="14"/>
  <c r="C112" i="14"/>
  <c r="D112" i="14" s="1"/>
  <c r="C111" i="14"/>
  <c r="D111" i="14" s="1"/>
  <c r="C101" i="14"/>
  <c r="D101" i="14" s="1"/>
  <c r="E7" i="27" s="1"/>
  <c r="C100" i="14"/>
  <c r="D100" i="14" s="1"/>
  <c r="B76" i="14"/>
  <c r="C76" i="14"/>
  <c r="E62" i="14" l="1"/>
  <c r="E61" i="14"/>
  <c r="D21" i="24"/>
  <c r="F61" i="14"/>
  <c r="D18" i="24"/>
  <c r="T21" i="27" s="1"/>
  <c r="D22" i="24"/>
  <c r="J55" i="32" s="1"/>
  <c r="D14" i="24"/>
  <c r="D17" i="24" s="1"/>
  <c r="C15" i="24"/>
  <c r="C30" i="24"/>
  <c r="C8" i="27" s="1"/>
  <c r="E65" i="14"/>
  <c r="E70" i="14"/>
  <c r="F71" i="14"/>
  <c r="C83" i="14"/>
  <c r="D35" i="24"/>
  <c r="E79" i="32"/>
  <c r="E70" i="32"/>
  <c r="B92" i="32"/>
  <c r="E71" i="32"/>
  <c r="E69" i="32"/>
  <c r="E74" i="32"/>
  <c r="E66" i="32"/>
  <c r="E72" i="32"/>
  <c r="E63" i="32"/>
  <c r="E60" i="32"/>
  <c r="E67" i="32"/>
  <c r="E59" i="32"/>
  <c r="E58" i="32"/>
  <c r="E64" i="32"/>
  <c r="E57" i="32"/>
  <c r="E75" i="32"/>
  <c r="E68" i="32"/>
  <c r="E76" i="32"/>
  <c r="E77" i="32"/>
  <c r="E73" i="32"/>
  <c r="E61" i="32"/>
  <c r="E78" i="32"/>
  <c r="E62" i="32"/>
  <c r="E65" i="32"/>
  <c r="C91" i="14"/>
  <c r="D113" i="14"/>
  <c r="E6" i="27"/>
  <c r="F69" i="14"/>
  <c r="F75" i="14"/>
  <c r="C87" i="14"/>
  <c r="F62" i="14"/>
  <c r="G62" i="14" s="1"/>
  <c r="C16" i="24"/>
  <c r="C21" i="24"/>
  <c r="C17" i="24"/>
  <c r="C22" i="24"/>
  <c r="C20" i="24"/>
  <c r="C18" i="24"/>
  <c r="C14" i="24"/>
  <c r="C19" i="24"/>
  <c r="C36" i="24"/>
  <c r="C11" i="27" s="1"/>
  <c r="C80" i="14"/>
  <c r="F63" i="14"/>
  <c r="F70" i="14"/>
  <c r="K55" i="32"/>
  <c r="C92" i="14"/>
  <c r="F73" i="14"/>
  <c r="C90" i="14"/>
  <c r="E71" i="14"/>
  <c r="E69" i="14"/>
  <c r="F68" i="14"/>
  <c r="E73" i="14"/>
  <c r="E68" i="14"/>
  <c r="C81" i="14"/>
  <c r="C86" i="14"/>
  <c r="F67" i="14"/>
  <c r="E67" i="14"/>
  <c r="F66" i="14"/>
  <c r="E66" i="14"/>
  <c r="F74" i="14"/>
  <c r="E74" i="14"/>
  <c r="C93" i="14"/>
  <c r="F65" i="14"/>
  <c r="C84" i="14"/>
  <c r="C94" i="14"/>
  <c r="C88" i="14"/>
  <c r="D76" i="14"/>
  <c r="E75" i="14"/>
  <c r="E72" i="14"/>
  <c r="C85" i="14"/>
  <c r="F64" i="14"/>
  <c r="E63" i="14"/>
  <c r="E64" i="14"/>
  <c r="F72" i="14"/>
  <c r="C82" i="14"/>
  <c r="Z21" i="27" l="1"/>
  <c r="G61" i="14"/>
  <c r="AB21" i="27"/>
  <c r="AB40" i="27" s="1"/>
  <c r="G71" i="14"/>
  <c r="D20" i="24"/>
  <c r="X21" i="27" s="1"/>
  <c r="X30" i="27" s="1"/>
  <c r="G75" i="14"/>
  <c r="D16" i="24"/>
  <c r="D19" i="24" s="1"/>
  <c r="I55" i="32" s="1"/>
  <c r="F21" i="27"/>
  <c r="F25" i="27" s="1"/>
  <c r="D30" i="24"/>
  <c r="F55" i="32" s="1"/>
  <c r="F64" i="32" s="1"/>
  <c r="D15" i="24"/>
  <c r="C55" i="32" s="1"/>
  <c r="C61" i="32" s="1"/>
  <c r="B55" i="32"/>
  <c r="G70" i="14"/>
  <c r="G66" i="14"/>
  <c r="G74" i="14"/>
  <c r="G68" i="14"/>
  <c r="G73" i="14"/>
  <c r="G69" i="14"/>
  <c r="G65" i="14"/>
  <c r="G67" i="14"/>
  <c r="E80" i="32"/>
  <c r="C92" i="32" s="1"/>
  <c r="D36" i="24"/>
  <c r="G63" i="14"/>
  <c r="Z42" i="27"/>
  <c r="Z34" i="27"/>
  <c r="Z32" i="27"/>
  <c r="Z41" i="27"/>
  <c r="Z38" i="27"/>
  <c r="Z33" i="27"/>
  <c r="Z43" i="27"/>
  <c r="Z25" i="27"/>
  <c r="Z24" i="27"/>
  <c r="Z23" i="27"/>
  <c r="Z26" i="27"/>
  <c r="Z36" i="27"/>
  <c r="Z39" i="27"/>
  <c r="Z35" i="27"/>
  <c r="Z31" i="27"/>
  <c r="Z27" i="27"/>
  <c r="Z37" i="27"/>
  <c r="Z30" i="27"/>
  <c r="Z40" i="27"/>
  <c r="Z28" i="27"/>
  <c r="T35" i="27"/>
  <c r="T42" i="27"/>
  <c r="T41" i="27"/>
  <c r="T30" i="27"/>
  <c r="T32" i="27"/>
  <c r="T23" i="27"/>
  <c r="T33" i="27"/>
  <c r="T40" i="27"/>
  <c r="T34" i="27"/>
  <c r="T38" i="27"/>
  <c r="T27" i="27"/>
  <c r="T37" i="27"/>
  <c r="T36" i="27"/>
  <c r="T25" i="27"/>
  <c r="T39" i="27"/>
  <c r="T29" i="27"/>
  <c r="T24" i="27"/>
  <c r="T43" i="27"/>
  <c r="T31" i="27"/>
  <c r="T26" i="27"/>
  <c r="AB37" i="27"/>
  <c r="AB27" i="27"/>
  <c r="AB42" i="27"/>
  <c r="AB24" i="27"/>
  <c r="AB25" i="27"/>
  <c r="AB36" i="27"/>
  <c r="AB31" i="27"/>
  <c r="AB38" i="27"/>
  <c r="AB23" i="27"/>
  <c r="AB43" i="27"/>
  <c r="AB32" i="27"/>
  <c r="AB33" i="27"/>
  <c r="AB29" i="27"/>
  <c r="J76" i="32"/>
  <c r="B97" i="32"/>
  <c r="J58" i="32"/>
  <c r="J66" i="32"/>
  <c r="J74" i="32"/>
  <c r="J79" i="32"/>
  <c r="J71" i="32"/>
  <c r="J61" i="32"/>
  <c r="J78" i="32"/>
  <c r="J60" i="32"/>
  <c r="J59" i="32"/>
  <c r="J68" i="32"/>
  <c r="J62" i="32"/>
  <c r="J57" i="32"/>
  <c r="J69" i="32"/>
  <c r="J77" i="32"/>
  <c r="J72" i="32"/>
  <c r="J75" i="32"/>
  <c r="J63" i="32"/>
  <c r="J70" i="32"/>
  <c r="J67" i="32"/>
  <c r="J73" i="32"/>
  <c r="J64" i="32"/>
  <c r="J65" i="32"/>
  <c r="K79" i="32"/>
  <c r="K72" i="32"/>
  <c r="K70" i="32"/>
  <c r="K75" i="32"/>
  <c r="K71" i="32"/>
  <c r="K68" i="32"/>
  <c r="K74" i="32"/>
  <c r="K58" i="32"/>
  <c r="K63" i="32"/>
  <c r="B98" i="32"/>
  <c r="K64" i="32"/>
  <c r="K61" i="32"/>
  <c r="K69" i="32"/>
  <c r="K78" i="32"/>
  <c r="K66" i="32"/>
  <c r="K77" i="32"/>
  <c r="K76" i="32"/>
  <c r="K59" i="32"/>
  <c r="K65" i="32"/>
  <c r="K62" i="32"/>
  <c r="K67" i="32"/>
  <c r="K60" i="32"/>
  <c r="K57" i="32"/>
  <c r="K73" i="32"/>
  <c r="F76" i="14"/>
  <c r="G64" i="14"/>
  <c r="G95" i="14"/>
  <c r="E76" i="14"/>
  <c r="G72" i="14"/>
  <c r="C95" i="14"/>
  <c r="AB39" i="27" l="1"/>
  <c r="AB34" i="27"/>
  <c r="AB41" i="27"/>
  <c r="AB35" i="27"/>
  <c r="AB26" i="27"/>
  <c r="AB28" i="27"/>
  <c r="X31" i="27"/>
  <c r="X32" i="27"/>
  <c r="X33" i="27"/>
  <c r="X39" i="27"/>
  <c r="X26" i="27"/>
  <c r="X36" i="27"/>
  <c r="X37" i="27"/>
  <c r="X24" i="27"/>
  <c r="X43" i="27"/>
  <c r="X25" i="27"/>
  <c r="X34" i="27"/>
  <c r="X29" i="27"/>
  <c r="X38" i="27"/>
  <c r="X42" i="27"/>
  <c r="X35" i="27"/>
  <c r="X27" i="27"/>
  <c r="X28" i="27"/>
  <c r="X23" i="27"/>
  <c r="I30" i="30"/>
  <c r="X40" i="27"/>
  <c r="J21" i="27"/>
  <c r="J41" i="27" s="1"/>
  <c r="P21" i="27"/>
  <c r="P35" i="27" s="1"/>
  <c r="H55" i="32"/>
  <c r="H78" i="32" s="1"/>
  <c r="F29" i="27"/>
  <c r="H21" i="27"/>
  <c r="H36" i="27" s="1"/>
  <c r="F28" i="27"/>
  <c r="F30" i="27"/>
  <c r="F32" i="27"/>
  <c r="F24" i="27"/>
  <c r="F34" i="27"/>
  <c r="D55" i="32"/>
  <c r="D62" i="32" s="1"/>
  <c r="F31" i="27"/>
  <c r="V21" i="27"/>
  <c r="V35" i="27" s="1"/>
  <c r="F37" i="27"/>
  <c r="F26" i="27"/>
  <c r="F63" i="32"/>
  <c r="C76" i="32"/>
  <c r="F79" i="32"/>
  <c r="F61" i="32"/>
  <c r="F78" i="32"/>
  <c r="F57" i="32"/>
  <c r="F68" i="32"/>
  <c r="F74" i="32"/>
  <c r="F66" i="32"/>
  <c r="C58" i="32"/>
  <c r="F77" i="32"/>
  <c r="F65" i="32"/>
  <c r="F67" i="32"/>
  <c r="F69" i="32"/>
  <c r="C79" i="32"/>
  <c r="F62" i="32"/>
  <c r="F72" i="32"/>
  <c r="F58" i="32"/>
  <c r="B93" i="32"/>
  <c r="F75" i="32"/>
  <c r="F73" i="32"/>
  <c r="C64" i="32"/>
  <c r="C63" i="32"/>
  <c r="F70" i="32"/>
  <c r="F59" i="32"/>
  <c r="F60" i="32"/>
  <c r="F71" i="32"/>
  <c r="F76" i="32"/>
  <c r="B90" i="32"/>
  <c r="C57" i="32"/>
  <c r="C60" i="32"/>
  <c r="C67" i="32"/>
  <c r="C62" i="32"/>
  <c r="C71" i="32"/>
  <c r="C66" i="32"/>
  <c r="C70" i="32"/>
  <c r="C72" i="32"/>
  <c r="C65" i="32"/>
  <c r="C75" i="32"/>
  <c r="C77" i="32"/>
  <c r="C74" i="32"/>
  <c r="C78" i="32"/>
  <c r="C68" i="32"/>
  <c r="C69" i="32"/>
  <c r="C73" i="32"/>
  <c r="C59" i="32"/>
  <c r="G76" i="14"/>
  <c r="I76" i="32"/>
  <c r="I74" i="32"/>
  <c r="I60" i="32"/>
  <c r="I57" i="32"/>
  <c r="I61" i="32"/>
  <c r="I73" i="32"/>
  <c r="I71" i="32"/>
  <c r="I79" i="32"/>
  <c r="I58" i="32"/>
  <c r="I67" i="32"/>
  <c r="I78" i="32"/>
  <c r="I68" i="32"/>
  <c r="I65" i="32"/>
  <c r="I59" i="32"/>
  <c r="I64" i="32"/>
  <c r="I72" i="32"/>
  <c r="I70" i="32"/>
  <c r="I69" i="32"/>
  <c r="B96" i="32"/>
  <c r="I63" i="32"/>
  <c r="I62" i="32"/>
  <c r="I77" i="32"/>
  <c r="I66" i="32"/>
  <c r="I75" i="32"/>
  <c r="K80" i="32"/>
  <c r="C98" i="32" s="1"/>
  <c r="J80" i="32"/>
  <c r="C97" i="32" s="1"/>
  <c r="H12" i="2"/>
  <c r="G12" i="2"/>
  <c r="N46" i="3"/>
  <c r="N32" i="3"/>
  <c r="N13" i="3"/>
  <c r="N48" i="3" s="1"/>
  <c r="P39" i="27" l="1"/>
  <c r="P30" i="27"/>
  <c r="P28" i="27"/>
  <c r="P25" i="27"/>
  <c r="P36" i="27"/>
  <c r="P29" i="27"/>
  <c r="P41" i="27"/>
  <c r="J31" i="27"/>
  <c r="J36" i="27"/>
  <c r="J25" i="27"/>
  <c r="J29" i="27"/>
  <c r="J32" i="27"/>
  <c r="J39" i="27"/>
  <c r="J38" i="27"/>
  <c r="J33" i="27"/>
  <c r="J37" i="27"/>
  <c r="J28" i="27"/>
  <c r="J30" i="27"/>
  <c r="J42" i="27"/>
  <c r="J43" i="27"/>
  <c r="J26" i="27"/>
  <c r="H24" i="27"/>
  <c r="J35" i="27"/>
  <c r="J23" i="27"/>
  <c r="J24" i="27"/>
  <c r="P27" i="27"/>
  <c r="D67" i="32"/>
  <c r="P24" i="27"/>
  <c r="P26" i="27"/>
  <c r="D66" i="32"/>
  <c r="H73" i="32"/>
  <c r="H76" i="32"/>
  <c r="J34" i="27"/>
  <c r="H61" i="32"/>
  <c r="H79" i="32"/>
  <c r="P33" i="27"/>
  <c r="P23" i="27"/>
  <c r="H65" i="32"/>
  <c r="H59" i="32"/>
  <c r="P38" i="27"/>
  <c r="H74" i="32"/>
  <c r="H75" i="32"/>
  <c r="P34" i="27"/>
  <c r="H60" i="32"/>
  <c r="H77" i="32"/>
  <c r="D78" i="32"/>
  <c r="H69" i="32"/>
  <c r="H70" i="32"/>
  <c r="P43" i="27"/>
  <c r="H68" i="32"/>
  <c r="H63" i="32"/>
  <c r="H28" i="27"/>
  <c r="H26" i="27"/>
  <c r="D76" i="32"/>
  <c r="D77" i="32"/>
  <c r="H58" i="32"/>
  <c r="H66" i="32"/>
  <c r="D64" i="32"/>
  <c r="P31" i="27"/>
  <c r="P42" i="27"/>
  <c r="P32" i="27"/>
  <c r="P37" i="27"/>
  <c r="H67" i="32"/>
  <c r="H72" i="32"/>
  <c r="D57" i="32"/>
  <c r="H27" i="27"/>
  <c r="H40" i="27"/>
  <c r="D58" i="32"/>
  <c r="D75" i="32"/>
  <c r="H34" i="27"/>
  <c r="D65" i="32"/>
  <c r="V23" i="27"/>
  <c r="H64" i="32"/>
  <c r="H25" i="27"/>
  <c r="H62" i="32"/>
  <c r="H41" i="27"/>
  <c r="D63" i="32"/>
  <c r="V34" i="27"/>
  <c r="B95" i="32"/>
  <c r="H57" i="32"/>
  <c r="H71" i="32"/>
  <c r="H31" i="27"/>
  <c r="H30" i="27"/>
  <c r="D68" i="32"/>
  <c r="H37" i="27"/>
  <c r="H39" i="27"/>
  <c r="H32" i="27"/>
  <c r="H29" i="27"/>
  <c r="V31" i="27"/>
  <c r="V36" i="27"/>
  <c r="V24" i="27"/>
  <c r="V25" i="27"/>
  <c r="V41" i="27"/>
  <c r="D79" i="32"/>
  <c r="D61" i="32"/>
  <c r="V40" i="27"/>
  <c r="D60" i="32"/>
  <c r="V32" i="27"/>
  <c r="V39" i="27"/>
  <c r="V38" i="27"/>
  <c r="D72" i="32"/>
  <c r="D59" i="32"/>
  <c r="D71" i="32"/>
  <c r="V37" i="27"/>
  <c r="V28" i="27"/>
  <c r="V30" i="27"/>
  <c r="D69" i="32"/>
  <c r="V33" i="27"/>
  <c r="D70" i="32"/>
  <c r="V29" i="27"/>
  <c r="V26" i="27"/>
  <c r="V42" i="27"/>
  <c r="V43" i="27"/>
  <c r="B91" i="32"/>
  <c r="D74" i="32"/>
  <c r="D73" i="32"/>
  <c r="F80" i="32"/>
  <c r="C93" i="32" s="1"/>
  <c r="C80" i="32"/>
  <c r="C90" i="32" s="1"/>
  <c r="I80" i="32"/>
  <c r="C96" i="32" s="1"/>
  <c r="H80" i="32" l="1"/>
  <c r="C95" i="32" s="1"/>
  <c r="D80" i="32"/>
  <c r="C91" i="32" s="1"/>
  <c r="G46" i="3"/>
  <c r="M46" i="3" l="1"/>
  <c r="K46" i="3"/>
  <c r="H46" i="3"/>
  <c r="D46" i="3"/>
  <c r="B46" i="3"/>
  <c r="F46" i="3"/>
  <c r="C32" i="30" l="1"/>
  <c r="C9" i="2" s="1"/>
  <c r="D32" i="30"/>
  <c r="D33" i="24"/>
  <c r="C9" i="27"/>
  <c r="B32" i="3"/>
  <c r="D32" i="3"/>
  <c r="E32" i="3"/>
  <c r="G32" i="3"/>
  <c r="H32" i="3"/>
  <c r="I32" i="3"/>
  <c r="J32" i="3"/>
  <c r="K32" i="3"/>
  <c r="L32" i="3"/>
  <c r="M32" i="3"/>
  <c r="F32" i="3"/>
  <c r="N21" i="27" l="1"/>
  <c r="G55" i="32"/>
  <c r="N21" i="2"/>
  <c r="F32" i="30"/>
  <c r="L46" i="3"/>
  <c r="J46" i="3"/>
  <c r="I46" i="3"/>
  <c r="E46" i="3"/>
  <c r="K50" i="30" l="1"/>
  <c r="G79" i="32"/>
  <c r="G75" i="32"/>
  <c r="G62" i="32"/>
  <c r="G65" i="32"/>
  <c r="G67" i="32"/>
  <c r="G77" i="32"/>
  <c r="G69" i="32"/>
  <c r="B94" i="32"/>
  <c r="G64" i="32"/>
  <c r="G71" i="32"/>
  <c r="G58" i="32"/>
  <c r="G74" i="32"/>
  <c r="G70" i="32"/>
  <c r="G59" i="32"/>
  <c r="G68" i="32"/>
  <c r="G73" i="32"/>
  <c r="G78" i="32"/>
  <c r="G61" i="32"/>
  <c r="G57" i="32"/>
  <c r="G66" i="32"/>
  <c r="G72" i="32"/>
  <c r="G63" i="32"/>
  <c r="G76" i="32"/>
  <c r="G60" i="32"/>
  <c r="N24" i="27"/>
  <c r="AD24" i="27" s="1"/>
  <c r="N28" i="27"/>
  <c r="N40" i="27"/>
  <c r="N41" i="27"/>
  <c r="N42" i="27"/>
  <c r="N35" i="27"/>
  <c r="N30" i="27"/>
  <c r="N29" i="27"/>
  <c r="N32" i="27"/>
  <c r="AD32" i="27" s="1"/>
  <c r="N26" i="27"/>
  <c r="N39" i="27"/>
  <c r="N23" i="27"/>
  <c r="N34" i="27"/>
  <c r="AD34" i="27" s="1"/>
  <c r="N36" i="27"/>
  <c r="N27" i="27"/>
  <c r="N38" i="27"/>
  <c r="N37" i="27"/>
  <c r="AD37" i="27" s="1"/>
  <c r="N43" i="27"/>
  <c r="N31" i="27"/>
  <c r="AD31" i="27" s="1"/>
  <c r="N25" i="27"/>
  <c r="AD25" i="27" s="1"/>
  <c r="N26" i="2"/>
  <c r="N38" i="2"/>
  <c r="N36" i="2"/>
  <c r="N41" i="2"/>
  <c r="N35" i="2"/>
  <c r="N24" i="2"/>
  <c r="AD24" i="2" s="1"/>
  <c r="AE24" i="2" s="1"/>
  <c r="N42" i="2"/>
  <c r="N29" i="2"/>
  <c r="N25" i="2"/>
  <c r="AD25" i="2" s="1"/>
  <c r="AE25" i="2" s="1"/>
  <c r="N37" i="2"/>
  <c r="AD37" i="2" s="1"/>
  <c r="AE37" i="2" s="1"/>
  <c r="N30" i="2"/>
  <c r="N27" i="2"/>
  <c r="N23" i="2"/>
  <c r="N40" i="2"/>
  <c r="N28" i="2"/>
  <c r="N39" i="2"/>
  <c r="N34" i="2"/>
  <c r="AD34" i="2" s="1"/>
  <c r="AE34" i="2" s="1"/>
  <c r="N43" i="2"/>
  <c r="N32" i="2"/>
  <c r="AD32" i="2" s="1"/>
  <c r="AE32" i="2" s="1"/>
  <c r="N31" i="2"/>
  <c r="AD31" i="2" s="1"/>
  <c r="AE31" i="2" s="1"/>
  <c r="M13" i="3"/>
  <c r="G6" i="2"/>
  <c r="G80" i="32" l="1"/>
  <c r="C94" i="32" s="1"/>
  <c r="M48" i="3"/>
  <c r="D13" i="3" l="1"/>
  <c r="B13" i="3"/>
  <c r="H6" i="2" l="1"/>
  <c r="D48" i="3"/>
  <c r="B48" i="3"/>
  <c r="G16" i="2"/>
  <c r="L13" i="3"/>
  <c r="L48" i="3" l="1"/>
  <c r="H16" i="2"/>
  <c r="J64" i="3" l="1"/>
  <c r="J68" i="3"/>
  <c r="J72" i="3"/>
  <c r="J76" i="3"/>
  <c r="J63" i="3"/>
  <c r="J59" i="3"/>
  <c r="J70" i="3"/>
  <c r="J78" i="3"/>
  <c r="J57" i="3"/>
  <c r="B97" i="3"/>
  <c r="J67" i="3"/>
  <c r="J71" i="3"/>
  <c r="J79" i="3"/>
  <c r="J65" i="3"/>
  <c r="J69" i="3"/>
  <c r="J73" i="3"/>
  <c r="J77" i="3"/>
  <c r="J62" i="3"/>
  <c r="J58" i="3"/>
  <c r="J66" i="3"/>
  <c r="J74" i="3"/>
  <c r="J61" i="3"/>
  <c r="J75" i="3"/>
  <c r="J60" i="3"/>
  <c r="J80" i="3" l="1"/>
  <c r="C97" i="3" s="1"/>
  <c r="G10" i="2" l="1"/>
  <c r="E13" i="3"/>
  <c r="G13" i="3"/>
  <c r="F13" i="3"/>
  <c r="I13" i="3"/>
  <c r="H9" i="2" s="1"/>
  <c r="K13" i="3"/>
  <c r="H13" i="2" s="1"/>
  <c r="J13" i="3"/>
  <c r="H10" i="2" s="1"/>
  <c r="H13" i="3"/>
  <c r="K79" i="3" l="1"/>
  <c r="K71" i="3"/>
  <c r="K62" i="3"/>
  <c r="K60" i="3"/>
  <c r="K59" i="3"/>
  <c r="K68" i="3"/>
  <c r="K77" i="3"/>
  <c r="K63" i="3"/>
  <c r="K64" i="3"/>
  <c r="K72" i="3"/>
  <c r="K61" i="3"/>
  <c r="K65" i="3"/>
  <c r="K66" i="3"/>
  <c r="K74" i="3"/>
  <c r="K67" i="3"/>
  <c r="B98" i="3"/>
  <c r="K70" i="3"/>
  <c r="K73" i="3"/>
  <c r="K75" i="3"/>
  <c r="K76" i="3"/>
  <c r="K78" i="3"/>
  <c r="K58" i="3"/>
  <c r="K57" i="3"/>
  <c r="K69" i="3"/>
  <c r="B94" i="3"/>
  <c r="C63" i="3"/>
  <c r="E71" i="3"/>
  <c r="B92" i="3"/>
  <c r="E75" i="3"/>
  <c r="E78" i="3"/>
  <c r="E72" i="3"/>
  <c r="E58" i="3"/>
  <c r="E62" i="3"/>
  <c r="E69" i="3"/>
  <c r="E57" i="3"/>
  <c r="E74" i="3"/>
  <c r="E73" i="3"/>
  <c r="E68" i="3"/>
  <c r="E76" i="3"/>
  <c r="E64" i="3"/>
  <c r="E59" i="3"/>
  <c r="E67" i="3"/>
  <c r="E63" i="3"/>
  <c r="E66" i="3"/>
  <c r="E60" i="3"/>
  <c r="E77" i="3"/>
  <c r="E79" i="3"/>
  <c r="E65" i="3"/>
  <c r="E61" i="3"/>
  <c r="E70" i="3"/>
  <c r="G66" i="3"/>
  <c r="J48" i="3"/>
  <c r="K48" i="3"/>
  <c r="G7" i="2"/>
  <c r="F48" i="3"/>
  <c r="G48" i="3"/>
  <c r="H7" i="2"/>
  <c r="H48" i="3"/>
  <c r="E48" i="3"/>
  <c r="G13" i="2"/>
  <c r="G69" i="3" l="1"/>
  <c r="G79" i="3"/>
  <c r="G58" i="3"/>
  <c r="G75" i="3"/>
  <c r="G68" i="3"/>
  <c r="G65" i="3"/>
  <c r="G62" i="3"/>
  <c r="G57" i="3"/>
  <c r="G76" i="3"/>
  <c r="G60" i="3"/>
  <c r="G74" i="3"/>
  <c r="C67" i="3"/>
  <c r="C73" i="3"/>
  <c r="G77" i="3"/>
  <c r="G63" i="3"/>
  <c r="G71" i="3"/>
  <c r="G59" i="3"/>
  <c r="G72" i="3"/>
  <c r="G64" i="3"/>
  <c r="C61" i="3"/>
  <c r="C62" i="3"/>
  <c r="G73" i="3"/>
  <c r="G61" i="3"/>
  <c r="G67" i="3"/>
  <c r="G78" i="3"/>
  <c r="G70" i="3"/>
  <c r="C71" i="3"/>
  <c r="C76" i="3"/>
  <c r="C57" i="3"/>
  <c r="C70" i="3"/>
  <c r="C59" i="3"/>
  <c r="C74" i="3"/>
  <c r="C66" i="3"/>
  <c r="C60" i="3"/>
  <c r="C77" i="3"/>
  <c r="C68" i="3"/>
  <c r="C58" i="3"/>
  <c r="C64" i="3"/>
  <c r="C75" i="3"/>
  <c r="B90" i="3"/>
  <c r="C69" i="3"/>
  <c r="C72" i="3"/>
  <c r="C79" i="3"/>
  <c r="C65" i="3"/>
  <c r="C78" i="3"/>
  <c r="H61" i="3"/>
  <c r="H57" i="3"/>
  <c r="H63" i="3"/>
  <c r="H79" i="3"/>
  <c r="H69" i="3"/>
  <c r="H73" i="3"/>
  <c r="H77" i="3"/>
  <c r="H59" i="3"/>
  <c r="B95" i="3"/>
  <c r="H64" i="3"/>
  <c r="H66" i="3"/>
  <c r="H68" i="3"/>
  <c r="H70" i="3"/>
  <c r="H72" i="3"/>
  <c r="H74" i="3"/>
  <c r="H76" i="3"/>
  <c r="H78" i="3"/>
  <c r="H60" i="3"/>
  <c r="H58" i="3"/>
  <c r="H65" i="3"/>
  <c r="H67" i="3"/>
  <c r="H71" i="3"/>
  <c r="H75" i="3"/>
  <c r="H62" i="3"/>
  <c r="E80" i="3"/>
  <c r="C92" i="3" s="1"/>
  <c r="K80" i="3"/>
  <c r="C98" i="3" s="1"/>
  <c r="D66" i="3"/>
  <c r="B91" i="3"/>
  <c r="D75" i="3"/>
  <c r="D78" i="3"/>
  <c r="D72" i="3"/>
  <c r="D61" i="3"/>
  <c r="D57" i="3"/>
  <c r="D58" i="3"/>
  <c r="D79" i="3"/>
  <c r="D77" i="3"/>
  <c r="D70" i="3"/>
  <c r="D65" i="3"/>
  <c r="D64" i="3"/>
  <c r="D67" i="3"/>
  <c r="D63" i="3"/>
  <c r="D73" i="3"/>
  <c r="D76" i="3"/>
  <c r="D68" i="3"/>
  <c r="D62" i="3"/>
  <c r="D59" i="3"/>
  <c r="D71" i="3"/>
  <c r="D69" i="3"/>
  <c r="D74" i="3"/>
  <c r="D60" i="3"/>
  <c r="B96" i="3"/>
  <c r="I61" i="3"/>
  <c r="I64" i="3"/>
  <c r="I68" i="3"/>
  <c r="I72" i="3"/>
  <c r="I76" i="3"/>
  <c r="I63" i="3"/>
  <c r="I70" i="3"/>
  <c r="I78" i="3"/>
  <c r="I62" i="3"/>
  <c r="I67" i="3"/>
  <c r="I75" i="3"/>
  <c r="I60" i="3"/>
  <c r="I65" i="3"/>
  <c r="I69" i="3"/>
  <c r="I73" i="3"/>
  <c r="I77" i="3"/>
  <c r="I57" i="3"/>
  <c r="I59" i="3"/>
  <c r="I66" i="3"/>
  <c r="I74" i="3"/>
  <c r="I58" i="3"/>
  <c r="I71" i="3"/>
  <c r="I79" i="3"/>
  <c r="F79" i="3"/>
  <c r="B93" i="3"/>
  <c r="F73" i="3"/>
  <c r="F68" i="3"/>
  <c r="F76" i="3"/>
  <c r="F60" i="3"/>
  <c r="F64" i="3"/>
  <c r="F75" i="3"/>
  <c r="F70" i="3"/>
  <c r="F58" i="3"/>
  <c r="F67" i="3"/>
  <c r="F61" i="3"/>
  <c r="F69" i="3"/>
  <c r="F78" i="3"/>
  <c r="F72" i="3"/>
  <c r="F62" i="3"/>
  <c r="F59" i="3"/>
  <c r="F71" i="3"/>
  <c r="F66" i="3"/>
  <c r="F65" i="3"/>
  <c r="F63" i="3"/>
  <c r="F57" i="3"/>
  <c r="F74" i="3"/>
  <c r="F77" i="3"/>
  <c r="G80" i="3" l="1"/>
  <c r="C94" i="3" s="1"/>
  <c r="C80" i="3"/>
  <c r="C90" i="3" s="1"/>
  <c r="I80" i="3"/>
  <c r="C96" i="3" s="1"/>
  <c r="H80" i="3"/>
  <c r="C95" i="3" s="1"/>
  <c r="F80" i="3"/>
  <c r="C93" i="3" s="1"/>
  <c r="D80" i="3"/>
  <c r="C91" i="3" s="1"/>
  <c r="H8" i="2" l="1"/>
  <c r="G8" i="2"/>
  <c r="I48" i="3" l="1"/>
  <c r="G9" i="2" l="1"/>
  <c r="D74" i="7" l="1"/>
  <c r="D79" i="7"/>
  <c r="D76" i="7"/>
  <c r="D73" i="7"/>
  <c r="D67" i="7"/>
  <c r="D66" i="7"/>
  <c r="D8" i="38" l="1"/>
  <c r="D20" i="38"/>
  <c r="D15" i="38"/>
  <c r="D7" i="38"/>
  <c r="D17" i="38"/>
  <c r="D14" i="38"/>
  <c r="D13" i="2"/>
  <c r="F13" i="2" s="1"/>
  <c r="I13" i="2" s="1"/>
  <c r="U27" i="2" s="1"/>
  <c r="F6" i="2"/>
  <c r="I6" i="2" s="1"/>
  <c r="F14" i="2"/>
  <c r="I14" i="2" s="1"/>
  <c r="W41" i="2" s="1"/>
  <c r="F5" i="2"/>
  <c r="D9" i="2"/>
  <c r="F9" i="2" s="1"/>
  <c r="D12" i="2"/>
  <c r="F12" i="2" s="1"/>
  <c r="I12" i="2" s="1"/>
  <c r="S28" i="2" s="1"/>
  <c r="F15" i="2"/>
  <c r="I15" i="2" s="1"/>
  <c r="Y29" i="2" s="1"/>
  <c r="F11" i="2"/>
  <c r="I11" i="2" s="1"/>
  <c r="Q26" i="2" s="1"/>
  <c r="D10" i="2"/>
  <c r="F10" i="2" s="1"/>
  <c r="I10" i="2" s="1"/>
  <c r="O40" i="2" s="1"/>
  <c r="D16" i="2"/>
  <c r="F16" i="2" s="1"/>
  <c r="I16" i="2" s="1"/>
  <c r="AA30" i="2" s="1"/>
  <c r="F8" i="2"/>
  <c r="I8" i="2" s="1"/>
  <c r="K42" i="2" s="1"/>
  <c r="D7" i="2"/>
  <c r="F7" i="2" s="1"/>
  <c r="I7" i="2" s="1"/>
  <c r="B86" i="7"/>
  <c r="V27" i="2" l="1"/>
  <c r="V44" i="2" s="1"/>
  <c r="U44" i="2"/>
  <c r="AB30" i="2"/>
  <c r="AC30" i="2"/>
  <c r="AA44" i="2"/>
  <c r="G23" i="2"/>
  <c r="G35" i="2"/>
  <c r="H35" i="2" s="1"/>
  <c r="G33" i="2"/>
  <c r="H33" i="2" s="1"/>
  <c r="G43" i="2"/>
  <c r="H43" i="2" s="1"/>
  <c r="G42" i="2"/>
  <c r="H42" i="2" s="1"/>
  <c r="G38" i="2"/>
  <c r="H38" i="2" s="1"/>
  <c r="T28" i="2"/>
  <c r="AC28" i="2"/>
  <c r="AF28" i="2" s="1"/>
  <c r="S44" i="2"/>
  <c r="I27" i="2"/>
  <c r="I40" i="2"/>
  <c r="J40" i="2" s="1"/>
  <c r="P40" i="2"/>
  <c r="P44" i="2" s="1"/>
  <c r="O44" i="2"/>
  <c r="Z29" i="2"/>
  <c r="AC29" i="2"/>
  <c r="Y44" i="2"/>
  <c r="X41" i="2"/>
  <c r="X44" i="2" s="1"/>
  <c r="W44" i="2"/>
  <c r="R26" i="2"/>
  <c r="Q44" i="2"/>
  <c r="AC26" i="2"/>
  <c r="L42" i="2"/>
  <c r="K44" i="2"/>
  <c r="C7" i="3"/>
  <c r="B57" i="3" s="1"/>
  <c r="C9" i="3"/>
  <c r="B59" i="3" s="1"/>
  <c r="C22" i="3"/>
  <c r="B70" i="3" s="1"/>
  <c r="C31" i="3"/>
  <c r="B79" i="3" s="1"/>
  <c r="C42" i="3"/>
  <c r="C26" i="3"/>
  <c r="B74" i="3" s="1"/>
  <c r="C38" i="3"/>
  <c r="C11" i="3"/>
  <c r="B61" i="3" s="1"/>
  <c r="C40" i="3"/>
  <c r="C16" i="3"/>
  <c r="B64" i="3" s="1"/>
  <c r="C17" i="3"/>
  <c r="B65" i="3" s="1"/>
  <c r="C29" i="3"/>
  <c r="B77" i="3" s="1"/>
  <c r="C36" i="3"/>
  <c r="C8" i="3"/>
  <c r="B58" i="3" s="1"/>
  <c r="C15" i="3"/>
  <c r="B63" i="3" s="1"/>
  <c r="C10" i="3"/>
  <c r="B60" i="3" s="1"/>
  <c r="C20" i="3"/>
  <c r="B68" i="3" s="1"/>
  <c r="C12" i="3"/>
  <c r="B62" i="3" s="1"/>
  <c r="C23" i="3"/>
  <c r="B71" i="3" s="1"/>
  <c r="C41" i="3"/>
  <c r="C34" i="3"/>
  <c r="C24" i="3"/>
  <c r="B72" i="3" s="1"/>
  <c r="C35" i="3"/>
  <c r="I9" i="2"/>
  <c r="M33" i="2" s="1"/>
  <c r="C21" i="3"/>
  <c r="B69" i="3" s="1"/>
  <c r="C43" i="3"/>
  <c r="C28" i="3"/>
  <c r="B76" i="3" s="1"/>
  <c r="C19" i="3"/>
  <c r="B67" i="3" s="1"/>
  <c r="C25" i="3"/>
  <c r="B73" i="3" s="1"/>
  <c r="C39" i="3"/>
  <c r="C27" i="3"/>
  <c r="B75" i="3" s="1"/>
  <c r="C18" i="3"/>
  <c r="B66" i="3" s="1"/>
  <c r="C30" i="3"/>
  <c r="B78" i="3" s="1"/>
  <c r="C37" i="3"/>
  <c r="H23" i="2" l="1"/>
  <c r="H44" i="2" s="1"/>
  <c r="G44" i="2"/>
  <c r="AD28" i="2"/>
  <c r="AE28" i="2" s="1"/>
  <c r="T44" i="2"/>
  <c r="AF30" i="2"/>
  <c r="J27" i="2"/>
  <c r="J44" i="2" s="1"/>
  <c r="I44" i="2"/>
  <c r="AD29" i="2"/>
  <c r="AE29" i="2" s="1"/>
  <c r="Z44" i="2"/>
  <c r="AD30" i="2"/>
  <c r="AE30" i="2" s="1"/>
  <c r="AB44" i="2"/>
  <c r="N33" i="2"/>
  <c r="N44" i="2" s="1"/>
  <c r="M44" i="2"/>
  <c r="AD26" i="2"/>
  <c r="AF26" i="2" s="1"/>
  <c r="R44" i="2"/>
  <c r="L44" i="2"/>
  <c r="C13" i="3"/>
  <c r="C46" i="3"/>
  <c r="G5" i="2" s="1"/>
  <c r="C32" i="3"/>
  <c r="B80" i="3"/>
  <c r="C89" i="3" s="1"/>
  <c r="C99" i="3" s="1"/>
  <c r="AF29" i="2" l="1"/>
  <c r="AE26" i="2"/>
  <c r="D72" i="7"/>
  <c r="D70" i="7"/>
  <c r="H5" i="2"/>
  <c r="I5" i="2" s="1"/>
  <c r="C48" i="3"/>
  <c r="B89" i="3"/>
  <c r="D11" i="38" l="1"/>
  <c r="D13" i="38"/>
  <c r="E42" i="2"/>
  <c r="E40" i="2"/>
  <c r="E38" i="2"/>
  <c r="E36" i="2"/>
  <c r="E23" i="2"/>
  <c r="E41" i="2"/>
  <c r="E39" i="2"/>
  <c r="E35" i="2"/>
  <c r="E33" i="2"/>
  <c r="E27" i="2"/>
  <c r="E43" i="2"/>
  <c r="B99" i="3"/>
  <c r="D71" i="7"/>
  <c r="D68" i="7"/>
  <c r="F36" i="2" l="1"/>
  <c r="AD36" i="2" s="1"/>
  <c r="AE36" i="2" s="1"/>
  <c r="AC36" i="2"/>
  <c r="AF36" i="2" s="1"/>
  <c r="F33" i="2"/>
  <c r="AD33" i="2" s="1"/>
  <c r="AE33" i="2" s="1"/>
  <c r="AC33" i="2"/>
  <c r="AF33" i="2" s="1"/>
  <c r="F43" i="2"/>
  <c r="AD43" i="2" s="1"/>
  <c r="AE43" i="2" s="1"/>
  <c r="AC43" i="2"/>
  <c r="AF43" i="2" s="1"/>
  <c r="F35" i="2"/>
  <c r="AD35" i="2" s="1"/>
  <c r="AE35" i="2" s="1"/>
  <c r="AC35" i="2"/>
  <c r="AF35" i="2" s="1"/>
  <c r="D9" i="38"/>
  <c r="F38" i="2"/>
  <c r="AD38" i="2" s="1"/>
  <c r="AE38" i="2" s="1"/>
  <c r="AC38" i="2"/>
  <c r="AF38" i="2" s="1"/>
  <c r="F27" i="2"/>
  <c r="AD27" i="2" s="1"/>
  <c r="AE27" i="2" s="1"/>
  <c r="AC27" i="2"/>
  <c r="AF27" i="2" s="1"/>
  <c r="F40" i="2"/>
  <c r="AD40" i="2" s="1"/>
  <c r="AE40" i="2" s="1"/>
  <c r="AC40" i="2"/>
  <c r="AF40" i="2" s="1"/>
  <c r="F42" i="2"/>
  <c r="AD42" i="2" s="1"/>
  <c r="AE42" i="2" s="1"/>
  <c r="AC42" i="2"/>
  <c r="F39" i="2"/>
  <c r="AD39" i="2" s="1"/>
  <c r="AE39" i="2" s="1"/>
  <c r="AC39" i="2"/>
  <c r="AF39" i="2" s="1"/>
  <c r="F41" i="2"/>
  <c r="AD41" i="2" s="1"/>
  <c r="AE41" i="2" s="1"/>
  <c r="AC41" i="2"/>
  <c r="AF41" i="2" s="1"/>
  <c r="D12" i="38"/>
  <c r="E44" i="2"/>
  <c r="F23" i="2"/>
  <c r="AC23" i="2"/>
  <c r="AF42" i="2" l="1"/>
  <c r="AD23" i="2"/>
  <c r="F44" i="2"/>
  <c r="D85" i="7"/>
  <c r="D26" i="38" s="1"/>
  <c r="D77" i="7"/>
  <c r="D75" i="7"/>
  <c r="D83" i="7"/>
  <c r="D82" i="7"/>
  <c r="D78" i="7"/>
  <c r="D80" i="7"/>
  <c r="D81" i="7"/>
  <c r="D84" i="7"/>
  <c r="D69" i="7"/>
  <c r="D24" i="38" l="1"/>
  <c r="D23" i="38"/>
  <c r="D16" i="38"/>
  <c r="D10" i="38"/>
  <c r="D22" i="38"/>
  <c r="AE23" i="2"/>
  <c r="D65" i="7" s="1"/>
  <c r="AD44" i="2"/>
  <c r="D18" i="38"/>
  <c r="D25" i="38"/>
  <c r="D21" i="38"/>
  <c r="D19" i="38"/>
  <c r="AF23" i="2"/>
  <c r="D6" i="38" l="1"/>
  <c r="H47" i="24" l="1"/>
  <c r="I47" i="24" s="1"/>
  <c r="B12" i="39" l="1"/>
  <c r="J47" i="24"/>
  <c r="H51" i="24"/>
  <c r="I51" i="24" s="1"/>
  <c r="H56" i="24"/>
  <c r="I56" i="24" s="1"/>
  <c r="H55" i="24"/>
  <c r="I55" i="24" s="1"/>
  <c r="H50" i="24"/>
  <c r="I50" i="24" s="1"/>
  <c r="H48" i="24"/>
  <c r="I48" i="24" s="1"/>
  <c r="H52" i="24"/>
  <c r="I52" i="24" s="1"/>
  <c r="H53" i="24"/>
  <c r="I53" i="24" s="1"/>
  <c r="H44" i="24"/>
  <c r="I44" i="24" s="1"/>
  <c r="H46" i="24"/>
  <c r="I46" i="24" s="1"/>
  <c r="H58" i="24"/>
  <c r="I58" i="24" s="1"/>
  <c r="H43" i="24"/>
  <c r="I43" i="24" s="1"/>
  <c r="H60" i="24"/>
  <c r="I60" i="24" s="1"/>
  <c r="H61" i="24"/>
  <c r="I61" i="24" s="1"/>
  <c r="H62" i="24"/>
  <c r="I62" i="24" s="1"/>
  <c r="H54" i="24"/>
  <c r="I54" i="24" s="1"/>
  <c r="H45" i="24"/>
  <c r="I45" i="24" s="1"/>
  <c r="H57" i="24"/>
  <c r="I57" i="24" s="1"/>
  <c r="H49" i="24"/>
  <c r="I49" i="24" s="1"/>
  <c r="H42" i="24"/>
  <c r="I42" i="24" s="1"/>
  <c r="H59" i="24"/>
  <c r="I59" i="24" s="1"/>
  <c r="B27" i="39" l="1"/>
  <c r="B24" i="39"/>
  <c r="B13" i="39"/>
  <c r="B7" i="39"/>
  <c r="B21" i="39"/>
  <c r="B17" i="39"/>
  <c r="B15" i="39"/>
  <c r="B8" i="39"/>
  <c r="B23" i="39"/>
  <c r="B22" i="39"/>
  <c r="B11" i="39"/>
  <c r="B16" i="39"/>
  <c r="B10" i="39"/>
  <c r="B9" i="39"/>
  <c r="B26" i="39"/>
  <c r="B25" i="39"/>
  <c r="B20" i="39"/>
  <c r="B14" i="39"/>
  <c r="B19" i="39"/>
  <c r="B18" i="39"/>
  <c r="J48" i="24"/>
  <c r="J56" i="24"/>
  <c r="J61" i="24"/>
  <c r="J59" i="24"/>
  <c r="B17" i="24" s="1"/>
  <c r="J50" i="24"/>
  <c r="J42" i="24"/>
  <c r="J55" i="24"/>
  <c r="J58" i="24"/>
  <c r="J57" i="24"/>
  <c r="J51" i="24"/>
  <c r="J44" i="24"/>
  <c r="J54" i="24"/>
  <c r="J53" i="24"/>
  <c r="J60" i="24"/>
  <c r="J43" i="24"/>
  <c r="J49" i="24"/>
  <c r="J46" i="24"/>
  <c r="J45" i="24"/>
  <c r="F36" i="24" s="1"/>
  <c r="F70" i="7"/>
  <c r="B18" i="24"/>
  <c r="J62" i="24"/>
  <c r="J52" i="24"/>
  <c r="F33" i="24" s="1"/>
  <c r="F11" i="38" l="1"/>
  <c r="C12" i="39" s="1"/>
  <c r="B14" i="24"/>
  <c r="B12" i="27"/>
  <c r="F79" i="7"/>
  <c r="AE37" i="27"/>
  <c r="H79" i="7" s="1"/>
  <c r="F72" i="7"/>
  <c r="B22" i="24"/>
  <c r="F78" i="7"/>
  <c r="F82" i="7"/>
  <c r="B10" i="27"/>
  <c r="F68" i="7"/>
  <c r="B11" i="27"/>
  <c r="F81" i="7"/>
  <c r="AE34" i="27"/>
  <c r="H76" i="7" s="1"/>
  <c r="F76" i="7"/>
  <c r="F71" i="7"/>
  <c r="B21" i="24"/>
  <c r="F73" i="7"/>
  <c r="AE31" i="27"/>
  <c r="H73" i="7" s="1"/>
  <c r="AE24" i="27"/>
  <c r="H66" i="7" s="1"/>
  <c r="F66" i="7"/>
  <c r="F77" i="7"/>
  <c r="F69" i="7"/>
  <c r="B16" i="24"/>
  <c r="B19" i="24"/>
  <c r="AE32" i="27"/>
  <c r="H74" i="7" s="1"/>
  <c r="F74" i="7"/>
  <c r="F85" i="7"/>
  <c r="F80" i="7"/>
  <c r="F83" i="7"/>
  <c r="B20" i="24"/>
  <c r="F75" i="7"/>
  <c r="B9" i="27"/>
  <c r="F67" i="7"/>
  <c r="AE25" i="27"/>
  <c r="H67" i="7" s="1"/>
  <c r="F65" i="7"/>
  <c r="J63" i="24"/>
  <c r="B15" i="24"/>
  <c r="F84" i="7"/>
  <c r="F30" i="24"/>
  <c r="B8" i="27"/>
  <c r="F17" i="38" l="1"/>
  <c r="C18" i="39" s="1"/>
  <c r="H20" i="38"/>
  <c r="E21" i="39" s="1"/>
  <c r="F7" i="38"/>
  <c r="C8" i="39" s="1"/>
  <c r="F24" i="38"/>
  <c r="C25" i="39" s="1"/>
  <c r="H15" i="38"/>
  <c r="E16" i="39" s="1"/>
  <c r="H7" i="38"/>
  <c r="E8" i="39" s="1"/>
  <c r="F20" i="38"/>
  <c r="C21" i="39" s="1"/>
  <c r="F13" i="38"/>
  <c r="C14" i="39" s="1"/>
  <c r="H14" i="38"/>
  <c r="E15" i="39" s="1"/>
  <c r="F23" i="38"/>
  <c r="C24" i="39" s="1"/>
  <c r="F8" i="38"/>
  <c r="C9" i="39" s="1"/>
  <c r="F14" i="38"/>
  <c r="C15" i="39" s="1"/>
  <c r="F22" i="38"/>
  <c r="C23" i="39" s="1"/>
  <c r="F9" i="38"/>
  <c r="C10" i="39" s="1"/>
  <c r="H8" i="38"/>
  <c r="E9" i="39" s="1"/>
  <c r="H17" i="38"/>
  <c r="E18" i="39" s="1"/>
  <c r="F25" i="38"/>
  <c r="C26" i="39" s="1"/>
  <c r="F19" i="38"/>
  <c r="C20" i="39" s="1"/>
  <c r="F26" i="38"/>
  <c r="C27" i="39" s="1"/>
  <c r="F12" i="38"/>
  <c r="C13" i="39" s="1"/>
  <c r="F21" i="38"/>
  <c r="C22" i="39" s="1"/>
  <c r="F10" i="38"/>
  <c r="C11" i="39" s="1"/>
  <c r="F16" i="38"/>
  <c r="C17" i="39" s="1"/>
  <c r="F15" i="38"/>
  <c r="C16" i="39" s="1"/>
  <c r="F18" i="38"/>
  <c r="C19" i="39" s="1"/>
  <c r="D12" i="27"/>
  <c r="F12" i="27" s="1"/>
  <c r="I12" i="27" s="1"/>
  <c r="S28" i="27" s="1"/>
  <c r="B13" i="24"/>
  <c r="F13" i="24" s="1"/>
  <c r="B15" i="27"/>
  <c r="B16" i="27"/>
  <c r="B14" i="27"/>
  <c r="B13" i="27"/>
  <c r="B7" i="27"/>
  <c r="B6" i="27"/>
  <c r="B5" i="27"/>
  <c r="D10" i="27"/>
  <c r="F10" i="27" s="1"/>
  <c r="F11" i="27"/>
  <c r="D9" i="27"/>
  <c r="F9" i="27" s="1"/>
  <c r="F8" i="27"/>
  <c r="F6" i="38"/>
  <c r="F86" i="7"/>
  <c r="T28" i="27" l="1"/>
  <c r="AC28" i="27"/>
  <c r="S44" i="27"/>
  <c r="I11" i="27"/>
  <c r="Q26" i="27" s="1"/>
  <c r="Q44" i="27" s="1"/>
  <c r="I10" i="27"/>
  <c r="O40" i="27" s="1"/>
  <c r="O44" i="27" s="1"/>
  <c r="I9" i="27"/>
  <c r="M33" i="27" s="1"/>
  <c r="N33" i="27" s="1"/>
  <c r="N44" i="27" s="1"/>
  <c r="D7" i="27"/>
  <c r="F7" i="27" s="1"/>
  <c r="F14" i="24"/>
  <c r="F15" i="24" s="1"/>
  <c r="G15" i="24" s="1"/>
  <c r="F22" i="24"/>
  <c r="F18" i="24"/>
  <c r="F21" i="24"/>
  <c r="D16" i="27"/>
  <c r="F16" i="27" s="1"/>
  <c r="F6" i="27"/>
  <c r="D13" i="27"/>
  <c r="F13" i="27" s="1"/>
  <c r="D15" i="27"/>
  <c r="F15" i="27" s="1"/>
  <c r="D14" i="27"/>
  <c r="F14" i="27" s="1"/>
  <c r="I8" i="27"/>
  <c r="K42" i="27" s="1"/>
  <c r="F27" i="38"/>
  <c r="C7" i="39"/>
  <c r="C28" i="39" s="1"/>
  <c r="AD28" i="27"/>
  <c r="AE28" i="27" s="1"/>
  <c r="H70" i="7" s="1"/>
  <c r="T44" i="27"/>
  <c r="AC26" i="27" l="1"/>
  <c r="P40" i="27"/>
  <c r="P44" i="27" s="1"/>
  <c r="R26" i="27"/>
  <c r="H11" i="38"/>
  <c r="E12" i="39" s="1"/>
  <c r="I15" i="27"/>
  <c r="Y29" i="27" s="1"/>
  <c r="AC29" i="27" s="1"/>
  <c r="I7" i="27"/>
  <c r="I6" i="27"/>
  <c r="G23" i="27" s="1"/>
  <c r="H23" i="27" s="1"/>
  <c r="M44" i="27"/>
  <c r="I16" i="27"/>
  <c r="AA30" i="27" s="1"/>
  <c r="AA44" i="27" s="1"/>
  <c r="I13" i="27"/>
  <c r="U27" i="27" s="1"/>
  <c r="U44" i="27" s="1"/>
  <c r="F16" i="24"/>
  <c r="F17" i="24" s="1"/>
  <c r="I14" i="27"/>
  <c r="W41" i="27" s="1"/>
  <c r="W44" i="27" s="1"/>
  <c r="F5" i="27"/>
  <c r="C18" i="32"/>
  <c r="B66" i="32" s="1"/>
  <c r="F20" i="24"/>
  <c r="K42" i="24"/>
  <c r="K62" i="24"/>
  <c r="B30" i="24"/>
  <c r="L42" i="27"/>
  <c r="L44" i="27" s="1"/>
  <c r="K44" i="27"/>
  <c r="G21" i="24"/>
  <c r="G22" i="24"/>
  <c r="G18" i="24"/>
  <c r="G13" i="24"/>
  <c r="AF28" i="27"/>
  <c r="R44" i="27"/>
  <c r="AD26" i="27"/>
  <c r="AE26" i="27" s="1"/>
  <c r="H68" i="7" s="1"/>
  <c r="Y44" i="27" l="1"/>
  <c r="Z29" i="27"/>
  <c r="AD29" i="27" s="1"/>
  <c r="AE29" i="27" s="1"/>
  <c r="H71" i="7" s="1"/>
  <c r="V27" i="27"/>
  <c r="V44" i="27" s="1"/>
  <c r="H9" i="38"/>
  <c r="E10" i="39" s="1"/>
  <c r="H12" i="38"/>
  <c r="E13" i="39" s="1"/>
  <c r="C42" i="32"/>
  <c r="C7" i="32"/>
  <c r="B57" i="32" s="1"/>
  <c r="K47" i="24"/>
  <c r="G35" i="27"/>
  <c r="H35" i="27" s="1"/>
  <c r="F19" i="24"/>
  <c r="G43" i="27"/>
  <c r="H43" i="27" s="1"/>
  <c r="C22" i="32"/>
  <c r="B70" i="32" s="1"/>
  <c r="C44" i="32"/>
  <c r="G33" i="27"/>
  <c r="H33" i="27" s="1"/>
  <c r="G38" i="27"/>
  <c r="H38" i="27" s="1"/>
  <c r="C9" i="32"/>
  <c r="B59" i="32" s="1"/>
  <c r="C27" i="32"/>
  <c r="B75" i="32" s="1"/>
  <c r="C37" i="32"/>
  <c r="C20" i="32"/>
  <c r="B68" i="32" s="1"/>
  <c r="G42" i="27"/>
  <c r="H42" i="27" s="1"/>
  <c r="AC30" i="27"/>
  <c r="C28" i="32"/>
  <c r="B76" i="32" s="1"/>
  <c r="C41" i="32"/>
  <c r="I27" i="27"/>
  <c r="I40" i="27"/>
  <c r="J40" i="27" s="1"/>
  <c r="C17" i="32"/>
  <c r="B65" i="32" s="1"/>
  <c r="C36" i="32"/>
  <c r="C15" i="32"/>
  <c r="B63" i="32" s="1"/>
  <c r="C30" i="32"/>
  <c r="B78" i="32" s="1"/>
  <c r="X41" i="27"/>
  <c r="X44" i="27" s="1"/>
  <c r="AB30" i="27"/>
  <c r="AD30" i="27" s="1"/>
  <c r="AE30" i="27" s="1"/>
  <c r="H72" i="7" s="1"/>
  <c r="C31" i="32"/>
  <c r="B79" i="32" s="1"/>
  <c r="C38" i="32"/>
  <c r="C10" i="32"/>
  <c r="B60" i="32" s="1"/>
  <c r="C11" i="32"/>
  <c r="B61" i="32" s="1"/>
  <c r="C19" i="32"/>
  <c r="B67" i="32" s="1"/>
  <c r="C12" i="32"/>
  <c r="B62" i="32" s="1"/>
  <c r="C35" i="32"/>
  <c r="C23" i="32"/>
  <c r="B71" i="32" s="1"/>
  <c r="C39" i="32"/>
  <c r="C21" i="32"/>
  <c r="B69" i="32" s="1"/>
  <c r="C26" i="32"/>
  <c r="B74" i="32" s="1"/>
  <c r="C43" i="32"/>
  <c r="C29" i="32"/>
  <c r="B77" i="32" s="1"/>
  <c r="C34" i="32"/>
  <c r="C45" i="32"/>
  <c r="C8" i="32"/>
  <c r="B58" i="32" s="1"/>
  <c r="C24" i="32"/>
  <c r="B72" i="32" s="1"/>
  <c r="C25" i="32"/>
  <c r="B73" i="32" s="1"/>
  <c r="C16" i="32"/>
  <c r="B64" i="32" s="1"/>
  <c r="C40" i="32"/>
  <c r="Z44" i="27"/>
  <c r="AF26" i="27"/>
  <c r="G14" i="24"/>
  <c r="G20" i="24"/>
  <c r="K48" i="24"/>
  <c r="K49" i="24"/>
  <c r="K56" i="24"/>
  <c r="K43" i="24"/>
  <c r="K51" i="24"/>
  <c r="K50" i="24"/>
  <c r="K44" i="24"/>
  <c r="K53" i="24"/>
  <c r="B36" i="24"/>
  <c r="G36" i="24" s="1"/>
  <c r="AF29" i="27" l="1"/>
  <c r="H13" i="38"/>
  <c r="E14" i="39" s="1"/>
  <c r="H44" i="27"/>
  <c r="AB44" i="27"/>
  <c r="G44" i="27"/>
  <c r="AF30" i="27"/>
  <c r="B80" i="32"/>
  <c r="C89" i="32" s="1"/>
  <c r="C99" i="32" s="1"/>
  <c r="J27" i="27"/>
  <c r="J44" i="27" s="1"/>
  <c r="I44" i="27"/>
  <c r="C46" i="32"/>
  <c r="G5" i="27" s="1"/>
  <c r="C32" i="32"/>
  <c r="C13" i="32"/>
  <c r="K54" i="24"/>
  <c r="K57" i="24"/>
  <c r="B33" i="24"/>
  <c r="G33" i="24" s="1"/>
  <c r="G30" i="24"/>
  <c r="K45" i="24"/>
  <c r="K58" i="24"/>
  <c r="K55" i="24"/>
  <c r="K60" i="24"/>
  <c r="G16" i="24"/>
  <c r="G19" i="24"/>
  <c r="G17" i="24"/>
  <c r="B89" i="32" l="1"/>
  <c r="B99" i="32" s="1"/>
  <c r="H5" i="27"/>
  <c r="I5" i="27" s="1"/>
  <c r="E38" i="27" s="1"/>
  <c r="C48" i="32"/>
  <c r="K52" i="24"/>
  <c r="K61" i="24"/>
  <c r="K46" i="24"/>
  <c r="K59" i="24"/>
  <c r="E27" i="27" l="1"/>
  <c r="AC27" i="27" s="1"/>
  <c r="E39" i="27"/>
  <c r="AC39" i="27" s="1"/>
  <c r="E41" i="27"/>
  <c r="AC41" i="27" s="1"/>
  <c r="E43" i="27"/>
  <c r="F43" i="27" s="1"/>
  <c r="AD43" i="27" s="1"/>
  <c r="AE43" i="27" s="1"/>
  <c r="H85" i="7" s="1"/>
  <c r="E35" i="27"/>
  <c r="AC35" i="27" s="1"/>
  <c r="E42" i="27"/>
  <c r="F42" i="27" s="1"/>
  <c r="AD42" i="27" s="1"/>
  <c r="AE42" i="27" s="1"/>
  <c r="H84" i="7" s="1"/>
  <c r="E33" i="27"/>
  <c r="F33" i="27" s="1"/>
  <c r="AD33" i="27" s="1"/>
  <c r="AE33" i="27" s="1"/>
  <c r="H75" i="7" s="1"/>
  <c r="E23" i="27"/>
  <c r="AC23" i="27" s="1"/>
  <c r="E40" i="27"/>
  <c r="AC40" i="27" s="1"/>
  <c r="E36" i="27"/>
  <c r="F38" i="27"/>
  <c r="AD38" i="27" s="1"/>
  <c r="AE38" i="27" s="1"/>
  <c r="H80" i="7" s="1"/>
  <c r="AC38" i="27"/>
  <c r="F27" i="27" l="1"/>
  <c r="AD27" i="27" s="1"/>
  <c r="AE27" i="27" s="1"/>
  <c r="H69" i="7" s="1"/>
  <c r="F40" i="27"/>
  <c r="AD40" i="27" s="1"/>
  <c r="AE40" i="27" s="1"/>
  <c r="H82" i="7" s="1"/>
  <c r="H10" i="38"/>
  <c r="E11" i="39" s="1"/>
  <c r="H26" i="38"/>
  <c r="E27" i="39" s="1"/>
  <c r="H16" i="38"/>
  <c r="E17" i="39" s="1"/>
  <c r="H25" i="38"/>
  <c r="E26" i="39" s="1"/>
  <c r="H21" i="38"/>
  <c r="E22" i="39" s="1"/>
  <c r="H23" i="38"/>
  <c r="E24" i="39" s="1"/>
  <c r="F41" i="27"/>
  <c r="AD41" i="27" s="1"/>
  <c r="AE41" i="27" s="1"/>
  <c r="H83" i="7" s="1"/>
  <c r="F35" i="27"/>
  <c r="AD35" i="27" s="1"/>
  <c r="AE35" i="27" s="1"/>
  <c r="H77" i="7" s="1"/>
  <c r="AC43" i="27"/>
  <c r="AF43" i="27" s="1"/>
  <c r="AC42" i="27"/>
  <c r="AF42" i="27" s="1"/>
  <c r="F39" i="27"/>
  <c r="AD39" i="27" s="1"/>
  <c r="AE39" i="27" s="1"/>
  <c r="H81" i="7" s="1"/>
  <c r="AC33" i="27"/>
  <c r="AF33" i="27" s="1"/>
  <c r="E44" i="27"/>
  <c r="F23" i="27"/>
  <c r="AD23" i="27" s="1"/>
  <c r="AC36" i="27"/>
  <c r="AF36" i="27" s="1"/>
  <c r="F36" i="27"/>
  <c r="AD36" i="27" s="1"/>
  <c r="AE36" i="27" s="1"/>
  <c r="H78" i="7" s="1"/>
  <c r="AF39" i="27"/>
  <c r="AF38" i="27"/>
  <c r="AF27" i="27"/>
  <c r="AF40" i="27" l="1"/>
  <c r="H19" i="38"/>
  <c r="E20" i="39" s="1"/>
  <c r="H24" i="38"/>
  <c r="E25" i="39" s="1"/>
  <c r="H18" i="38"/>
  <c r="E19" i="39" s="1"/>
  <c r="H22" i="38"/>
  <c r="E23" i="39" s="1"/>
  <c r="AF41" i="27"/>
  <c r="AF35" i="27"/>
  <c r="F44" i="27"/>
  <c r="AD44" i="27"/>
  <c r="AE23" i="27"/>
  <c r="H65" i="7" s="1"/>
  <c r="AF23" i="27"/>
  <c r="H6" i="38" l="1"/>
  <c r="E7" i="39" s="1"/>
  <c r="G66" i="7" l="1"/>
  <c r="G76" i="7"/>
  <c r="G67" i="7"/>
  <c r="G79" i="7"/>
  <c r="G74" i="7"/>
  <c r="G73" i="7"/>
  <c r="G71" i="7" l="1"/>
  <c r="G72" i="7"/>
  <c r="I67" i="7"/>
  <c r="G8" i="38"/>
  <c r="I73" i="7"/>
  <c r="G14" i="38"/>
  <c r="D15" i="39" s="1"/>
  <c r="G7" i="38"/>
  <c r="I66" i="7"/>
  <c r="G17" i="38"/>
  <c r="I76" i="7"/>
  <c r="G15" i="38"/>
  <c r="I74" i="7"/>
  <c r="G68" i="7"/>
  <c r="I79" i="7"/>
  <c r="G20" i="38"/>
  <c r="I8" i="38" l="1"/>
  <c r="F9" i="39" s="1"/>
  <c r="I15" i="38"/>
  <c r="F16" i="39" s="1"/>
  <c r="D16" i="39"/>
  <c r="I7" i="38"/>
  <c r="F8" i="39" s="1"/>
  <c r="I20" i="38"/>
  <c r="F21" i="39" s="1"/>
  <c r="I14" i="38"/>
  <c r="F15" i="39" s="1"/>
  <c r="D21" i="39"/>
  <c r="D8" i="39"/>
  <c r="I17" i="38"/>
  <c r="F18" i="39" s="1"/>
  <c r="D18" i="39"/>
  <c r="D9" i="39"/>
  <c r="G70" i="7"/>
  <c r="I71" i="7"/>
  <c r="G12" i="38"/>
  <c r="G13" i="38"/>
  <c r="I72" i="7"/>
  <c r="G9" i="38"/>
  <c r="I68" i="7"/>
  <c r="I13" i="38" l="1"/>
  <c r="F14" i="39" s="1"/>
  <c r="I12" i="38"/>
  <c r="F13" i="39" s="1"/>
  <c r="D14" i="39"/>
  <c r="D13" i="39"/>
  <c r="I9" i="38"/>
  <c r="F10" i="39" s="1"/>
  <c r="G11" i="38"/>
  <c r="D10" i="39"/>
  <c r="I70" i="7"/>
  <c r="I11" i="38" l="1"/>
  <c r="F12" i="39" s="1"/>
  <c r="D12" i="39"/>
  <c r="G69" i="7"/>
  <c r="K28" i="24"/>
  <c r="G78" i="7" l="1"/>
  <c r="I69" i="7"/>
  <c r="G10" i="38"/>
  <c r="G81" i="7"/>
  <c r="D11" i="39" l="1"/>
  <c r="I10" i="38"/>
  <c r="F11" i="39" s="1"/>
  <c r="G77" i="7"/>
  <c r="G85" i="7"/>
  <c r="G65" i="7"/>
  <c r="G80" i="7"/>
  <c r="I81" i="7"/>
  <c r="G22" i="38"/>
  <c r="I78" i="7"/>
  <c r="G19" i="38"/>
  <c r="G83" i="7"/>
  <c r="D23" i="39" l="1"/>
  <c r="D20" i="39"/>
  <c r="I22" i="38"/>
  <c r="F23" i="39" s="1"/>
  <c r="I19" i="38"/>
  <c r="F20" i="39" s="1"/>
  <c r="I65" i="7"/>
  <c r="G6" i="38"/>
  <c r="G26" i="38"/>
  <c r="I85" i="7"/>
  <c r="G82" i="7"/>
  <c r="K30" i="24"/>
  <c r="G84" i="7"/>
  <c r="G24" i="38"/>
  <c r="I83" i="7"/>
  <c r="G75" i="7"/>
  <c r="K29" i="24"/>
  <c r="I77" i="7"/>
  <c r="G18" i="38"/>
  <c r="I80" i="7"/>
  <c r="G21" i="38"/>
  <c r="D19" i="39" l="1"/>
  <c r="D25" i="39"/>
  <c r="I26" i="38"/>
  <c r="F27" i="39" s="1"/>
  <c r="I24" i="38"/>
  <c r="F25" i="39" s="1"/>
  <c r="I18" i="38"/>
  <c r="F19" i="39" s="1"/>
  <c r="D27" i="39"/>
  <c r="D7" i="39"/>
  <c r="I21" i="38"/>
  <c r="F22" i="39" s="1"/>
  <c r="I6" i="38"/>
  <c r="F7" i="39" s="1"/>
  <c r="D22" i="39"/>
  <c r="K31" i="24"/>
  <c r="G25" i="38"/>
  <c r="I84" i="7"/>
  <c r="I82" i="7"/>
  <c r="G23" i="38"/>
  <c r="G16" i="38"/>
  <c r="I75" i="7"/>
  <c r="I16" i="38" l="1"/>
  <c r="F17" i="39" s="1"/>
  <c r="D17" i="39"/>
  <c r="D24" i="39"/>
  <c r="I23" i="38"/>
  <c r="F24" i="39" s="1"/>
  <c r="I25" i="38"/>
  <c r="F26" i="39" s="1"/>
  <c r="D26" i="39"/>
  <c r="C74" i="7" l="1"/>
  <c r="C76" i="7"/>
  <c r="C67" i="7"/>
  <c r="C73" i="7"/>
  <c r="C79" i="7"/>
  <c r="C66" i="7"/>
  <c r="C68" i="7" l="1"/>
  <c r="C7" i="38"/>
  <c r="E66" i="7"/>
  <c r="E7" i="38" s="1"/>
  <c r="C70" i="7"/>
  <c r="E76" i="7"/>
  <c r="E17" i="38" s="1"/>
  <c r="C17" i="38"/>
  <c r="C14" i="38"/>
  <c r="E73" i="7"/>
  <c r="E14" i="38" s="1"/>
  <c r="C71" i="7"/>
  <c r="C8" i="38"/>
  <c r="E67" i="7"/>
  <c r="E8" i="38" s="1"/>
  <c r="C20" i="38"/>
  <c r="E79" i="7"/>
  <c r="E20" i="38" s="1"/>
  <c r="E74" i="7"/>
  <c r="E15" i="38" s="1"/>
  <c r="C15" i="38"/>
  <c r="E70" i="7" l="1"/>
  <c r="E11" i="38" s="1"/>
  <c r="C11" i="38"/>
  <c r="E68" i="7"/>
  <c r="E9" i="38" s="1"/>
  <c r="C9" i="38"/>
  <c r="C72" i="7"/>
  <c r="C12" i="38"/>
  <c r="E71" i="7"/>
  <c r="E12" i="38" s="1"/>
  <c r="C75" i="7" l="1"/>
  <c r="J28" i="30"/>
  <c r="C85" i="7"/>
  <c r="C77" i="7"/>
  <c r="C65" i="7"/>
  <c r="J27" i="30"/>
  <c r="C69" i="7"/>
  <c r="C13" i="38"/>
  <c r="E72" i="7"/>
  <c r="E13" i="38" s="1"/>
  <c r="C80" i="7"/>
  <c r="C78" i="7" l="1"/>
  <c r="C84" i="7"/>
  <c r="E65" i="7"/>
  <c r="E6" i="38" s="1"/>
  <c r="C6" i="38"/>
  <c r="E80" i="7"/>
  <c r="E21" i="38" s="1"/>
  <c r="C21" i="38"/>
  <c r="E75" i="7"/>
  <c r="E16" i="38" s="1"/>
  <c r="C16" i="38"/>
  <c r="E69" i="7"/>
  <c r="E10" i="38" s="1"/>
  <c r="C10" i="38"/>
  <c r="E77" i="7"/>
  <c r="E18" i="38" s="1"/>
  <c r="C18" i="38"/>
  <c r="C81" i="7"/>
  <c r="C26" i="38"/>
  <c r="E85" i="7"/>
  <c r="E26" i="38" s="1"/>
  <c r="C83" i="7" l="1"/>
  <c r="E84" i="7"/>
  <c r="E25" i="38" s="1"/>
  <c r="C25" i="38"/>
  <c r="E78" i="7"/>
  <c r="E19" i="38" s="1"/>
  <c r="C19" i="38"/>
  <c r="E81" i="7"/>
  <c r="E22" i="38" s="1"/>
  <c r="C22" i="38"/>
  <c r="C82" i="7" l="1"/>
  <c r="J29" i="30"/>
  <c r="J30" i="30" s="1"/>
  <c r="C24" i="38"/>
  <c r="E83" i="7"/>
  <c r="E24" i="38" s="1"/>
  <c r="C23" i="38" l="1"/>
  <c r="E82" i="7"/>
  <c r="E23" i="38" s="1"/>
</calcChain>
</file>

<file path=xl/sharedStrings.xml><?xml version="1.0" encoding="utf-8"?>
<sst xmlns="http://schemas.openxmlformats.org/spreadsheetml/2006/main" count="1668" uniqueCount="454">
  <si>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</si>
  <si>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</si>
  <si>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</si>
  <si>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</si>
  <si>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</si>
  <si>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</si>
  <si>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</si>
  <si>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</si>
  <si>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</si>
  <si>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</si>
  <si>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</si>
  <si>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</si>
  <si>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</si>
  <si>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</si>
  <si>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</si>
  <si>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</si>
  <si>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</si>
  <si>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</si>
  <si>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</si>
  <si>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</si>
  <si>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</si>
  <si>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</si>
  <si>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</si>
  <si>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</si>
  <si>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</si>
  <si>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</si>
  <si>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</si>
  <si>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</si>
  <si>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</si>
  <si>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</si>
  <si>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</si>
  <si>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</si>
  <si>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</si>
  <si>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</si>
  <si>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</si>
  <si>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</si>
  <si>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</si>
  <si>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</si>
  <si>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</si>
  <si>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</si>
  <si>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</si>
  <si>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</si>
  <si>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</si>
  <si>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</si>
  <si>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</si>
  <si>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</si>
  <si>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</si>
  <si>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</si>
  <si>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</si>
  <si>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</si>
  <si>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</si>
  <si>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</si>
  <si>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</si>
  <si>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</si>
  <si>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</si>
  <si>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</si>
  <si>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</si>
  <si>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</si>
  <si>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</si>
  <si>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</si>
  <si>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</si>
  <si>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</si>
  <si>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</si>
  <si>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</si>
  <si>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</si>
  <si>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</si>
  <si>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</si>
  <si>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</si>
  <si>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</si>
  <si>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</si>
  <si>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</si>
  <si>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</si>
  <si>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</si>
  <si>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</si>
  <si>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</si>
  <si>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</si>
  <si>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</si>
  <si>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</si>
  <si>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</si>
  <si>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</si>
  <si>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</si>
  <si>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</si>
  <si>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</si>
  <si>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</si>
  <si>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</si>
  <si>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</si>
  <si>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</si>
  <si>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</si>
  <si>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</si>
  <si>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</si>
  <si>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</si>
  <si>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</si>
  <si>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</si>
  <si>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</si>
  <si>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</si>
  <si>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</si>
  <si>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</si>
  <si>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</si>
  <si>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</si>
  <si>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</si>
  <si>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</si>
  <si>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</si>
  <si>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</si>
  <si>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</si>
  <si>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</si>
  <si>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</si>
  <si>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</si>
  <si>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</si>
  <si>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</si>
  <si>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</si>
  <si>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</si>
  <si>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</si>
  <si>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</si>
  <si>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</si>
  <si>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</si>
  <si>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</si>
  <si>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</si>
  <si>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</si>
  <si>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</si>
  <si>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</si>
  <si>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</si>
  <si>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</si>
  <si>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</si>
  <si>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</si>
  <si>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</si>
  <si>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</si>
  <si>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</si>
  <si>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</si>
  <si>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</si>
  <si>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</si>
  <si>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</si>
  <si>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</si>
  <si>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</si>
  <si>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</si>
  <si>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</si>
  <si>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</si>
  <si>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</si>
  <si>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</si>
  <si>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</si>
  <si>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</si>
  <si>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</si>
  <si>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</si>
  <si>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</si>
  <si>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t>Winter Period Resources           [MW]</t>
  </si>
  <si>
    <t>Seasonal Resources Matched to be Annual                 [MW]</t>
  </si>
  <si>
    <t>Resource Credits at Clearing Price [$/day]</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</si>
  <si>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</si>
  <si>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</si>
  <si>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</si>
  <si>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</si>
  <si>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</si>
  <si>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</si>
  <si>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</si>
  <si>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</si>
  <si>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</si>
  <si>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</si>
  <si>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</si>
  <si>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</si>
  <si>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</si>
  <si>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</si>
  <si>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</si>
  <si>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</si>
  <si>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</si>
  <si>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</si>
  <si>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</si>
  <si>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</si>
  <si>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</si>
  <si>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Base Zonal UCAP Obligation               [MW]</t>
  </si>
  <si>
    <t>Hardwire numbers for posting</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</si>
  <si>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</si>
  <si>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</si>
  <si>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</si>
  <si>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</si>
  <si>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</si>
  <si>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</si>
  <si>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</si>
  <si>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</si>
  <si>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</si>
  <si>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</si>
  <si>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</si>
  <si>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 xml:space="preserve">Final Zonal Capacity Prices &amp; Adjusted Zonal CTR Credit Rates are determined based on the results of the Base Residual Auction, 1st, 2nd, and 3rd IncrementalAuctions for the DY. </t>
  </si>
  <si>
    <t>DOM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</si>
  <si>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</si>
  <si>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</si>
  <si>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</si>
  <si>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</si>
  <si>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</si>
  <si>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</si>
  <si>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</si>
  <si>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</si>
  <si>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</si>
  <si>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</si>
  <si>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</si>
  <si>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</si>
  <si>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</si>
  <si>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</si>
  <si>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</si>
  <si>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</si>
  <si>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</si>
  <si>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</si>
  <si>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</si>
  <si>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</si>
  <si>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</si>
  <si>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</si>
  <si>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</si>
  <si>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</si>
  <si>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</si>
  <si>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</si>
  <si>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</si>
  <si>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</si>
  <si>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</si>
  <si>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</si>
  <si>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</si>
  <si>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</si>
  <si>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</si>
  <si>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</si>
  <si>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</si>
  <si>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</si>
  <si>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</si>
  <si>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</si>
  <si>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</si>
  <si>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</si>
  <si>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</si>
  <si>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</si>
  <si>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</si>
  <si>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</si>
  <si>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</si>
  <si>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</si>
  <si>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</si>
  <si>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</si>
  <si>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</si>
  <si>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</si>
  <si>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</si>
  <si>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</si>
  <si>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</si>
  <si>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</si>
  <si>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</si>
  <si>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</si>
  <si>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</si>
  <si>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2021 W/N Coincident Peak Load                     [MW]</t>
  </si>
  <si>
    <t>LDA/External Source Zone</t>
  </si>
  <si>
    <t>** Locational Price Adder (positive number) is with respect to the immediate higher level LDA.</t>
  </si>
  <si>
    <t>Participant Buy Bids/Sell Offers Cleared &amp; Make-Whole MWs [Equivalent Annual Resources]</t>
  </si>
  <si>
    <t>Buy Bids Cleared                     [MW]</t>
  </si>
  <si>
    <t>Sell Offers Cleared [MW]</t>
  </si>
  <si>
    <t>Net Buy Bid/Sell Offers Cleared [MW]</t>
  </si>
  <si>
    <t>Make-Whole                [MW]</t>
  </si>
  <si>
    <t>PJM Buy Bids/Sell Offers Cleared</t>
  </si>
  <si>
    <t>PJM Buy Bids Cleared [MW]</t>
  </si>
  <si>
    <t>PJM Sell Offers Cleared                [MW]</t>
  </si>
  <si>
    <t>Net PJM Buy Bid/Sell Offers Cleared    [MW]</t>
  </si>
  <si>
    <t>Auction Credits/Charges</t>
  </si>
  <si>
    <t>Sell Offers Cleared                     [MW]</t>
  </si>
  <si>
    <t>Net Buy Bids/Sell Offers Cleared                     [MW]</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</si>
  <si>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</si>
  <si>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</si>
  <si>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</si>
  <si>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</si>
  <si>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</si>
  <si>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</si>
  <si>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Summer Period Resources           [MW]</t>
  </si>
  <si>
    <t>Updated LDA UCAP Obligation [MW]</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</si>
  <si>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</si>
  <si>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</si>
  <si>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</si>
  <si>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</si>
  <si>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</si>
  <si>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 CTR MWs are adjusted slightly to accommodate certain grandfathered arrangements.</t>
  </si>
  <si>
    <t>Weighted Locational Price Adder</t>
  </si>
  <si>
    <t>CTRs Allocated to LSEs                      [MW]</t>
  </si>
  <si>
    <t>Economic Value of LSE CTRs           [$/day]</t>
  </si>
  <si>
    <t>Updated CTRs Allocated = Max of the absolute value of LDA CTRs Allocated to LSEs [MW]</t>
  </si>
  <si>
    <t>Total Updated Economic Value of LSE CTRs [$/day]</t>
  </si>
  <si>
    <t>Updated Zonal CTR Credit Rate [$/MW UCAP Obligation per Day]</t>
  </si>
  <si>
    <t>Updated Zonal CTR Settlement Rate [$/MW CTR per day]</t>
  </si>
  <si>
    <t>Weighted Locational Price Adder is with respect to immediate higher level LDA.</t>
  </si>
  <si>
    <t>Economic Value of LSE CTRs = CTRs Allocated to LSEs * Weighted Locational Price Adder</t>
  </si>
  <si>
    <t>CTRs Allocated, Economic Value of CTRs, CTR Credit Rates, and CTR Settlement Rates are not final and may change due to future Incremental Auction results.</t>
  </si>
  <si>
    <t>6/1/22 – PS CTR MW amount and PS CTR Settlement Rate updated due to the ICTRs for AD2-018 and AD2-019.  No change to the PS CTR Credit Rate or Economic Value of LSE CTRs to the PS zone.</t>
  </si>
  <si>
    <t>3rd Incremental Auction</t>
  </si>
  <si>
    <t>Adjusted Zonal UCAP Obligation      (MW)</t>
  </si>
  <si>
    <t>Adjusted Zonal Capacity Price          ($/MW-day)</t>
  </si>
  <si>
    <t>Updated Zonal CTR Credit Rate ($/MW-UCAP Obligation-day)</t>
  </si>
  <si>
    <t>Adjusted Zonal Net Load Price         ($/MW-day)</t>
  </si>
  <si>
    <t>Adjusted Preliminary Zonal Capacity Price ($/MW-day)</t>
  </si>
  <si>
    <t>Preliminary Zonal Net Load Price       ($/MW-day)</t>
  </si>
  <si>
    <t>Final Zonal UCAP Obligation        (MW)</t>
  </si>
  <si>
    <t>Final Zonal Capacity Price              ($/MW-day)</t>
  </si>
  <si>
    <t>Final Zonal CTR Credit Rate ($/MW-UCAP Obligation-day)</t>
  </si>
  <si>
    <t>Final Zonal Net Load Price         ($/MW-day)</t>
  </si>
  <si>
    <t>AEP **</t>
  </si>
  <si>
    <t>DEOK **</t>
  </si>
  <si>
    <t>EKPC **</t>
  </si>
  <si>
    <t>** Obligation affected by FRR quantities.</t>
  </si>
  <si>
    <t>Net Participant Buy Bids/Sell Offers Cleared *</t>
  </si>
  <si>
    <t>Net PJM Buy Bids/Sell Offers Cleared [MW]</t>
  </si>
  <si>
    <t>3rd Incremental Auction **</t>
  </si>
  <si>
    <t>**A positive net PJM buy bid/sell offer cleared represents a net purchase of capacity by PJM.</t>
  </si>
  <si>
    <t>** A negative net PJM buy bid/sell offer cleared represents a net release of committed capacity by PJM.</t>
  </si>
  <si>
    <t>Final Forecast Pool Requirement =</t>
  </si>
  <si>
    <t>Final Zonal RPM Scaling Factor</t>
  </si>
  <si>
    <t>Final Zonal UCAP Obligation,          MW</t>
  </si>
  <si>
    <t>Final Zonal Capacity Price               ($/MW-day)</t>
  </si>
  <si>
    <t>Final Zonal CTR Credit Rate    ($/MW-UCAP Obligation-day)</t>
  </si>
  <si>
    <t>Final Zonal Net Load Price               ($/MW-day)</t>
  </si>
  <si>
    <t>Weighted System Marginal Price               [$/MW-day]</t>
  </si>
  <si>
    <t>Weighted Locational Price Adder *            [$/MW-day]</t>
  </si>
  <si>
    <t>Updated Zonal Results</t>
  </si>
  <si>
    <t>Updated Zonal RPM Scaling Factor</t>
  </si>
  <si>
    <t>Updated Zonal UCAP Obligation               [MW]</t>
  </si>
  <si>
    <t>Adjusted Zonal Capacity Price           [$/MW-day]</t>
  </si>
  <si>
    <t>2024/2025 DY BRA CTRs</t>
  </si>
  <si>
    <t xml:space="preserve">2024/2025 Final Zonal Scaling Factors, UCAP Obligations, Zonal Capacity Prices, &amp; Zonal CTR Credit Rates </t>
  </si>
  <si>
    <t>2024/2025 BRA and Incremental Auctions:  Zonal UCAP Obligations, Zonal Capacity Prices, Zonal CTR Credit Rate, and Zonal Net Load Prices</t>
  </si>
  <si>
    <t>2024/2025 BRA Resource Clearing Results</t>
  </si>
  <si>
    <t>2024/2025 BRA Load Pricing Results</t>
  </si>
  <si>
    <t>2024/2025 Prelim. Zonal Peak Load Forecast                     [MW]</t>
  </si>
  <si>
    <t xml:space="preserve">2024/2025 BRA ICTRs </t>
  </si>
  <si>
    <t>2024/2025 DY 3rd IA Resource Clearing Results</t>
  </si>
  <si>
    <t>2024/2025 3rd IA Load Pricing Results</t>
  </si>
  <si>
    <t>2023 W/N Coincident Peak Load                     [MW]</t>
  </si>
  <si>
    <t>3rd IA 2024/2025  Zonal Peak Load Forecast                     [MW]</t>
  </si>
  <si>
    <t>2024/2025 3rd IA CTRs</t>
  </si>
  <si>
    <t xml:space="preserve">2024/2025 3rd IA ICTRs </t>
  </si>
  <si>
    <t>DOM ***</t>
  </si>
  <si>
    <t>2024/2025 BRA &amp; Incremental Auctions Summary of Results</t>
  </si>
  <si>
    <t xml:space="preserve">3/11/2024:  Revised to include 24/25 3rd IA updated pricing  </t>
  </si>
  <si>
    <t>The pricing point values are effective from June 1, 2024 thru May 31, 2025.</t>
  </si>
  <si>
    <t>Pricing Point Definitions may be found on the PJM.com website under Markets/ Reliability Pricing Model/ Auction User Info.</t>
  </si>
  <si>
    <t>Pricing Point</t>
  </si>
  <si>
    <t>AECO_LDA_CP</t>
  </si>
  <si>
    <t>AEP_LDA_CP</t>
  </si>
  <si>
    <t>APS_LDA_CP</t>
  </si>
  <si>
    <t>ATSI_LDA_CP</t>
  </si>
  <si>
    <t>ATSI_CLEV_LDA_CP</t>
  </si>
  <si>
    <t>BGE_LDA_CP</t>
  </si>
  <si>
    <t>COMED_LDA_CP</t>
  </si>
  <si>
    <t>DAY_LDA_CP</t>
  </si>
  <si>
    <t>DEOK_LDA_CP</t>
  </si>
  <si>
    <t>DOM_LDA_CP</t>
  </si>
  <si>
    <t>DPL_LDA_CP</t>
  </si>
  <si>
    <t>DPLS_LDA_CP</t>
  </si>
  <si>
    <t>DUQ_LDA_CP</t>
  </si>
  <si>
    <t>EKPC_LDA_CP</t>
  </si>
  <si>
    <t>EMAAC_LDA_CP</t>
  </si>
  <si>
    <t>JCPL_LDA_CP</t>
  </si>
  <si>
    <t>MAAC_LDA_CP</t>
  </si>
  <si>
    <t>METED_LDA_CP</t>
  </si>
  <si>
    <t>PECO_LDA_CP</t>
  </si>
  <si>
    <t>PENELEC_LDA_CP</t>
  </si>
  <si>
    <t>PEPCO_LDA_CP</t>
  </si>
  <si>
    <t>PPL_LDA_CP</t>
  </si>
  <si>
    <t>PSEG_LDA_CP</t>
  </si>
  <si>
    <t>PSEGN_LDA_CP</t>
  </si>
  <si>
    <t>SWMAAC_LDA_CP</t>
  </si>
  <si>
    <t>WMAAC_LDA_CP</t>
  </si>
  <si>
    <t>WPJM_LDA_CP</t>
  </si>
  <si>
    <t>AE_Net Load</t>
  </si>
  <si>
    <t>AEP_Net Load</t>
  </si>
  <si>
    <t>APS_Net Load</t>
  </si>
  <si>
    <t>ATSI_Net Load</t>
  </si>
  <si>
    <t>BGE_Net Load</t>
  </si>
  <si>
    <t>COMED_Net Load</t>
  </si>
  <si>
    <t>DAY_Net Load</t>
  </si>
  <si>
    <t>DEOK_Net Load</t>
  </si>
  <si>
    <t>DOM_Net Load</t>
  </si>
  <si>
    <t>DPL_Net Load</t>
  </si>
  <si>
    <t>DUQ_Net Load</t>
  </si>
  <si>
    <t>EKPC_Net Load</t>
  </si>
  <si>
    <t>EMAAC_Net Load</t>
  </si>
  <si>
    <t>JCPL_Net Load</t>
  </si>
  <si>
    <t>METED_Net Load</t>
  </si>
  <si>
    <t>OVEC_Net Load</t>
  </si>
  <si>
    <t>PECO_Net Load</t>
  </si>
  <si>
    <t>PENELEC_Net Load</t>
  </si>
  <si>
    <t>PEPCO_Net Load</t>
  </si>
  <si>
    <t>PPL_Net Load</t>
  </si>
  <si>
    <t>PSEG_Net Load</t>
  </si>
  <si>
    <t>RECO_Net Load</t>
  </si>
  <si>
    <t>SWMAAC_Net Load</t>
  </si>
  <si>
    <t>AECO_PZonal</t>
  </si>
  <si>
    <t>AEP_PZonal</t>
  </si>
  <si>
    <t>APS_PZonal</t>
  </si>
  <si>
    <t>ATSI_Pzonal</t>
  </si>
  <si>
    <t>BGE_PZonal</t>
  </si>
  <si>
    <t>COMED_PZonal</t>
  </si>
  <si>
    <t>DAY_PZonal</t>
  </si>
  <si>
    <t>DEOK_PZonal</t>
  </si>
  <si>
    <t>DOM_PZonal</t>
  </si>
  <si>
    <t>DPL_PZonal</t>
  </si>
  <si>
    <t>DUQ_PZonal</t>
  </si>
  <si>
    <t>EKPC_Pzonal</t>
  </si>
  <si>
    <t>JCPL_PZonal</t>
  </si>
  <si>
    <t>METED_PZonal</t>
  </si>
  <si>
    <t>OVEC_Pzonal</t>
  </si>
  <si>
    <t>PECO_PZonal</t>
  </si>
  <si>
    <t>PENELEC_PZonal</t>
  </si>
  <si>
    <t>PEPCO_PZonal</t>
  </si>
  <si>
    <t>PPL_PZonal</t>
  </si>
  <si>
    <t>PSEG_PZonal</t>
  </si>
  <si>
    <t>RECO_PZonal</t>
  </si>
  <si>
    <t>AECO_FZonal</t>
  </si>
  <si>
    <t>AEP_FZonal</t>
  </si>
  <si>
    <t>APS_FZonal</t>
  </si>
  <si>
    <t>ATSI_FZonal</t>
  </si>
  <si>
    <t>BGE_FZonal</t>
  </si>
  <si>
    <t>COMED_FZonal</t>
  </si>
  <si>
    <t>DAY_FZonal</t>
  </si>
  <si>
    <t>DEOK_FZonal</t>
  </si>
  <si>
    <t>DOM_FZonal</t>
  </si>
  <si>
    <t>DPL_FZonal</t>
  </si>
  <si>
    <t>DUQ_FZonal</t>
  </si>
  <si>
    <t>EKPZ_Fzonal</t>
  </si>
  <si>
    <t>JCPL_FZonal</t>
  </si>
  <si>
    <t>METED_FZonal</t>
  </si>
  <si>
    <t>OVEC_FZonal</t>
  </si>
  <si>
    <t>PECO_FZonal</t>
  </si>
  <si>
    <t>PENELEC_FZonal</t>
  </si>
  <si>
    <t>PEPCO_FZonal</t>
  </si>
  <si>
    <t>PPL_FZonal</t>
  </si>
  <si>
    <t>PSEG_FZonal</t>
  </si>
  <si>
    <t>RECO_FZonal</t>
  </si>
  <si>
    <t>AECO_3IA_LDA_CP</t>
  </si>
  <si>
    <t>AEP_3IA_LDA_CP</t>
  </si>
  <si>
    <t>APS_3IA_LDA_CP</t>
  </si>
  <si>
    <t>ATSI_3IA_LDA_CP</t>
  </si>
  <si>
    <t>ATSI_CLEV_3IA_LDA_CP</t>
  </si>
  <si>
    <t>BGE_3IA_LDA_CP</t>
  </si>
  <si>
    <t>COMED_3IA_LDA_CP</t>
  </si>
  <si>
    <t>DAY_3IA_LDA_CP</t>
  </si>
  <si>
    <t>DEOK_3IA_LDA_CP</t>
  </si>
  <si>
    <t>DOM_3IA_LDA_CP</t>
  </si>
  <si>
    <t>DPL_3IA_LDA_CP</t>
  </si>
  <si>
    <t>DPLS_3IA_LDA_CP</t>
  </si>
  <si>
    <t>DUQ_3IA_LDA_CP</t>
  </si>
  <si>
    <t>EKPC_3IA_LDA_CP</t>
  </si>
  <si>
    <t>EMAAC_3IA_LDA_CP</t>
  </si>
  <si>
    <t>JCPL_3IA_LDA_CP</t>
  </si>
  <si>
    <t>MAAC_3IA_LDA_CP</t>
  </si>
  <si>
    <t>METED_3IA_LDA_CP</t>
  </si>
  <si>
    <t>PECO_3IA_LDA_CP</t>
  </si>
  <si>
    <t>PENELEC_3IA_LDA_CP</t>
  </si>
  <si>
    <t>PEPCO_3IA_LDA_CP</t>
  </si>
  <si>
    <t>PPL_3IA_LDA_CP</t>
  </si>
  <si>
    <t>PSEG_3IA_LDA_CP</t>
  </si>
  <si>
    <t>PSEGN_3IA_LDA_CP</t>
  </si>
  <si>
    <t>SWMAAC_3IA_LDA_CP</t>
  </si>
  <si>
    <t>WMAAC_3IA_LDA_CP</t>
  </si>
  <si>
    <t>WPJM_3IA_LDA_CP</t>
  </si>
  <si>
    <t>2024/2025 Value ($/MW-day)</t>
  </si>
  <si>
    <t>Adjustment due to Make-Whole [$/day]</t>
  </si>
  <si>
    <t>Additional Make-Whole Costs with respect to Reference LDA [$/day]</t>
  </si>
  <si>
    <t>Additional Adjustment due to Make-Whole with respect to Reference LDA
 [$/MW-day]</t>
  </si>
  <si>
    <t>Updated as of 6/6/2024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</si>
</sst>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000000"/>
    <numFmt numFmtId="175" formatCode="&quot;$&quot;#,##0.0000"/>
    <numFmt numFmtId="176" formatCode="&quot;$&quot;#,##0.00000000"/>
    <numFmt numFmtId="177" formatCode="_(* #,##0.0000000_);_(* \(#,##0.0000000\);_(* &quot;-&quot;??_);_(@_)"/>
    <numFmt numFmtId="178" formatCode="&quot;$&quot;#,##0.0000000"/>
    <numFmt numFmtId="179" formatCode="&quot;$&quot;#,##0.0"/>
    <numFmt numFmtId="180" formatCode="&quot;$&quot;#,##0.000"/>
    <numFmt numFmtId="181" formatCode="_(* #,##0.00000000000_);_(* \(#,##0.00000000000\);_(* &quot;-&quot;??_);_(@_)"/>
    <numFmt numFmtId="182" formatCode="_(* #,##0.00000_);_(* \(#,##0.00000\);_(* &quot;-&quot;??_);_(@_)"/>
    <numFmt numFmtId="183" formatCode="_(* #,##0.0_);_(* \(#,##0.0\);_(* &quot;-&quot;?_);_(@_)"/>
  </numFmts>
  <fonts count="43"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sz val="10"/>
      <color indexed="10"/>
      <name val="Arial"/>
      <family val="2"/>
    </font>
    <font>
      <b/>
      <i/>
      <sz val="12"/>
      <name val="Arial"/>
      <family val="2"/>
    </font>
    <font>
      <sz val="11"/>
      <color rgb="FFFF0000"/>
      <name val="Calibri"/>
      <family val="2"/>
      <scheme val="minor"/>
    </font>
    <font>
      <sz val="11"/>
      <color indexed="56"/>
      <name val="Calibri"/>
      <family val="2"/>
    </font>
    <font>
      <b/>
      <i/>
      <sz val="14"/>
      <color indexed="10"/>
      <name val="Arial"/>
      <family val="2"/>
    </font>
    <font>
      <b/>
      <sz val="10"/>
      <color indexed="10"/>
      <name val="Arial"/>
      <family val="2"/>
    </font>
    <font>
      <sz val="11"/>
      <color rgb="FFFF0000"/>
      <name val="Arial"/>
      <family val="2"/>
    </font>
    <font>
      <b/>
      <sz val="11"/>
      <name val="Calibri"/>
      <family val="2"/>
      <scheme val="minor"/>
    </font>
    <font>
      <sz val="11"/>
      <name val="Calibri"/>
      <family val="2"/>
      <scheme val="minor"/>
    </font>
    <font>
      <b/>
      <sz val="16"/>
      <name val="Calibri"/>
      <family val="2"/>
      <scheme val="minor"/>
    </font>
    <font>
      <sz val="10"/>
      <color theme="1"/>
      <name val="Calibri"/>
      <family val="2"/>
      <scheme val="minor"/>
    </font>
    <font>
      <sz val="12"/>
      <name val="Calibri"/>
      <family val="2"/>
      <scheme val="minor"/>
    </font>
    <font>
      <b/>
      <sz val="12"/>
      <name val="Arial"/>
      <family val="2"/>
    </font>
    <font>
      <sz val="11"/>
      <color rgb="FF000000"/>
      <name val="Arial"/>
      <family val="2"/>
    </font>
    <font>
      <sz val="12"/>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5" fillId="0" borderId="0" xfId="0" applyNumberFormat="1" applyFont="1" applyFill="1" applyBorder="1" applyAlignment="1">
      <alignment horizontal="center" wrapText="1"/>
    </xf>
    <xf numFmtId="0" fontId="9" fillId="0" borderId="0" xfId="0"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167" fontId="12" fillId="0" borderId="1" xfId="0" applyNumberFormat="1" applyFont="1" applyBorder="1"/>
    <xf numFmtId="172" fontId="12" fillId="0" borderId="1" xfId="1" applyNumberFormat="1" applyFont="1" applyFill="1" applyBorder="1"/>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3" fontId="12" fillId="0" borderId="8" xfId="0" applyNumberFormat="1" applyFont="1" applyBorder="1" applyAlignment="1">
      <alignment horizontal="right"/>
    </xf>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3" borderId="1" xfId="0" applyNumberFormat="1" applyFont="1" applyFill="1" applyBorder="1"/>
    <xf numFmtId="165" fontId="12" fillId="3" borderId="1" xfId="0" applyNumberFormat="1" applyFont="1" applyFill="1" applyBorder="1" applyAlignment="1">
      <alignment horizontal="right"/>
    </xf>
    <xf numFmtId="165" fontId="11" fillId="3" borderId="1" xfId="0" applyNumberFormat="1" applyFont="1" applyFill="1" applyBorder="1" applyAlignment="1">
      <alignment horizontal="right"/>
    </xf>
    <xf numFmtId="165" fontId="12" fillId="3" borderId="1" xfId="3" applyNumberFormat="1" applyFont="1" applyFill="1" applyBorder="1" applyAlignment="1">
      <alignment horizontal="right"/>
    </xf>
    <xf numFmtId="165" fontId="12" fillId="3" borderId="1" xfId="1" applyNumberFormat="1" applyFont="1" applyFill="1" applyBorder="1" applyAlignment="1">
      <alignment horizontal="right"/>
    </xf>
    <xf numFmtId="165" fontId="11" fillId="3" borderId="1" xfId="3" applyNumberFormat="1" applyFont="1" applyFill="1" applyBorder="1"/>
    <xf numFmtId="0" fontId="16" fillId="4" borderId="15" xfId="0" applyFont="1" applyFill="1" applyBorder="1" applyAlignment="1">
      <alignment horizontal="center"/>
    </xf>
    <xf numFmtId="0" fontId="16" fillId="5" borderId="19" xfId="0" applyFont="1" applyFill="1" applyBorder="1" applyAlignment="1">
      <alignment horizontal="center"/>
    </xf>
    <xf numFmtId="0" fontId="16" fillId="6"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2" fontId="12" fillId="0" borderId="0" xfId="0" applyNumberFormat="1" applyFont="1" applyBorder="1" applyAlignment="1"/>
    <xf numFmtId="0" fontId="11" fillId="0" borderId="1" xfId="0" applyFont="1" applyFill="1" applyBorder="1" applyAlignment="1">
      <alignment horizontal="right"/>
    </xf>
    <xf numFmtId="0" fontId="16" fillId="6"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5" borderId="19" xfId="0" applyFont="1" applyFill="1" applyBorder="1" applyAlignment="1">
      <alignment horizontal="center" wrapText="1"/>
    </xf>
    <xf numFmtId="0" fontId="11" fillId="0" borderId="1" xfId="0" applyNumberFormat="1" applyFont="1" applyBorder="1" applyAlignment="1">
      <alignment horizontal="center" wrapText="1"/>
    </xf>
    <xf numFmtId="172" fontId="12" fillId="0" borderId="1" xfId="1" applyNumberFormat="1" applyFont="1" applyFill="1" applyBorder="1" applyAlignment="1"/>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8"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4"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3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2" xfId="0" applyFont="1" applyFill="1" applyBorder="1" applyAlignment="1">
      <alignment horizontal="left"/>
    </xf>
    <xf numFmtId="164" fontId="12" fillId="0" borderId="1" xfId="1" applyNumberFormat="1" applyFont="1" applyFill="1" applyBorder="1" applyAlignment="1">
      <alignment horizontal="right"/>
    </xf>
    <xf numFmtId="0" fontId="12" fillId="0" borderId="23"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3" fontId="12" fillId="0" borderId="19" xfId="0" applyNumberFormat="1" applyFont="1" applyBorder="1" applyAlignment="1">
      <alignment horizontal="right"/>
    </xf>
    <xf numFmtId="0" fontId="12" fillId="0" borderId="45" xfId="0" applyFont="1" applyFill="1" applyBorder="1" applyAlignment="1">
      <alignment horizontal="left"/>
    </xf>
    <xf numFmtId="164" fontId="12" fillId="0" borderId="46" xfId="1" applyNumberFormat="1" applyFont="1" applyBorder="1"/>
    <xf numFmtId="169" fontId="12" fillId="0" borderId="46" xfId="0" applyNumberFormat="1" applyFont="1" applyBorder="1" applyAlignment="1">
      <alignment horizontal="right"/>
    </xf>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165" fontId="12" fillId="10" borderId="1" xfId="0" applyNumberFormat="1" applyFont="1" applyFill="1" applyBorder="1" applyAlignment="1">
      <alignment horizontal="right"/>
    </xf>
    <xf numFmtId="0" fontId="11" fillId="11" borderId="1" xfId="0" applyNumberFormat="1" applyFont="1" applyFill="1" applyBorder="1" applyAlignment="1">
      <alignment horizontal="center" wrapText="1"/>
    </xf>
    <xf numFmtId="165" fontId="12" fillId="11" borderId="1" xfId="0" applyNumberFormat="1" applyFont="1" applyFill="1" applyBorder="1" applyAlignment="1">
      <alignment horizontal="right"/>
    </xf>
    <xf numFmtId="44" fontId="15" fillId="0" borderId="42" xfId="3" applyFont="1" applyFill="1" applyBorder="1" applyAlignment="1">
      <alignment horizontal="center" vertical="center" wrapText="1"/>
    </xf>
    <xf numFmtId="0" fontId="11" fillId="0" borderId="23" xfId="0" applyFont="1" applyBorder="1" applyAlignment="1">
      <alignment horizontal="center" vertical="center" wrapText="1"/>
    </xf>
    <xf numFmtId="169" fontId="12" fillId="0" borderId="23" xfId="0" applyNumberFormat="1" applyFont="1" applyBorder="1" applyAlignment="1">
      <alignment horizontal="right"/>
    </xf>
    <xf numFmtId="169" fontId="11" fillId="0" borderId="23"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7" borderId="19" xfId="0" applyFont="1" applyFill="1" applyBorder="1" applyAlignment="1">
      <alignment horizontal="center" vertical="center" wrapText="1"/>
    </xf>
    <xf numFmtId="0" fontId="11" fillId="0" borderId="33"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8" fontId="0" fillId="0" borderId="0" xfId="0" applyNumberFormat="1"/>
    <xf numFmtId="2" fontId="12" fillId="0" borderId="0" xfId="0" applyNumberFormat="1" applyFont="1" applyBorder="1"/>
    <xf numFmtId="0" fontId="11" fillId="10" borderId="6" xfId="0" applyNumberFormat="1" applyFont="1" applyFill="1" applyBorder="1" applyAlignment="1">
      <alignment horizontal="center" wrapText="1"/>
    </xf>
    <xf numFmtId="0" fontId="11" fillId="10" borderId="7" xfId="0" applyNumberFormat="1" applyFont="1" applyFill="1" applyBorder="1" applyAlignment="1">
      <alignment horizontal="center" wrapText="1"/>
    </xf>
    <xf numFmtId="165" fontId="12" fillId="10" borderId="3" xfId="0" applyNumberFormat="1" applyFont="1" applyFill="1" applyBorder="1" applyAlignment="1">
      <alignment horizontal="right"/>
    </xf>
    <xf numFmtId="165" fontId="12" fillId="10" borderId="19" xfId="0" applyNumberFormat="1" applyFont="1" applyFill="1" applyBorder="1" applyAlignment="1">
      <alignment horizontal="right"/>
    </xf>
    <xf numFmtId="165" fontId="12" fillId="10" borderId="11" xfId="0" applyNumberFormat="1" applyFont="1" applyFill="1" applyBorder="1" applyAlignment="1">
      <alignment horizontal="right"/>
    </xf>
    <xf numFmtId="0" fontId="11" fillId="12" borderId="7" xfId="0" applyFont="1" applyFill="1" applyBorder="1" applyAlignment="1">
      <alignment horizontal="center" vertical="center" wrapText="1"/>
    </xf>
    <xf numFmtId="164" fontId="12" fillId="12" borderId="3" xfId="1" applyNumberFormat="1" applyFont="1" applyFill="1" applyBorder="1" applyAlignment="1">
      <alignment horizontal="right"/>
    </xf>
    <xf numFmtId="164" fontId="12" fillId="12" borderId="11" xfId="1" applyNumberFormat="1" applyFont="1" applyFill="1" applyBorder="1" applyAlignment="1">
      <alignment horizontal="right"/>
    </xf>
    <xf numFmtId="164" fontId="12" fillId="12" borderId="47" xfId="1" applyNumberFormat="1" applyFont="1" applyFill="1" applyBorder="1" applyAlignment="1">
      <alignment horizontal="right"/>
    </xf>
    <xf numFmtId="0" fontId="11" fillId="12" borderId="32" xfId="0" applyFont="1" applyFill="1" applyBorder="1" applyAlignment="1">
      <alignment horizontal="right" vertical="center" wrapText="1"/>
    </xf>
    <xf numFmtId="164" fontId="11" fillId="12" borderId="9" xfId="0" applyNumberFormat="1" applyFont="1" applyFill="1" applyBorder="1" applyAlignment="1">
      <alignment horizontal="right" vertical="center"/>
    </xf>
    <xf numFmtId="164" fontId="11" fillId="12" borderId="25" xfId="0" applyNumberFormat="1" applyFont="1" applyFill="1" applyBorder="1" applyAlignment="1">
      <alignment horizontal="right" vertical="center"/>
    </xf>
    <xf numFmtId="0" fontId="11" fillId="0" borderId="30" xfId="0" applyFont="1" applyBorder="1" applyAlignment="1">
      <alignment horizontal="center" vertical="center"/>
    </xf>
    <xf numFmtId="0" fontId="11" fillId="0" borderId="48" xfId="0" applyFont="1" applyBorder="1" applyAlignment="1">
      <alignment horizontal="center" wrapText="1"/>
    </xf>
    <xf numFmtId="0" fontId="11" fillId="0" borderId="49" xfId="0" applyFont="1" applyBorder="1" applyAlignment="1">
      <alignment horizontal="center" wrapText="1"/>
    </xf>
    <xf numFmtId="0" fontId="12" fillId="0" borderId="45" xfId="0" applyFont="1" applyFill="1" applyBorder="1"/>
    <xf numFmtId="165" fontId="11" fillId="0" borderId="47"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2" xfId="0" applyFont="1" applyFill="1" applyBorder="1" applyAlignment="1">
      <alignment horizontal="left" vertical="center"/>
    </xf>
    <xf numFmtId="0" fontId="11" fillId="0" borderId="30" xfId="0" applyFont="1" applyFill="1" applyBorder="1" applyAlignment="1">
      <alignment horizontal="center" wrapText="1"/>
    </xf>
    <xf numFmtId="0" fontId="11" fillId="0" borderId="20" xfId="0" applyFont="1" applyFill="1" applyBorder="1" applyAlignment="1">
      <alignment horizontal="center" wrapText="1"/>
    </xf>
    <xf numFmtId="164" fontId="12" fillId="0" borderId="53" xfId="0" applyNumberFormat="1" applyFont="1" applyFill="1" applyBorder="1" applyAlignment="1">
      <alignment horizontal="right" vertical="center"/>
    </xf>
    <xf numFmtId="0" fontId="12" fillId="0" borderId="5" xfId="0" applyFont="1" applyBorder="1" applyAlignment="1">
      <alignment vertical="center"/>
    </xf>
    <xf numFmtId="0" fontId="12" fillId="0" borderId="31" xfId="0" applyFont="1" applyBorder="1" applyAlignment="1">
      <alignment vertical="center"/>
    </xf>
    <xf numFmtId="164" fontId="11" fillId="12" borderId="25"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1" xfId="0" applyNumberFormat="1" applyFont="1" applyFill="1" applyBorder="1" applyAlignment="1">
      <alignment horizontal="right" vertical="center"/>
    </xf>
    <xf numFmtId="0" fontId="12" fillId="0" borderId="29" xfId="0" applyFont="1" applyBorder="1" applyAlignment="1">
      <alignment vertical="top" wrapText="1"/>
    </xf>
    <xf numFmtId="0" fontId="11" fillId="0" borderId="52" xfId="0" applyFont="1" applyBorder="1" applyAlignment="1">
      <alignment horizontal="left" vertical="center" wrapText="1"/>
    </xf>
    <xf numFmtId="0" fontId="12" fillId="0" borderId="54" xfId="0" applyFont="1" applyBorder="1" applyAlignment="1">
      <alignment vertical="center"/>
    </xf>
    <xf numFmtId="164" fontId="11" fillId="0" borderId="5" xfId="0" applyNumberFormat="1" applyFont="1" applyFill="1" applyBorder="1" applyAlignment="1">
      <alignment horizontal="right" vertical="center"/>
    </xf>
    <xf numFmtId="0" fontId="11" fillId="0" borderId="31" xfId="0" applyFont="1" applyFill="1" applyBorder="1" applyAlignment="1">
      <alignment vertical="center"/>
    </xf>
    <xf numFmtId="43" fontId="12" fillId="0" borderId="0" xfId="1" applyFont="1" applyFill="1" applyBorder="1" applyAlignment="1">
      <alignment horizontal="right"/>
    </xf>
    <xf numFmtId="44" fontId="12" fillId="0" borderId="0" xfId="3" applyFont="1"/>
    <xf numFmtId="44" fontId="12" fillId="0" borderId="0" xfId="0" applyNumberFormat="1" applyFont="1"/>
    <xf numFmtId="174" fontId="12" fillId="3" borderId="1" xfId="0" applyNumberFormat="1" applyFont="1" applyFill="1" applyBorder="1" applyAlignment="1">
      <alignment horizontal="right"/>
    </xf>
    <xf numFmtId="0" fontId="12" fillId="0" borderId="1" xfId="0" applyFont="1" applyBorder="1" applyAlignment="1">
      <alignment horizontal="left"/>
    </xf>
    <xf numFmtId="43" fontId="12" fillId="0" borderId="0" xfId="1" applyFont="1" applyBorder="1"/>
    <xf numFmtId="43" fontId="17" fillId="0" borderId="0" xfId="0" applyNumberFormat="1" applyFont="1"/>
    <xf numFmtId="0" fontId="1" fillId="0" borderId="0" xfId="0" applyFont="1"/>
    <xf numFmtId="0" fontId="12" fillId="0" borderId="50"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50" xfId="0" applyNumberFormat="1" applyFont="1" applyFill="1" applyBorder="1" applyAlignment="1">
      <alignment horizontal="right" vertical="center"/>
    </xf>
    <xf numFmtId="164" fontId="12" fillId="0" borderId="55"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79" fontId="12" fillId="0" borderId="6" xfId="0" applyNumberFormat="1" applyFont="1" applyBorder="1"/>
    <xf numFmtId="179" fontId="12" fillId="0" borderId="1" xfId="0" applyNumberFormat="1" applyFont="1" applyBorder="1"/>
    <xf numFmtId="179" fontId="12" fillId="0" borderId="19" xfId="0" applyNumberFormat="1" applyFont="1" applyBorder="1"/>
    <xf numFmtId="179" fontId="12" fillId="0" borderId="8" xfId="0" applyNumberFormat="1" applyFont="1" applyBorder="1"/>
    <xf numFmtId="179" fontId="11" fillId="0" borderId="46" xfId="0" applyNumberFormat="1" applyFont="1" applyBorder="1"/>
    <xf numFmtId="43" fontId="12" fillId="0" borderId="0" xfId="1" applyFont="1"/>
    <xf numFmtId="164" fontId="1" fillId="0" borderId="0" xfId="0" applyNumberFormat="1" applyFont="1"/>
    <xf numFmtId="164" fontId="12" fillId="0" borderId="0" xfId="0" applyNumberFormat="1" applyFont="1" applyBorder="1" applyAlignment="1"/>
    <xf numFmtId="165" fontId="12" fillId="11"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6"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2"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2" borderId="1" xfId="0" applyFont="1" applyFill="1" applyBorder="1" applyAlignment="1">
      <alignment horizontal="center" vertical="center"/>
    </xf>
    <xf numFmtId="172" fontId="12" fillId="10" borderId="1" xfId="2" applyNumberFormat="1" applyFont="1" applyFill="1" applyBorder="1" applyAlignment="1">
      <alignment vertical="center"/>
    </xf>
    <xf numFmtId="165" fontId="12" fillId="10" borderId="1" xfId="2" applyNumberFormat="1" applyFont="1" applyFill="1" applyBorder="1" applyAlignment="1">
      <alignment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2" borderId="19" xfId="0" applyFont="1" applyFill="1" applyBorder="1" applyAlignment="1">
      <alignment horizontal="center" vertical="center" wrapText="1"/>
    </xf>
    <xf numFmtId="0" fontId="12" fillId="12" borderId="1" xfId="0" applyFont="1" applyFill="1" applyBorder="1" applyAlignment="1">
      <alignment horizontal="center"/>
    </xf>
    <xf numFmtId="169" fontId="12" fillId="0" borderId="0" xfId="2" applyNumberFormat="1" applyFont="1" applyFill="1" applyBorder="1"/>
    <xf numFmtId="172" fontId="11" fillId="10" borderId="1" xfId="2" applyNumberFormat="1" applyFont="1" applyFill="1" applyBorder="1" applyAlignment="1">
      <alignment horizontal="center" vertical="center" wrapText="1"/>
    </xf>
    <xf numFmtId="165" fontId="12" fillId="10" borderId="1" xfId="0" applyNumberFormat="1" applyFont="1" applyFill="1" applyBorder="1" applyAlignment="1">
      <alignment vertical="center"/>
    </xf>
    <xf numFmtId="0" fontId="11" fillId="0" borderId="19" xfId="0" applyFont="1" applyBorder="1" applyAlignment="1">
      <alignment horizontal="right" vertical="center"/>
    </xf>
    <xf numFmtId="172" fontId="11" fillId="10"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1"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1" xfId="0" applyFont="1" applyFill="1" applyBorder="1" applyAlignment="1">
      <alignment horizontal="left" vertical="center" wrapText="1"/>
    </xf>
    <xf numFmtId="165" fontId="12" fillId="0" borderId="51" xfId="0" applyNumberFormat="1" applyFont="1" applyBorder="1" applyAlignment="1">
      <alignment horizontal="right" vertical="center"/>
    </xf>
    <xf numFmtId="0" fontId="12" fillId="0" borderId="24" xfId="0" applyFont="1" applyFill="1" applyBorder="1" applyAlignment="1">
      <alignment horizontal="left" vertical="center" wrapText="1"/>
    </xf>
    <xf numFmtId="165" fontId="12" fillId="0" borderId="26"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3"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5" xfId="0" applyFont="1" applyBorder="1" applyAlignment="1">
      <alignment vertical="top" wrapText="1"/>
    </xf>
    <xf numFmtId="0" fontId="11" fillId="0" borderId="12" xfId="0" applyFont="1" applyFill="1" applyBorder="1" applyAlignment="1">
      <alignment horizontal="right"/>
    </xf>
    <xf numFmtId="164" fontId="0" fillId="0" borderId="0" xfId="0" applyNumberFormat="1"/>
    <xf numFmtId="0" fontId="11" fillId="10" borderId="1" xfId="0" applyFont="1" applyFill="1" applyBorder="1" applyAlignment="1">
      <alignment horizontal="center" vertical="center" wrapText="1"/>
    </xf>
    <xf numFmtId="0" fontId="0" fillId="0" borderId="0" xfId="0" applyFill="1"/>
    <xf numFmtId="169" fontId="12" fillId="0" borderId="19" xfId="0" applyNumberFormat="1" applyFont="1" applyBorder="1" applyAlignment="1">
      <alignment horizontal="right"/>
    </xf>
    <xf numFmtId="165" fontId="12" fillId="0" borderId="4" xfId="0" applyNumberFormat="1" applyFont="1" applyBorder="1" applyAlignment="1">
      <alignment horizontal="right" vertical="center"/>
    </xf>
    <xf numFmtId="0" fontId="1" fillId="0" borderId="0" xfId="0" applyFont="1" applyBorder="1"/>
    <xf numFmtId="0" fontId="28" fillId="0" borderId="0" xfId="0" applyFont="1" applyFill="1"/>
    <xf numFmtId="165" fontId="28" fillId="0" borderId="0" xfId="0" applyNumberFormat="1" applyFont="1" applyFill="1"/>
    <xf numFmtId="0" fontId="1" fillId="0" borderId="0" xfId="0" applyFont="1" applyFill="1"/>
    <xf numFmtId="0" fontId="29" fillId="0" borderId="0" xfId="0" applyFont="1" applyFill="1" applyBorder="1" applyAlignment="1">
      <alignment horizontal="left" vertical="center"/>
    </xf>
    <xf numFmtId="169" fontId="12" fillId="0" borderId="0" xfId="9" applyNumberFormat="1" applyFont="1" applyBorder="1" applyAlignment="1">
      <alignment horizontal="right"/>
    </xf>
    <xf numFmtId="7" fontId="12"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wrapText="1"/>
    </xf>
    <xf numFmtId="169" fontId="12" fillId="0" borderId="1" xfId="9" applyNumberFormat="1" applyFont="1" applyFill="1" applyBorder="1" applyAlignment="1">
      <alignment horizontal="right"/>
    </xf>
    <xf numFmtId="169" fontId="11" fillId="0" borderId="1" xfId="9" applyNumberFormat="1" applyFont="1" applyBorder="1" applyAlignment="1">
      <alignment horizontal="right"/>
    </xf>
    <xf numFmtId="169" fontId="11" fillId="0" borderId="0" xfId="0" applyNumberFormat="1" applyFont="1" applyFill="1" applyBorder="1" applyAlignment="1">
      <alignment horizontal="right"/>
    </xf>
    <xf numFmtId="169" fontId="12" fillId="0" borderId="1" xfId="9" applyNumberFormat="1" applyFont="1" applyBorder="1" applyAlignment="1">
      <alignment horizontal="right"/>
    </xf>
    <xf numFmtId="169" fontId="12" fillId="0" borderId="0" xfId="0" applyNumberFormat="1" applyFont="1" applyFill="1" applyBorder="1" applyAlignment="1">
      <alignment horizontal="right"/>
    </xf>
    <xf numFmtId="0" fontId="1" fillId="0" borderId="0" xfId="0" applyFont="1" applyFill="1" applyBorder="1"/>
    <xf numFmtId="172" fontId="1" fillId="0" borderId="0" xfId="9" applyNumberFormat="1" applyFont="1" applyFill="1" applyBorder="1" applyAlignment="1">
      <alignment horizontal="right"/>
    </xf>
    <xf numFmtId="172" fontId="1" fillId="0" borderId="0" xfId="9" applyNumberFormat="1" applyFont="1" applyBorder="1"/>
    <xf numFmtId="169" fontId="1" fillId="0" borderId="0" xfId="0" applyNumberFormat="1" applyFont="1" applyFill="1" applyBorder="1" applyAlignment="1">
      <alignment horizontal="right"/>
    </xf>
    <xf numFmtId="169" fontId="9" fillId="0" borderId="0" xfId="0" applyNumberFormat="1" applyFont="1" applyFill="1" applyBorder="1" applyAlignment="1">
      <alignment horizontal="right"/>
    </xf>
    <xf numFmtId="165" fontId="15" fillId="0" borderId="0" xfId="0" applyNumberFormat="1" applyFont="1" applyBorder="1" applyAlignment="1">
      <alignment horizontal="center" vertical="top" wrapText="1"/>
    </xf>
    <xf numFmtId="165" fontId="11" fillId="0" borderId="0" xfId="0" applyNumberFormat="1" applyFont="1" applyBorder="1" applyAlignment="1">
      <alignment horizontal="center" wrapText="1"/>
    </xf>
    <xf numFmtId="165" fontId="1" fillId="0" borderId="0" xfId="0" applyNumberFormat="1" applyFont="1" applyBorder="1" applyAlignment="1">
      <alignment horizontal="right"/>
    </xf>
    <xf numFmtId="0" fontId="1" fillId="0" borderId="0" xfId="0" applyFont="1" applyBorder="1" applyAlignment="1">
      <alignment horizontal="right"/>
    </xf>
    <xf numFmtId="164" fontId="1" fillId="0" borderId="0" xfId="0" applyNumberFormat="1" applyFont="1" applyBorder="1" applyAlignment="1">
      <alignment horizontal="right"/>
    </xf>
    <xf numFmtId="164" fontId="11" fillId="0" borderId="1" xfId="0" applyNumberFormat="1" applyFont="1" applyBorder="1" applyAlignment="1">
      <alignment horizontal="center" wrapText="1"/>
    </xf>
    <xf numFmtId="164" fontId="11" fillId="0" borderId="23" xfId="0" applyNumberFormat="1" applyFont="1" applyBorder="1" applyAlignment="1">
      <alignment horizontal="center" wrapText="1"/>
    </xf>
    <xf numFmtId="164" fontId="11" fillId="0" borderId="0" xfId="0" applyNumberFormat="1" applyFont="1" applyBorder="1" applyAlignment="1">
      <alignment wrapText="1"/>
    </xf>
    <xf numFmtId="7" fontId="12" fillId="0" borderId="1" xfId="0" applyNumberFormat="1" applyFont="1" applyBorder="1"/>
    <xf numFmtId="7" fontId="11" fillId="0" borderId="0"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5" fontId="5" fillId="0" borderId="0" xfId="0" applyNumberFormat="1" applyFont="1" applyBorder="1"/>
    <xf numFmtId="169" fontId="1" fillId="0" borderId="0" xfId="0" applyNumberFormat="1" applyFont="1" applyBorder="1" applyAlignment="1">
      <alignment horizontal="right"/>
    </xf>
    <xf numFmtId="169" fontId="1" fillId="0" borderId="0" xfId="0" applyNumberFormat="1" applyFont="1" applyBorder="1"/>
    <xf numFmtId="0" fontId="11" fillId="0" borderId="56" xfId="0" applyFont="1" applyFill="1" applyBorder="1" applyAlignment="1">
      <alignment horizontal="center" vertical="center" wrapText="1"/>
    </xf>
    <xf numFmtId="165" fontId="1" fillId="0" borderId="0" xfId="0" applyNumberFormat="1" applyFont="1"/>
    <xf numFmtId="169" fontId="12" fillId="0" borderId="0" xfId="9" applyNumberFormat="1" applyFont="1" applyBorder="1" applyAlignment="1">
      <alignment horizontal="right" wrapText="1"/>
    </xf>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0" xfId="0" applyFont="1" applyAlignment="1">
      <alignment wrapText="1"/>
    </xf>
    <xf numFmtId="0" fontId="31" fillId="0" borderId="0" xfId="0" applyFont="1"/>
    <xf numFmtId="43" fontId="1" fillId="0" borderId="0" xfId="0" applyNumberFormat="1" applyFont="1"/>
    <xf numFmtId="172" fontId="28" fillId="0" borderId="0" xfId="0" applyNumberFormat="1" applyFont="1" applyAlignment="1">
      <alignment horizontal="left"/>
    </xf>
    <xf numFmtId="0" fontId="16" fillId="6" borderId="19" xfId="0" applyFont="1" applyFill="1" applyBorder="1"/>
    <xf numFmtId="0" fontId="32" fillId="0" borderId="0" xfId="0" applyFont="1"/>
    <xf numFmtId="0" fontId="33" fillId="0" borderId="0" xfId="0" applyFont="1"/>
    <xf numFmtId="0" fontId="11" fillId="14" borderId="1" xfId="0" applyFont="1" applyFill="1" applyBorder="1" applyAlignment="1">
      <alignment horizontal="center" vertical="center" wrapText="1"/>
    </xf>
    <xf numFmtId="0" fontId="5" fillId="0" borderId="0" xfId="0" applyFont="1" applyBorder="1" applyAlignment="1">
      <alignment horizontal="center" wrapText="1"/>
    </xf>
    <xf numFmtId="172" fontId="12" fillId="0" borderId="1" xfId="9" applyNumberFormat="1" applyFont="1" applyBorder="1"/>
    <xf numFmtId="164" fontId="12" fillId="0" borderId="1" xfId="9" applyNumberFormat="1" applyFont="1" applyFill="1" applyBorder="1"/>
    <xf numFmtId="164" fontId="12" fillId="14" borderId="1" xfId="1" applyNumberFormat="1" applyFont="1" applyFill="1" applyBorder="1" applyAlignment="1">
      <alignment horizontal="right"/>
    </xf>
    <xf numFmtId="179" fontId="9" fillId="0" borderId="0" xfId="0" applyNumberFormat="1" applyFont="1" applyBorder="1" applyAlignment="1"/>
    <xf numFmtId="165" fontId="1" fillId="0" borderId="0" xfId="0" applyNumberFormat="1" applyFont="1" applyBorder="1"/>
    <xf numFmtId="172" fontId="12" fillId="0" borderId="1" xfId="9" applyNumberFormat="1" applyFont="1" applyBorder="1" applyAlignment="1">
      <alignment horizontal="right"/>
    </xf>
    <xf numFmtId="164" fontId="12" fillId="0" borderId="1" xfId="9" applyNumberFormat="1" applyFont="1" applyBorder="1"/>
    <xf numFmtId="164" fontId="12" fillId="0" borderId="1" xfId="9" applyNumberFormat="1" applyFont="1" applyBorder="1" applyAlignment="1">
      <alignment horizontal="right"/>
    </xf>
    <xf numFmtId="0" fontId="12" fillId="0" borderId="1" xfId="0" applyFont="1" applyFill="1" applyBorder="1" applyAlignment="1">
      <alignment horizontal="left"/>
    </xf>
    <xf numFmtId="172" fontId="12" fillId="0" borderId="0" xfId="9" applyNumberFormat="1" applyFont="1" applyBorder="1" applyAlignment="1">
      <alignment horizontal="center"/>
    </xf>
    <xf numFmtId="0" fontId="1" fillId="0" borderId="0" xfId="0" applyFont="1" applyFill="1" applyBorder="1" applyAlignment="1">
      <alignment horizontal="left"/>
    </xf>
    <xf numFmtId="169" fontId="1" fillId="0" borderId="0" xfId="0" applyNumberFormat="1" applyFont="1" applyBorder="1" applyAlignment="1">
      <alignment horizontal="left"/>
    </xf>
    <xf numFmtId="172" fontId="1" fillId="0" borderId="0" xfId="9" applyNumberFormat="1" applyFont="1" applyBorder="1" applyAlignment="1">
      <alignment horizontal="center"/>
    </xf>
    <xf numFmtId="164" fontId="1" fillId="0" borderId="0" xfId="0" applyNumberFormat="1" applyFont="1" applyAlignment="1">
      <alignment horizontal="left"/>
    </xf>
    <xf numFmtId="0" fontId="6" fillId="0" borderId="0" xfId="0" applyFont="1"/>
    <xf numFmtId="0" fontId="34" fillId="0" borderId="0" xfId="0" applyFont="1"/>
    <xf numFmtId="0" fontId="36" fillId="0" borderId="0" xfId="0" applyFont="1"/>
    <xf numFmtId="165" fontId="36" fillId="0" borderId="19" xfId="0" applyNumberFormat="1" applyFont="1" applyBorder="1" applyAlignment="1">
      <alignment horizontal="center" vertical="center" wrapText="1"/>
    </xf>
    <xf numFmtId="165" fontId="36" fillId="0" borderId="19" xfId="0" applyNumberFormat="1" applyFont="1" applyBorder="1" applyAlignment="1">
      <alignment horizontal="center" vertical="center"/>
    </xf>
    <xf numFmtId="165" fontId="12" fillId="0" borderId="19" xfId="0" applyNumberFormat="1" applyFont="1" applyBorder="1" applyAlignment="1">
      <alignment horizontal="center" vertical="center"/>
    </xf>
    <xf numFmtId="165" fontId="12" fillId="0" borderId="41" xfId="0" applyNumberFormat="1" applyFont="1" applyBorder="1" applyAlignment="1">
      <alignment horizontal="center" vertical="center"/>
    </xf>
    <xf numFmtId="0" fontId="30" fillId="0" borderId="0" xfId="0" applyFont="1" applyAlignment="1">
      <alignment vertical="top"/>
    </xf>
    <xf numFmtId="0" fontId="37" fillId="0" borderId="1" xfId="0" applyNumberFormat="1"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164" fontId="12" fillId="0" borderId="1" xfId="0" applyNumberFormat="1" applyFont="1" applyBorder="1" applyAlignment="1">
      <alignment horizontal="right"/>
    </xf>
    <xf numFmtId="165" fontId="12" fillId="0" borderId="1" xfId="10" applyNumberFormat="1" applyFont="1" applyBorder="1" applyAlignment="1">
      <alignment horizontal="right"/>
    </xf>
    <xf numFmtId="165" fontId="12" fillId="0" borderId="23" xfId="10" applyNumberFormat="1" applyFont="1" applyBorder="1" applyAlignment="1">
      <alignment horizontal="right"/>
    </xf>
    <xf numFmtId="165" fontId="12" fillId="0" borderId="1" xfId="3" applyNumberFormat="1" applyFont="1" applyBorder="1" applyAlignment="1">
      <alignment horizontal="right"/>
    </xf>
    <xf numFmtId="169" fontId="12" fillId="0" borderId="26" xfId="0" applyNumberFormat="1" applyFont="1" applyBorder="1" applyAlignment="1">
      <alignment horizontal="right"/>
    </xf>
    <xf numFmtId="165" fontId="38" fillId="3" borderId="1" xfId="0" applyNumberFormat="1" applyFont="1" applyFill="1" applyBorder="1" applyAlignment="1">
      <alignment horizontal="right"/>
    </xf>
    <xf numFmtId="164" fontId="11" fillId="0" borderId="1" xfId="0" applyNumberFormat="1" applyFont="1" applyBorder="1" applyAlignment="1">
      <alignment horizontal="right"/>
    </xf>
    <xf numFmtId="165" fontId="11" fillId="0" borderId="1" xfId="10" applyNumberFormat="1" applyFont="1" applyBorder="1" applyAlignment="1">
      <alignment horizontal="right"/>
    </xf>
    <xf numFmtId="44" fontId="11" fillId="0" borderId="1" xfId="10" applyFont="1" applyBorder="1" applyAlignment="1">
      <alignment horizontal="right"/>
    </xf>
    <xf numFmtId="44" fontId="1" fillId="0" borderId="0" xfId="3" applyFont="1" applyBorder="1"/>
    <xf numFmtId="44" fontId="1" fillId="0" borderId="0" xfId="0" applyNumberFormat="1" applyFont="1" applyBorder="1"/>
    <xf numFmtId="44" fontId="1" fillId="0" borderId="0" xfId="3" applyFont="1"/>
    <xf numFmtId="44" fontId="1" fillId="0" borderId="0" xfId="0" applyNumberFormat="1" applyFont="1"/>
    <xf numFmtId="167" fontId="1" fillId="0" borderId="0" xfId="0" applyNumberFormat="1" applyFont="1"/>
    <xf numFmtId="178" fontId="1" fillId="0" borderId="0" xfId="0" applyNumberFormat="1" applyFont="1"/>
    <xf numFmtId="169" fontId="1" fillId="0" borderId="0" xfId="0" applyNumberFormat="1" applyFont="1"/>
    <xf numFmtId="172" fontId="1" fillId="0" borderId="0" xfId="0" applyNumberFormat="1" applyFont="1"/>
    <xf numFmtId="177" fontId="1" fillId="0" borderId="0" xfId="0" applyNumberFormat="1" applyFont="1"/>
    <xf numFmtId="176" fontId="1" fillId="0" borderId="0" xfId="0" applyNumberFormat="1" applyFont="1"/>
    <xf numFmtId="165" fontId="12" fillId="3" borderId="1" xfId="10" applyNumberFormat="1" applyFont="1" applyFill="1" applyBorder="1" applyAlignment="1">
      <alignment horizontal="right"/>
    </xf>
    <xf numFmtId="10" fontId="12" fillId="0" borderId="0" xfId="12" applyNumberFormat="1" applyFont="1" applyFill="1" applyBorder="1" applyAlignment="1">
      <alignment horizontal="right"/>
    </xf>
    <xf numFmtId="165" fontId="12" fillId="0" borderId="13" xfId="0" applyNumberFormat="1" applyFont="1" applyBorder="1" applyAlignment="1">
      <alignment horizontal="right" vertical="center"/>
    </xf>
    <xf numFmtId="165" fontId="12" fillId="0" borderId="0" xfId="0" quotePrefix="1" applyNumberFormat="1" applyFont="1" applyFill="1" applyBorder="1"/>
    <xf numFmtId="0" fontId="11" fillId="12" borderId="1" xfId="0" applyFont="1" applyFill="1" applyBorder="1" applyAlignment="1">
      <alignment horizontal="center" vertical="center" wrapText="1"/>
    </xf>
    <xf numFmtId="165" fontId="12" fillId="10" borderId="1" xfId="9" applyNumberFormat="1" applyFont="1" applyFill="1" applyBorder="1"/>
    <xf numFmtId="169" fontId="12" fillId="10" borderId="1" xfId="9" applyNumberFormat="1" applyFont="1" applyFill="1" applyBorder="1"/>
    <xf numFmtId="0" fontId="11" fillId="2" borderId="1" xfId="0" applyFont="1" applyFill="1" applyBorder="1" applyAlignment="1">
      <alignment horizontal="center" vertical="center" wrapText="1"/>
    </xf>
    <xf numFmtId="0" fontId="11" fillId="2" borderId="23" xfId="0" applyFont="1" applyFill="1" applyBorder="1" applyAlignment="1">
      <alignment horizontal="center" vertical="center" wrapText="1"/>
    </xf>
    <xf numFmtId="165" fontId="12" fillId="2" borderId="23" xfId="0" applyNumberFormat="1" applyFont="1" applyFill="1" applyBorder="1" applyAlignment="1">
      <alignment vertical="center"/>
    </xf>
    <xf numFmtId="0" fontId="14" fillId="0" borderId="0" xfId="0" applyFont="1" applyBorder="1" applyAlignment="1">
      <alignment vertical="center"/>
    </xf>
    <xf numFmtId="172" fontId="12" fillId="10" borderId="1" xfId="9" applyNumberFormat="1" applyFont="1" applyFill="1" applyBorder="1" applyAlignment="1">
      <alignment vertical="center"/>
    </xf>
    <xf numFmtId="165" fontId="12" fillId="10" borderId="1" xfId="9" applyNumberFormat="1" applyFont="1" applyFill="1" applyBorder="1" applyAlignment="1">
      <alignment vertical="center"/>
    </xf>
    <xf numFmtId="165" fontId="12" fillId="2" borderId="1" xfId="9" applyNumberFormat="1" applyFont="1" applyFill="1" applyBorder="1" applyAlignment="1">
      <alignment vertical="center"/>
    </xf>
    <xf numFmtId="172" fontId="11" fillId="10" borderId="56" xfId="0" applyNumberFormat="1" applyFont="1" applyFill="1" applyBorder="1" applyAlignment="1">
      <alignment vertical="center"/>
    </xf>
    <xf numFmtId="0" fontId="12" fillId="0" borderId="0" xfId="0" applyFont="1" applyBorder="1" applyAlignment="1">
      <alignment vertical="center"/>
    </xf>
    <xf numFmtId="169" fontId="12" fillId="2" borderId="1" xfId="9" applyNumberFormat="1" applyFont="1" applyFill="1" applyBorder="1"/>
    <xf numFmtId="172" fontId="12" fillId="0" borderId="0" xfId="9" applyNumberFormat="1" applyFont="1" applyFill="1" applyBorder="1"/>
    <xf numFmtId="172" fontId="11" fillId="10" borderId="23" xfId="9" applyNumberFormat="1" applyFont="1" applyFill="1" applyBorder="1" applyAlignment="1">
      <alignment horizontal="center" wrapText="1"/>
    </xf>
    <xf numFmtId="172" fontId="11" fillId="2" borderId="1" xfId="9" applyNumberFormat="1" applyFont="1" applyFill="1" applyBorder="1" applyAlignment="1">
      <alignment horizontal="center" wrapText="1"/>
    </xf>
    <xf numFmtId="0" fontId="12" fillId="12" borderId="23" xfId="0" applyFont="1" applyFill="1" applyBorder="1" applyAlignment="1">
      <alignment horizontal="center"/>
    </xf>
    <xf numFmtId="169" fontId="12" fillId="0" borderId="0" xfId="9" applyNumberFormat="1" applyFont="1" applyFill="1" applyBorder="1"/>
    <xf numFmtId="0" fontId="13" fillId="0" borderId="0" xfId="0" applyFont="1" applyBorder="1" applyAlignment="1">
      <alignment vertical="center"/>
    </xf>
    <xf numFmtId="0" fontId="21" fillId="0" borderId="1" xfId="0" applyFont="1" applyFill="1" applyBorder="1" applyAlignment="1">
      <alignment horizontal="center" vertical="top" wrapText="1"/>
    </xf>
    <xf numFmtId="0" fontId="21" fillId="0" borderId="1" xfId="0" applyFont="1" applyBorder="1" applyAlignment="1">
      <alignment horizontal="left" vertical="center" wrapText="1"/>
    </xf>
    <xf numFmtId="0" fontId="21" fillId="0" borderId="1" xfId="0" applyFont="1" applyBorder="1" applyAlignment="1">
      <alignment horizontal="center" vertical="top" wrapText="1"/>
    </xf>
    <xf numFmtId="0" fontId="21" fillId="15" borderId="1" xfId="0" applyNumberFormat="1" applyFont="1" applyFill="1" applyBorder="1" applyAlignment="1">
      <alignment horizontal="center" vertical="center" wrapText="1"/>
    </xf>
    <xf numFmtId="0" fontId="21" fillId="16" borderId="1" xfId="0" applyNumberFormat="1"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9" fillId="15" borderId="1" xfId="0" applyFont="1" applyFill="1" applyBorder="1" applyAlignment="1">
      <alignment vertical="center"/>
    </xf>
    <xf numFmtId="167" fontId="39" fillId="16" borderId="1" xfId="0" applyNumberFormat="1" applyFont="1" applyFill="1" applyBorder="1" applyAlignment="1">
      <alignment vertical="center"/>
    </xf>
    <xf numFmtId="172" fontId="39" fillId="12" borderId="1" xfId="9" applyNumberFormat="1" applyFont="1" applyFill="1" applyBorder="1" applyAlignment="1">
      <alignment vertical="center"/>
    </xf>
    <xf numFmtId="165" fontId="39" fillId="18" borderId="1" xfId="10" applyNumberFormat="1" applyFont="1" applyFill="1" applyBorder="1" applyAlignment="1">
      <alignment vertical="center"/>
    </xf>
    <xf numFmtId="178" fontId="39" fillId="11" borderId="1" xfId="10" applyNumberFormat="1" applyFont="1" applyFill="1" applyBorder="1" applyAlignment="1">
      <alignment vertical="center"/>
    </xf>
    <xf numFmtId="178" fontId="39" fillId="10" borderId="1" xfId="10" applyNumberFormat="1" applyFont="1" applyFill="1" applyBorder="1" applyAlignment="1">
      <alignment vertical="center"/>
    </xf>
    <xf numFmtId="0" fontId="16" fillId="0" borderId="0" xfId="0" applyFont="1" applyBorder="1" applyAlignment="1">
      <alignment vertical="center"/>
    </xf>
    <xf numFmtId="0" fontId="39" fillId="0" borderId="0" xfId="0" applyFont="1" applyAlignment="1">
      <alignment vertical="center"/>
    </xf>
    <xf numFmtId="172" fontId="21" fillId="0" borderId="1" xfId="9" applyNumberFormat="1" applyFont="1" applyBorder="1" applyAlignment="1">
      <alignment vertical="center"/>
    </xf>
    <xf numFmtId="181" fontId="39" fillId="0" borderId="0" xfId="0" applyNumberFormat="1" applyFont="1" applyAlignment="1">
      <alignment vertical="center"/>
    </xf>
    <xf numFmtId="169" fontId="17" fillId="0" borderId="0" xfId="9" applyNumberFormat="1" applyFont="1" applyBorder="1" applyAlignment="1"/>
    <xf numFmtId="165" fontId="12" fillId="0" borderId="1" xfId="9" applyNumberFormat="1" applyFont="1" applyBorder="1" applyAlignment="1">
      <alignment horizontal="right"/>
    </xf>
    <xf numFmtId="165" fontId="12" fillId="3" borderId="1" xfId="9" applyNumberFormat="1" applyFont="1" applyFill="1" applyBorder="1" applyAlignment="1">
      <alignment horizontal="right"/>
    </xf>
    <xf numFmtId="169" fontId="12" fillId="0" borderId="42" xfId="0" applyNumberFormat="1" applyFont="1" applyFill="1" applyBorder="1" applyAlignment="1">
      <alignment horizontal="right"/>
    </xf>
    <xf numFmtId="169" fontId="12" fillId="0" borderId="42" xfId="9" applyNumberFormat="1" applyFont="1" applyBorder="1" applyAlignment="1">
      <alignment horizontal="right"/>
    </xf>
    <xf numFmtId="182" fontId="12" fillId="0" borderId="0" xfId="0" applyNumberFormat="1" applyFont="1" applyBorder="1"/>
    <xf numFmtId="170" fontId="12" fillId="3" borderId="1" xfId="0" applyNumberFormat="1" applyFont="1" applyFill="1" applyBorder="1" applyAlignment="1">
      <alignment horizontal="right"/>
    </xf>
    <xf numFmtId="0" fontId="15" fillId="0" borderId="0" xfId="0" applyFont="1" applyBorder="1" applyAlignment="1">
      <alignment horizontal="center" wrapText="1"/>
    </xf>
    <xf numFmtId="167" fontId="12" fillId="0" borderId="1" xfId="0" applyNumberFormat="1" applyFont="1" applyBorder="1" applyAlignment="1"/>
    <xf numFmtId="183" fontId="0" fillId="0" borderId="0" xfId="0" applyNumberFormat="1"/>
    <xf numFmtId="172" fontId="12" fillId="2" borderId="23" xfId="1" applyNumberFormat="1" applyFont="1" applyFill="1" applyBorder="1" applyAlignment="1">
      <alignment vertical="center"/>
    </xf>
    <xf numFmtId="172" fontId="11" fillId="2" borderId="1" xfId="1" applyNumberFormat="1" applyFont="1" applyFill="1" applyBorder="1" applyAlignment="1">
      <alignment vertical="center"/>
    </xf>
    <xf numFmtId="172" fontId="12" fillId="2" borderId="1" xfId="1" applyNumberFormat="1" applyFont="1" applyFill="1" applyBorder="1" applyAlignment="1">
      <alignment vertical="center"/>
    </xf>
    <xf numFmtId="0" fontId="40" fillId="0" borderId="12" xfId="0" applyFont="1" applyBorder="1" applyAlignment="1">
      <alignment vertical="top"/>
    </xf>
    <xf numFmtId="0" fontId="41" fillId="0" borderId="56" xfId="0" applyFont="1" applyBorder="1" applyAlignment="1">
      <alignment vertical="top" wrapText="1"/>
    </xf>
    <xf numFmtId="0" fontId="41" fillId="0" borderId="1" xfId="0" applyFont="1" applyBorder="1" applyAlignment="1">
      <alignment vertical="top" wrapText="1"/>
    </xf>
    <xf numFmtId="0" fontId="41" fillId="0" borderId="1" xfId="0" applyFont="1" applyBorder="1"/>
    <xf numFmtId="0" fontId="42" fillId="0" borderId="1" xfId="0" applyFont="1" applyFill="1" applyBorder="1" applyAlignment="1">
      <alignment vertical="top"/>
    </xf>
    <xf numFmtId="0" fontId="42" fillId="0" borderId="1" xfId="0" applyFont="1" applyBorder="1" applyAlignment="1">
      <alignment vertical="top"/>
    </xf>
    <xf numFmtId="0" fontId="40" fillId="0" borderId="49" xfId="0" applyFont="1" applyBorder="1" applyAlignment="1">
      <alignment horizontal="center" vertical="top"/>
    </xf>
    <xf numFmtId="165" fontId="0" fillId="0" borderId="1" xfId="3" applyNumberFormat="1" applyFont="1" applyBorder="1" applyAlignment="1">
      <alignment horizontal="center"/>
    </xf>
    <xf numFmtId="0" fontId="0" fillId="0" borderId="0" xfId="0" applyFill="1" applyAlignment="1"/>
    <xf numFmtId="0" fontId="11" fillId="0" borderId="0" xfId="0" applyFont="1" applyFill="1" applyBorder="1" applyAlignment="1">
      <alignment horizontal="center" vertical="center"/>
    </xf>
    <xf numFmtId="180" fontId="0" fillId="0" borderId="0" xfId="0" applyNumberFormat="1" applyFill="1" applyBorder="1"/>
    <xf numFmtId="175" fontId="0" fillId="0" borderId="0" xfId="0" applyNumberFormat="1" applyFill="1" applyBorder="1"/>
    <xf numFmtId="171" fontId="0" fillId="0" borderId="0" xfId="0" applyNumberFormat="1" applyFill="1" applyBorder="1"/>
    <xf numFmtId="168" fontId="0" fillId="0" borderId="0" xfId="0" applyNumberFormat="1" applyFill="1" applyBorder="1"/>
    <xf numFmtId="0" fontId="11" fillId="0" borderId="0" xfId="0" applyFont="1" applyFill="1" applyBorder="1" applyAlignment="1">
      <alignment vertical="center" wrapText="1"/>
    </xf>
    <xf numFmtId="0" fontId="1" fillId="19" borderId="0" xfId="0" applyFont="1" applyFill="1"/>
    <xf numFmtId="165" fontId="12" fillId="0" borderId="57" xfId="0" applyNumberFormat="1" applyFont="1" applyBorder="1" applyAlignment="1">
      <alignment horizontal="right" vertical="center"/>
    </xf>
    <xf numFmtId="165" fontId="12" fillId="0" borderId="56" xfId="0" applyNumberFormat="1" applyFont="1" applyBorder="1" applyAlignment="1">
      <alignment horizontal="right" vertical="center"/>
    </xf>
    <xf numFmtId="165" fontId="12" fillId="0" borderId="58" xfId="0" applyNumberFormat="1" applyFont="1" applyBorder="1" applyAlignment="1">
      <alignment horizontal="right" vertical="center"/>
    </xf>
    <xf numFmtId="0" fontId="11" fillId="0" borderId="56" xfId="0" applyFont="1" applyBorder="1" applyAlignment="1">
      <alignment horizontal="center" vertical="center" wrapText="1"/>
    </xf>
    <xf numFmtId="0" fontId="21" fillId="0" borderId="1" xfId="0" applyFont="1" applyBorder="1" applyAlignment="1">
      <alignment horizontal="left" vertical="center" wrapText="1"/>
    </xf>
    <xf numFmtId="0" fontId="11" fillId="12" borderId="1" xfId="0" applyNumberFormat="1" applyFont="1" applyFill="1" applyBorder="1" applyAlignment="1">
      <alignment horizontal="center" vertical="center" wrapText="1"/>
    </xf>
    <xf numFmtId="0" fontId="11" fillId="10" borderId="23"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6"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72" fontId="11" fillId="10" borderId="21" xfId="9" applyNumberFormat="1" applyFont="1" applyFill="1" applyBorder="1" applyAlignment="1">
      <alignment horizontal="center" vertical="center" wrapText="1"/>
    </xf>
    <xf numFmtId="172" fontId="11" fillId="10" borderId="56" xfId="9" applyNumberFormat="1" applyFont="1" applyFill="1" applyBorder="1" applyAlignment="1">
      <alignment horizontal="center" vertical="center" wrapText="1"/>
    </xf>
    <xf numFmtId="0" fontId="1" fillId="0" borderId="0" xfId="0" applyFont="1" applyAlignment="1">
      <alignment horizontal="left"/>
    </xf>
    <xf numFmtId="0" fontId="0" fillId="0" borderId="0" xfId="0" applyAlignment="1">
      <alignment horizontal="left" wrapText="1"/>
    </xf>
    <xf numFmtId="0" fontId="16" fillId="9" borderId="1" xfId="0" applyFont="1" applyFill="1" applyBorder="1" applyAlignment="1">
      <alignment horizontal="center"/>
    </xf>
    <xf numFmtId="0" fontId="16" fillId="6" borderId="19" xfId="0" applyFont="1" applyFill="1" applyBorder="1" applyAlignment="1">
      <alignment horizontal="center" vertical="center"/>
    </xf>
    <xf numFmtId="0" fontId="16" fillId="5" borderId="1" xfId="0" applyFont="1" applyFill="1" applyBorder="1" applyAlignment="1">
      <alignment horizontal="center"/>
    </xf>
    <xf numFmtId="0" fontId="0" fillId="0" borderId="0" xfId="0" applyFill="1" applyBorder="1" applyAlignment="1">
      <alignment horizontal="center"/>
    </xf>
    <xf numFmtId="0" fontId="16" fillId="8" borderId="23" xfId="0" applyFont="1" applyFill="1" applyBorder="1" applyAlignment="1">
      <alignment horizontal="center"/>
    </xf>
    <xf numFmtId="0" fontId="16" fillId="8" borderId="26" xfId="0" applyFont="1" applyFill="1" applyBorder="1" applyAlignment="1">
      <alignment horizontal="center"/>
    </xf>
    <xf numFmtId="0" fontId="0" fillId="0" borderId="0" xfId="0" applyBorder="1" applyAlignment="1">
      <alignment horizontal="center"/>
    </xf>
    <xf numFmtId="0" fontId="16" fillId="4" borderId="41" xfId="0" applyFont="1" applyFill="1" applyBorder="1" applyAlignment="1">
      <alignment horizontal="center"/>
    </xf>
    <xf numFmtId="0" fontId="16" fillId="4" borderId="44" xfId="0" applyFont="1" applyFill="1" applyBorder="1" applyAlignment="1">
      <alignment horizontal="center"/>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1" fillId="0" borderId="16" xfId="0" applyFont="1" applyFill="1" applyBorder="1" applyAlignment="1">
      <alignment horizontal="right"/>
    </xf>
    <xf numFmtId="0" fontId="11" fillId="0" borderId="40" xfId="0" applyFont="1" applyFill="1" applyBorder="1" applyAlignment="1">
      <alignment horizontal="right"/>
    </xf>
    <xf numFmtId="0" fontId="11" fillId="0" borderId="28" xfId="0" applyFont="1" applyFill="1" applyBorder="1" applyAlignment="1">
      <alignment horizontal="right"/>
    </xf>
    <xf numFmtId="0" fontId="11" fillId="0" borderId="5" xfId="0" applyFont="1" applyBorder="1" applyAlignment="1">
      <alignment horizontal="center"/>
    </xf>
    <xf numFmtId="0" fontId="11" fillId="0" borderId="7" xfId="0" applyFont="1" applyBorder="1" applyAlignment="1">
      <alignment horizontal="center"/>
    </xf>
    <xf numFmtId="0" fontId="16" fillId="5" borderId="1" xfId="0" applyFont="1" applyFill="1" applyBorder="1" applyAlignment="1">
      <alignment vertical="center" wrapText="1"/>
    </xf>
    <xf numFmtId="165" fontId="11" fillId="0" borderId="16" xfId="0" applyNumberFormat="1" applyFont="1" applyBorder="1" applyAlignment="1">
      <alignment horizontal="center" vertical="center"/>
    </xf>
    <xf numFmtId="165" fontId="11" fillId="0" borderId="40" xfId="0" applyNumberFormat="1" applyFont="1" applyBorder="1" applyAlignment="1">
      <alignment horizontal="center" vertical="center"/>
    </xf>
    <xf numFmtId="165" fontId="11" fillId="0" borderId="28" xfId="0" applyNumberFormat="1" applyFont="1" applyBorder="1" applyAlignment="1">
      <alignment horizontal="center" vertical="center"/>
    </xf>
    <xf numFmtId="0" fontId="16" fillId="6" borderId="20" xfId="0" applyFont="1" applyFill="1" applyBorder="1" applyAlignment="1">
      <alignment horizontal="center" vertical="center" wrapText="1"/>
    </xf>
    <xf numFmtId="0" fontId="23" fillId="6" borderId="43" xfId="0" applyFont="1" applyFill="1" applyBorder="1"/>
    <xf numFmtId="0" fontId="16" fillId="9" borderId="23" xfId="0" applyFont="1" applyFill="1" applyBorder="1" applyAlignment="1">
      <alignment horizontal="center"/>
    </xf>
    <xf numFmtId="0" fontId="16" fillId="9" borderId="27" xfId="0" applyFont="1" applyFill="1" applyBorder="1" applyAlignment="1">
      <alignment horizontal="center"/>
    </xf>
    <xf numFmtId="0" fontId="16" fillId="9" borderId="26" xfId="0" applyFont="1" applyFill="1" applyBorder="1" applyAlignment="1">
      <alignment horizontal="center"/>
    </xf>
    <xf numFmtId="0" fontId="16" fillId="6" borderId="23" xfId="0" applyFont="1" applyFill="1" applyBorder="1" applyAlignment="1">
      <alignment horizontal="center" vertical="center"/>
    </xf>
    <xf numFmtId="0" fontId="16" fillId="6" borderId="26" xfId="0" applyFont="1" applyFill="1" applyBorder="1" applyAlignment="1">
      <alignment horizontal="center" vertical="center"/>
    </xf>
    <xf numFmtId="0" fontId="16" fillId="13" borderId="23" xfId="0" applyFont="1" applyFill="1" applyBorder="1" applyAlignment="1">
      <alignment horizontal="left"/>
    </xf>
    <xf numFmtId="0" fontId="16" fillId="13" borderId="27" xfId="0" applyFont="1" applyFill="1" applyBorder="1" applyAlignment="1">
      <alignment horizontal="left"/>
    </xf>
    <xf numFmtId="0" fontId="16" fillId="13" borderId="26" xfId="0" applyFont="1" applyFill="1" applyBorder="1" applyAlignment="1">
      <alignment horizontal="left"/>
    </xf>
    <xf numFmtId="0" fontId="16" fillId="7" borderId="23" xfId="0" applyFont="1" applyFill="1" applyBorder="1" applyAlignment="1">
      <alignment horizontal="left"/>
    </xf>
    <xf numFmtId="0" fontId="16" fillId="7" borderId="27" xfId="0" applyFont="1" applyFill="1" applyBorder="1" applyAlignment="1">
      <alignment horizontal="left"/>
    </xf>
    <xf numFmtId="0" fontId="16" fillId="7" borderId="26" xfId="0" applyFont="1" applyFill="1" applyBorder="1" applyAlignment="1">
      <alignment horizontal="left"/>
    </xf>
    <xf numFmtId="0" fontId="16" fillId="4" borderId="23" xfId="0" applyFont="1" applyFill="1" applyBorder="1"/>
    <xf numFmtId="0" fontId="16" fillId="4" borderId="26" xfId="0" applyFont="1" applyFill="1" applyBorder="1"/>
    <xf numFmtId="43" fontId="17" fillId="0" borderId="42" xfId="1" applyFont="1" applyFill="1" applyBorder="1" applyAlignment="1">
      <alignment horizontal="center" wrapText="1"/>
    </xf>
    <xf numFmtId="0" fontId="11" fillId="0" borderId="1" xfId="0" applyFont="1" applyBorder="1" applyAlignment="1">
      <alignment horizontal="center"/>
    </xf>
    <xf numFmtId="0" fontId="11" fillId="0" borderId="1" xfId="0" applyFont="1" applyFill="1" applyBorder="1" applyAlignment="1">
      <alignment horizontal="right"/>
    </xf>
    <xf numFmtId="0" fontId="35" fillId="0" borderId="1" xfId="0" applyFont="1" applyBorder="1" applyAlignment="1">
      <alignment horizontal="center" vertical="center"/>
    </xf>
    <xf numFmtId="0" fontId="35" fillId="0" borderId="23" xfId="0" applyFont="1" applyBorder="1" applyAlignment="1">
      <alignment horizontal="center" vertical="center"/>
    </xf>
    <xf numFmtId="0" fontId="16" fillId="5" borderId="19" xfId="0" applyFont="1" applyFill="1" applyBorder="1" applyAlignment="1">
      <alignment vertical="center" wrapText="1"/>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35" xfId="0" applyNumberFormat="1" applyFont="1" applyBorder="1" applyAlignment="1">
      <alignment horizontal="center" vertical="center"/>
    </xf>
    <xf numFmtId="0" fontId="39" fillId="0" borderId="0" xfId="0" applyFont="1" applyFill="1" applyBorder="1" applyAlignment="1">
      <alignment vertical="center"/>
    </xf>
  </cellXfs>
  <cellStyles count="13">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 name="Percent 2 2 2" xfId="12"/>
    <cellStyle name="Percent 2 3" xfId="11"/>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30"/>
  <sheetViews>
    <sheetView tabSelected="1" workbookViewId="0"/>
  </sheetViews>
  <sheetFormatPr defaultRowHeight="12.75" x14ac:dyDescent="0.2"/>
  <cols>
    <col min="1" max="1" width="14.28515625" customWidth="1"/>
    <col min="2" max="3" width="17.28515625" customWidth="1"/>
    <col min="4" max="4" width="20.42578125" customWidth="1"/>
    <col min="5" max="5" width="18.28515625" customWidth="1"/>
    <col min="6" max="6" width="20.7109375" customWidth="1"/>
  </cols>
  <sheetData>
    <row r="1" spans="1:6" ht="18.75" x14ac:dyDescent="0.2">
      <c r="A1" s="465" t="s">
        <v>312</v>
      </c>
      <c r="B1" s="465"/>
      <c r="C1" s="465"/>
      <c r="D1" s="465"/>
      <c r="E1" s="465"/>
      <c r="F1" s="465"/>
    </row>
    <row r="4" spans="1:6" ht="15.75" x14ac:dyDescent="0.2">
      <c r="A4" s="518" t="s">
        <v>299</v>
      </c>
      <c r="B4" s="518"/>
      <c r="C4" s="466">
        <v>1.117</v>
      </c>
    </row>
    <row r="5" spans="1:6" ht="15.75" x14ac:dyDescent="0.2">
      <c r="A5" s="467"/>
      <c r="B5" s="467"/>
      <c r="C5" s="468"/>
    </row>
    <row r="6" spans="1:6" ht="63" x14ac:dyDescent="0.2">
      <c r="A6" s="469" t="s">
        <v>7</v>
      </c>
      <c r="B6" s="470" t="s">
        <v>300</v>
      </c>
      <c r="C6" s="471" t="s">
        <v>301</v>
      </c>
      <c r="D6" s="472" t="s">
        <v>302</v>
      </c>
      <c r="E6" s="473" t="s">
        <v>303</v>
      </c>
      <c r="F6" s="474" t="s">
        <v>304</v>
      </c>
    </row>
    <row r="7" spans="1:6" ht="15.75" x14ac:dyDescent="0.2">
      <c r="A7" s="475" t="s">
        <v>16</v>
      </c>
      <c r="B7" s="476">
        <f>'3rd IA Load Pricing Results'!I42</f>
        <v>1.1280134406268225</v>
      </c>
      <c r="C7" s="477">
        <f>'UCAP Oblig.-ZCP'!F6</f>
        <v>2910.5792404461713</v>
      </c>
      <c r="D7" s="478">
        <f>'UCAP Oblig.-ZCP'!G6</f>
        <v>57.357146584344044</v>
      </c>
      <c r="E7" s="479">
        <f>'UCAP Oblig.-ZCP'!H6</f>
        <v>0.79852916894085701</v>
      </c>
      <c r="F7" s="480">
        <f>'UCAP Oblig.-ZCP'!I6</f>
        <v>56.558617415403184</v>
      </c>
    </row>
    <row r="8" spans="1:6" ht="15.75" x14ac:dyDescent="0.2">
      <c r="A8" s="475" t="s">
        <v>29</v>
      </c>
      <c r="B8" s="476">
        <f>'3rd IA Load Pricing Results'!I43</f>
        <v>1.1385724008703939</v>
      </c>
      <c r="C8" s="477">
        <f>'UCAP Oblig.-ZCP'!F7</f>
        <v>13931.518498004538</v>
      </c>
      <c r="D8" s="478">
        <f>'UCAP Oblig.-ZCP'!G7</f>
        <v>29.50457118031947</v>
      </c>
      <c r="E8" s="479">
        <f>'UCAP Oblig.-ZCP'!H7</f>
        <v>0</v>
      </c>
      <c r="F8" s="480">
        <f>'UCAP Oblig.-ZCP'!I7</f>
        <v>29.50457118031947</v>
      </c>
    </row>
    <row r="9" spans="1:6" ht="15.75" x14ac:dyDescent="0.2">
      <c r="A9" s="475" t="s">
        <v>19</v>
      </c>
      <c r="B9" s="476">
        <f>'3rd IA Load Pricing Results'!I44</f>
        <v>1.1386974608811549</v>
      </c>
      <c r="C9" s="477">
        <f>'UCAP Oblig.-ZCP'!F8</f>
        <v>10750.565024286283</v>
      </c>
      <c r="D9" s="478">
        <f>'UCAP Oblig.-ZCP'!G8</f>
        <v>29.50457118031947</v>
      </c>
      <c r="E9" s="479">
        <f>'UCAP Oblig.-ZCP'!H8</f>
        <v>0</v>
      </c>
      <c r="F9" s="480">
        <f>'UCAP Oblig.-ZCP'!I8</f>
        <v>29.50457118031947</v>
      </c>
    </row>
    <row r="10" spans="1:6" ht="15.75" x14ac:dyDescent="0.2">
      <c r="A10" s="475" t="s">
        <v>43</v>
      </c>
      <c r="B10" s="476">
        <f>'3rd IA Load Pricing Results'!I45</f>
        <v>1.1500937037199432</v>
      </c>
      <c r="C10" s="477">
        <f>'UCAP Oblig.-ZCP'!F9</f>
        <v>14837.76140448729</v>
      </c>
      <c r="D10" s="478">
        <f>'UCAP Oblig.-ZCP'!G9</f>
        <v>29.50457118031947</v>
      </c>
      <c r="E10" s="479">
        <f>'UCAP Oblig.-ZCP'!H9</f>
        <v>0</v>
      </c>
      <c r="F10" s="480">
        <f>'UCAP Oblig.-ZCP'!I9</f>
        <v>29.50457118031947</v>
      </c>
    </row>
    <row r="11" spans="1:6" ht="15.75" x14ac:dyDescent="0.2">
      <c r="A11" s="475" t="s">
        <v>11</v>
      </c>
      <c r="B11" s="476">
        <f>'3rd IA Load Pricing Results'!I46</f>
        <v>1.1156091637937937</v>
      </c>
      <c r="C11" s="477">
        <f>'UCAP Oblig.-ZCP'!F10</f>
        <v>7726.039702937539</v>
      </c>
      <c r="D11" s="478">
        <f>'UCAP Oblig.-ZCP'!G10</f>
        <v>76.755372728925764</v>
      </c>
      <c r="E11" s="479">
        <f>'UCAP Oblig.-ZCP'!H10</f>
        <v>15.220825298803856</v>
      </c>
      <c r="F11" s="480">
        <f>'UCAP Oblig.-ZCP'!I10</f>
        <v>61.534547430121904</v>
      </c>
    </row>
    <row r="12" spans="1:6" ht="15.75" x14ac:dyDescent="0.2">
      <c r="A12" s="475" t="s">
        <v>20</v>
      </c>
      <c r="B12" s="476">
        <f>'3rd IA Load Pricing Results'!I47</f>
        <v>1.1156248314742754</v>
      </c>
      <c r="C12" s="477">
        <f>'UCAP Oblig.-ZCP'!F11</f>
        <v>23327.982976086652</v>
      </c>
      <c r="D12" s="478">
        <f>'UCAP Oblig.-ZCP'!G11</f>
        <v>29.50457118031947</v>
      </c>
      <c r="E12" s="479">
        <f>'UCAP Oblig.-ZCP'!H11</f>
        <v>0</v>
      </c>
      <c r="F12" s="480">
        <f>'UCAP Oblig.-ZCP'!I11</f>
        <v>29.50457118031947</v>
      </c>
    </row>
    <row r="13" spans="1:6" ht="15.75" x14ac:dyDescent="0.2">
      <c r="A13" s="475" t="s">
        <v>21</v>
      </c>
      <c r="B13" s="476">
        <f>'3rd IA Load Pricing Results'!I48</f>
        <v>1.1063413352632685</v>
      </c>
      <c r="C13" s="477">
        <f>'UCAP Oblig.-ZCP'!F12</f>
        <v>3880.3594724756827</v>
      </c>
      <c r="D13" s="478">
        <f>'UCAP Oblig.-ZCP'!G12</f>
        <v>29.50457118031947</v>
      </c>
      <c r="E13" s="479">
        <f>'UCAP Oblig.-ZCP'!H12</f>
        <v>0</v>
      </c>
      <c r="F13" s="480">
        <f>'UCAP Oblig.-ZCP'!I12</f>
        <v>29.50457118031947</v>
      </c>
    </row>
    <row r="14" spans="1:6" ht="15.75" x14ac:dyDescent="0.2">
      <c r="A14" s="475" t="s">
        <v>50</v>
      </c>
      <c r="B14" s="476">
        <f>'3rd IA Load Pricing Results'!I49</f>
        <v>1.1185155911054949</v>
      </c>
      <c r="C14" s="477">
        <f>'UCAP Oblig.-ZCP'!F13</f>
        <v>5254.4005828378022</v>
      </c>
      <c r="D14" s="478">
        <f>'UCAP Oblig.-ZCP'!G13</f>
        <v>98.478608781035675</v>
      </c>
      <c r="E14" s="479">
        <f>'UCAP Oblig.-ZCP'!H13</f>
        <v>40.546403758714952</v>
      </c>
      <c r="F14" s="480">
        <f>'UCAP Oblig.-ZCP'!I13</f>
        <v>57.932205022320723</v>
      </c>
    </row>
    <row r="15" spans="1:6" ht="15.75" x14ac:dyDescent="0.2">
      <c r="A15" s="475" t="s">
        <v>42</v>
      </c>
      <c r="B15" s="476">
        <f>'3rd IA Load Pricing Results'!I50</f>
        <v>1.1083900007006344</v>
      </c>
      <c r="C15" s="477">
        <f>'UCAP Oblig.-ZCP'!F14</f>
        <v>3243.7476726504347</v>
      </c>
      <c r="D15" s="478">
        <f>'UCAP Oblig.-ZCP'!G14</f>
        <v>29.50457118031947</v>
      </c>
      <c r="E15" s="479">
        <f>'UCAP Oblig.-ZCP'!H14</f>
        <v>0</v>
      </c>
      <c r="F15" s="480">
        <f>'UCAP Oblig.-ZCP'!I14</f>
        <v>29.50457118031947</v>
      </c>
    </row>
    <row r="16" spans="1:6" ht="15.75" x14ac:dyDescent="0.2">
      <c r="A16" s="475" t="s">
        <v>30</v>
      </c>
      <c r="B16" s="476">
        <f>'3rd IA Load Pricing Results'!I51</f>
        <v>1.1576758411073056</v>
      </c>
      <c r="C16" s="477">
        <f>'UCAP Oblig.-ZCP'!F15</f>
        <v>4474.9846185770466</v>
      </c>
      <c r="D16" s="478">
        <f>'UCAP Oblig.-ZCP'!G15</f>
        <v>29.50457118031947</v>
      </c>
      <c r="E16" s="479">
        <f>'UCAP Oblig.-ZCP'!H15</f>
        <v>0</v>
      </c>
      <c r="F16" s="480">
        <f>'UCAP Oblig.-ZCP'!I15</f>
        <v>29.50457118031947</v>
      </c>
    </row>
    <row r="17" spans="1:6" ht="15.75" x14ac:dyDescent="0.2">
      <c r="A17" s="475" t="s">
        <v>17</v>
      </c>
      <c r="B17" s="476">
        <f>'3rd IA Load Pricing Results'!I52</f>
        <v>1.1227491156056899</v>
      </c>
      <c r="C17" s="477">
        <f>'UCAP Oblig.-ZCP'!F16</f>
        <v>4590.0453894014936</v>
      </c>
      <c r="D17" s="478">
        <f>'UCAP Oblig.-ZCP'!G16</f>
        <v>169.10512599448228</v>
      </c>
      <c r="E17" s="479">
        <f>'UCAP Oblig.-ZCP'!H16</f>
        <v>-6.1170313351836745</v>
      </c>
      <c r="F17" s="480">
        <f>'UCAP Oblig.-ZCP'!I16</f>
        <v>175.22215732966595</v>
      </c>
    </row>
    <row r="18" spans="1:6" ht="15.75" x14ac:dyDescent="0.2">
      <c r="A18" s="475" t="s">
        <v>101</v>
      </c>
      <c r="B18" s="476">
        <f>'3rd IA Load Pricing Results'!I53</f>
        <v>1.1133657771162413</v>
      </c>
      <c r="C18" s="477">
        <f>'UCAP Oblig.-ZCP'!F17</f>
        <v>2877.510106097272</v>
      </c>
      <c r="D18" s="478">
        <f>'UCAP Oblig.-ZCP'!G17</f>
        <v>29.50457118031947</v>
      </c>
      <c r="E18" s="479">
        <f>'UCAP Oblig.-ZCP'!H17</f>
        <v>0</v>
      </c>
      <c r="F18" s="480">
        <f>'UCAP Oblig.-ZCP'!I17</f>
        <v>29.50457118031947</v>
      </c>
    </row>
    <row r="19" spans="1:6" ht="15.75" x14ac:dyDescent="0.2">
      <c r="A19" s="475" t="s">
        <v>12</v>
      </c>
      <c r="B19" s="476">
        <f>'3rd IA Load Pricing Results'!I54</f>
        <v>1.1016533359621576</v>
      </c>
      <c r="C19" s="477">
        <f>'UCAP Oblig.-ZCP'!F18</f>
        <v>7051.0330280255539</v>
      </c>
      <c r="D19" s="478">
        <f>'UCAP Oblig.-ZCP'!G18</f>
        <v>57.357146584344044</v>
      </c>
      <c r="E19" s="479">
        <f>'UCAP Oblig.-ZCP'!H18</f>
        <v>0.79852916894085713</v>
      </c>
      <c r="F19" s="480">
        <f>'UCAP Oblig.-ZCP'!I18</f>
        <v>56.558617415403184</v>
      </c>
    </row>
    <row r="20" spans="1:6" ht="15.75" x14ac:dyDescent="0.2">
      <c r="A20" s="475" t="s">
        <v>13</v>
      </c>
      <c r="B20" s="476">
        <f>'3rd IA Load Pricing Results'!I55</f>
        <v>1.1153131513679382</v>
      </c>
      <c r="C20" s="477">
        <f>'UCAP Oblig.-ZCP'!F19</f>
        <v>3612.8338912261625</v>
      </c>
      <c r="D20" s="478">
        <f>'UCAP Oblig.-ZCP'!G19</f>
        <v>50.221050796350866</v>
      </c>
      <c r="E20" s="479">
        <f>'UCAP Oblig.-ZCP'!H19</f>
        <v>0</v>
      </c>
      <c r="F20" s="480">
        <f>'UCAP Oblig.-ZCP'!I19</f>
        <v>50.221050796350866</v>
      </c>
    </row>
    <row r="21" spans="1:6" ht="15.75" x14ac:dyDescent="0.2">
      <c r="A21" s="475" t="s">
        <v>182</v>
      </c>
      <c r="B21" s="476">
        <f>'3rd IA Load Pricing Results'!I56</f>
        <v>1.1088132118501957</v>
      </c>
      <c r="C21" s="477">
        <f>'UCAP Oblig.-ZCP'!F20</f>
        <v>74.312661458200111</v>
      </c>
      <c r="D21" s="478">
        <f>'UCAP Oblig.-ZCP'!G20</f>
        <v>29.50457118031947</v>
      </c>
      <c r="E21" s="479">
        <f>'UCAP Oblig.-ZCP'!H20</f>
        <v>0</v>
      </c>
      <c r="F21" s="480">
        <f>'UCAP Oblig.-ZCP'!I20</f>
        <v>29.50457118031947</v>
      </c>
    </row>
    <row r="22" spans="1:6" ht="15.75" x14ac:dyDescent="0.2">
      <c r="A22" s="475" t="s">
        <v>9</v>
      </c>
      <c r="B22" s="476">
        <f>'3rd IA Load Pricing Results'!I57</f>
        <v>1.1188933319579246</v>
      </c>
      <c r="C22" s="477">
        <f>'UCAP Oblig.-ZCP'!F21</f>
        <v>10035.924929929924</v>
      </c>
      <c r="D22" s="478">
        <f>'UCAP Oblig.-ZCP'!G21</f>
        <v>57.357146584344044</v>
      </c>
      <c r="E22" s="479">
        <f>'UCAP Oblig.-ZCP'!H21</f>
        <v>0.79852916894085701</v>
      </c>
      <c r="F22" s="480">
        <f>'UCAP Oblig.-ZCP'!I21</f>
        <v>56.558617415403184</v>
      </c>
    </row>
    <row r="23" spans="1:6" ht="15.75" x14ac:dyDescent="0.2">
      <c r="A23" s="475" t="s">
        <v>14</v>
      </c>
      <c r="B23" s="476">
        <f>'3rd IA Load Pricing Results'!I58</f>
        <v>1.1136871160781086</v>
      </c>
      <c r="C23" s="477">
        <f>'UCAP Oblig.-ZCP'!F22</f>
        <v>3396.0886286397449</v>
      </c>
      <c r="D23" s="478">
        <f>'UCAP Oblig.-ZCP'!G22</f>
        <v>50.221050796350866</v>
      </c>
      <c r="E23" s="479">
        <f>'UCAP Oblig.-ZCP'!H22</f>
        <v>0</v>
      </c>
      <c r="F23" s="480">
        <f>'UCAP Oblig.-ZCP'!I22</f>
        <v>50.221050796350866</v>
      </c>
    </row>
    <row r="24" spans="1:6" ht="15.75" x14ac:dyDescent="0.2">
      <c r="A24" s="475" t="s">
        <v>15</v>
      </c>
      <c r="B24" s="476">
        <f>'3rd IA Load Pricing Results'!I59</f>
        <v>1.1044237619581898</v>
      </c>
      <c r="C24" s="477">
        <f>'UCAP Oblig.-ZCP'!F23</f>
        <v>7167.4561976434015</v>
      </c>
      <c r="D24" s="478">
        <f>'UCAP Oblig.-ZCP'!G23</f>
        <v>50.221050796350866</v>
      </c>
      <c r="E24" s="479">
        <f>'UCAP Oblig.-ZCP'!H23</f>
        <v>0</v>
      </c>
      <c r="F24" s="480">
        <f>'UCAP Oblig.-ZCP'!I23</f>
        <v>50.221050796350866</v>
      </c>
    </row>
    <row r="25" spans="1:6" ht="15.75" x14ac:dyDescent="0.2">
      <c r="A25" s="475" t="s">
        <v>10</v>
      </c>
      <c r="B25" s="476">
        <f>'3rd IA Load Pricing Results'!I60</f>
        <v>1.1067324728327632</v>
      </c>
      <c r="C25" s="477">
        <f>'UCAP Oblig.-ZCP'!F24</f>
        <v>8695.8199349670485</v>
      </c>
      <c r="D25" s="478">
        <f>'UCAP Oblig.-ZCP'!G24</f>
        <v>50.221050796350866</v>
      </c>
      <c r="E25" s="479">
        <f>'UCAP Oblig.-ZCP'!H24</f>
        <v>0</v>
      </c>
      <c r="F25" s="480">
        <f>'UCAP Oblig.-ZCP'!I24</f>
        <v>50.221050796350866</v>
      </c>
    </row>
    <row r="26" spans="1:6" ht="15.75" x14ac:dyDescent="0.2">
      <c r="A26" s="475" t="s">
        <v>8</v>
      </c>
      <c r="B26" s="476">
        <f>'3rd IA Load Pricing Results'!I61</f>
        <v>1.1207017611492263</v>
      </c>
      <c r="C26" s="477">
        <f>'UCAP Oblig.-ZCP'!F25</f>
        <v>11792.18082905872</v>
      </c>
      <c r="D26" s="478">
        <f>'UCAP Oblig.-ZCP'!G25</f>
        <v>57.357146584344036</v>
      </c>
      <c r="E26" s="479">
        <f>'UCAP Oblig.-ZCP'!H25</f>
        <v>0.79852916894085713</v>
      </c>
      <c r="F26" s="480">
        <f>'UCAP Oblig.-ZCP'!I25</f>
        <v>56.558617415403177</v>
      </c>
    </row>
    <row r="27" spans="1:6" ht="15.75" x14ac:dyDescent="0.2">
      <c r="A27" s="475" t="s">
        <v>18</v>
      </c>
      <c r="B27" s="476">
        <f>'3rd IA Load Pricing Results'!I62</f>
        <v>1.1031269902509639</v>
      </c>
      <c r="C27" s="477">
        <f>'UCAP Oblig.-ZCP'!F26</f>
        <v>480.55521076302745</v>
      </c>
      <c r="D27" s="478">
        <f>'UCAP Oblig.-ZCP'!G26</f>
        <v>57.357146584344044</v>
      </c>
      <c r="E27" s="479">
        <f>'UCAP Oblig.-ZCP'!H26</f>
        <v>0.79852916894085713</v>
      </c>
      <c r="F27" s="480">
        <f>'UCAP Oblig.-ZCP'!I26</f>
        <v>56.558617415403184</v>
      </c>
    </row>
    <row r="28" spans="1:6" ht="15.75" x14ac:dyDescent="0.2">
      <c r="A28" s="481" t="s">
        <v>24</v>
      </c>
      <c r="B28" s="482"/>
      <c r="C28" s="483">
        <f>SUM(C7:C27)</f>
        <v>150111.70000000001</v>
      </c>
      <c r="D28" s="484"/>
      <c r="E28" s="484"/>
      <c r="F28" s="484"/>
    </row>
    <row r="30" spans="1:6" ht="15.75" x14ac:dyDescent="0.2">
      <c r="A30" s="583" t="s">
        <v>453</v>
      </c>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28"/>
  <sheetViews>
    <sheetView workbookViewId="0"/>
  </sheetViews>
  <sheetFormatPr defaultRowHeight="12.75" x14ac:dyDescent="0.2"/>
  <cols>
    <col min="2" max="9" width="10.7109375" customWidth="1"/>
  </cols>
  <sheetData>
    <row r="1" spans="1:10" ht="18.75" x14ac:dyDescent="0.2">
      <c r="A1" s="453" t="s">
        <v>313</v>
      </c>
    </row>
    <row r="4" spans="1:10" x14ac:dyDescent="0.2">
      <c r="A4" s="519" t="s">
        <v>7</v>
      </c>
      <c r="B4" s="520" t="s">
        <v>93</v>
      </c>
      <c r="C4" s="521"/>
      <c r="D4" s="521"/>
      <c r="E4" s="522"/>
      <c r="F4" s="523" t="s">
        <v>279</v>
      </c>
      <c r="G4" s="524"/>
      <c r="H4" s="524"/>
      <c r="I4" s="525"/>
      <c r="J4" s="519" t="s">
        <v>7</v>
      </c>
    </row>
    <row r="5" spans="1:10" ht="76.5" x14ac:dyDescent="0.2">
      <c r="A5" s="519"/>
      <c r="B5" s="346" t="s">
        <v>170</v>
      </c>
      <c r="C5" s="346" t="s">
        <v>284</v>
      </c>
      <c r="D5" s="346" t="s">
        <v>95</v>
      </c>
      <c r="E5" s="346" t="s">
        <v>285</v>
      </c>
      <c r="F5" s="450" t="s">
        <v>286</v>
      </c>
      <c r="G5" s="450" t="s">
        <v>287</v>
      </c>
      <c r="H5" s="450" t="s">
        <v>288</v>
      </c>
      <c r="I5" s="450" t="s">
        <v>289</v>
      </c>
      <c r="J5" s="519"/>
    </row>
    <row r="6" spans="1:10" x14ac:dyDescent="0.2">
      <c r="A6" s="310" t="s">
        <v>16</v>
      </c>
      <c r="B6" s="454">
        <f>Summary!B65</f>
        <v>2918.6775054358359</v>
      </c>
      <c r="C6" s="455">
        <f>Summary!C65</f>
        <v>53.790942356899457</v>
      </c>
      <c r="D6" s="455">
        <f>Summary!D65</f>
        <v>0.48465117497361043</v>
      </c>
      <c r="E6" s="455">
        <f>Summary!E65</f>
        <v>53.306291181925843</v>
      </c>
      <c r="F6" s="497">
        <f>Summary!F65</f>
        <v>2910.5792404461713</v>
      </c>
      <c r="G6" s="456">
        <f>Summary!G65</f>
        <v>57.357146584344044</v>
      </c>
      <c r="H6" s="456">
        <f>Summary!H65</f>
        <v>0.79852916894085701</v>
      </c>
      <c r="I6" s="456">
        <f>Summary!I65</f>
        <v>56.558617415403184</v>
      </c>
      <c r="J6" s="310" t="s">
        <v>16</v>
      </c>
    </row>
    <row r="7" spans="1:10" x14ac:dyDescent="0.2">
      <c r="A7" s="310" t="s">
        <v>290</v>
      </c>
      <c r="B7" s="454">
        <f>Summary!B66</f>
        <v>13441.157259316604</v>
      </c>
      <c r="C7" s="455">
        <f>Summary!C66</f>
        <v>28.992949552103212</v>
      </c>
      <c r="D7" s="455">
        <f>Summary!D66</f>
        <v>0</v>
      </c>
      <c r="E7" s="455">
        <f>Summary!E66</f>
        <v>28.992949552103212</v>
      </c>
      <c r="F7" s="497">
        <f>Summary!F66</f>
        <v>13931.518498004538</v>
      </c>
      <c r="G7" s="456">
        <f>Summary!G66</f>
        <v>29.50457118031947</v>
      </c>
      <c r="H7" s="456">
        <f>Summary!H66</f>
        <v>0</v>
      </c>
      <c r="I7" s="456">
        <f>Summary!I66</f>
        <v>29.50457118031947</v>
      </c>
      <c r="J7" s="310" t="s">
        <v>290</v>
      </c>
    </row>
    <row r="8" spans="1:10" x14ac:dyDescent="0.2">
      <c r="A8" s="310" t="s">
        <v>19</v>
      </c>
      <c r="B8" s="454">
        <f>Summary!B67</f>
        <v>10383.873492661467</v>
      </c>
      <c r="C8" s="455">
        <f>Summary!C67</f>
        <v>28.992949552103212</v>
      </c>
      <c r="D8" s="455">
        <f>Summary!D67</f>
        <v>0</v>
      </c>
      <c r="E8" s="455">
        <f>Summary!E67</f>
        <v>28.992949552103212</v>
      </c>
      <c r="F8" s="497">
        <f>Summary!F67</f>
        <v>10750.565024286283</v>
      </c>
      <c r="G8" s="456">
        <f>Summary!G67</f>
        <v>29.50457118031947</v>
      </c>
      <c r="H8" s="456">
        <f>Summary!H67</f>
        <v>0</v>
      </c>
      <c r="I8" s="456">
        <f>Summary!I67</f>
        <v>29.50457118031947</v>
      </c>
      <c r="J8" s="310" t="s">
        <v>19</v>
      </c>
    </row>
    <row r="9" spans="1:10" x14ac:dyDescent="0.2">
      <c r="A9" s="310" t="s">
        <v>43</v>
      </c>
      <c r="B9" s="454">
        <f>Summary!B68</f>
        <v>14616.503355692425</v>
      </c>
      <c r="C9" s="455">
        <f>Summary!C68</f>
        <v>28.992949552103212</v>
      </c>
      <c r="D9" s="455">
        <f>Summary!D68</f>
        <v>0</v>
      </c>
      <c r="E9" s="455">
        <f>Summary!E68</f>
        <v>28.992949552103212</v>
      </c>
      <c r="F9" s="497">
        <f>Summary!F68</f>
        <v>14837.76140448729</v>
      </c>
      <c r="G9" s="456">
        <f>Summary!G68</f>
        <v>29.50457118031947</v>
      </c>
      <c r="H9" s="456">
        <f>Summary!H68</f>
        <v>0</v>
      </c>
      <c r="I9" s="456">
        <f>Summary!I68</f>
        <v>29.50457118031947</v>
      </c>
      <c r="J9" s="310" t="s">
        <v>43</v>
      </c>
    </row>
    <row r="10" spans="1:10" x14ac:dyDescent="0.2">
      <c r="A10" s="310" t="s">
        <v>11</v>
      </c>
      <c r="B10" s="454">
        <f>Summary!B69</f>
        <v>7556.4426787252924</v>
      </c>
      <c r="C10" s="455">
        <f>Summary!C69</f>
        <v>73.872094079130122</v>
      </c>
      <c r="D10" s="455">
        <f>Summary!D69</f>
        <v>14.041525740089442</v>
      </c>
      <c r="E10" s="455">
        <f>Summary!E69</f>
        <v>59.830568339040681</v>
      </c>
      <c r="F10" s="497">
        <f>Summary!F69</f>
        <v>7726.039702937539</v>
      </c>
      <c r="G10" s="456">
        <f>Summary!G69</f>
        <v>76.755372728925764</v>
      </c>
      <c r="H10" s="456">
        <f>Summary!H69</f>
        <v>15.220825298803856</v>
      </c>
      <c r="I10" s="456">
        <f>Summary!I69</f>
        <v>61.534547430121904</v>
      </c>
      <c r="J10" s="310" t="s">
        <v>11</v>
      </c>
    </row>
    <row r="11" spans="1:10" x14ac:dyDescent="0.2">
      <c r="A11" s="310" t="s">
        <v>20</v>
      </c>
      <c r="B11" s="454">
        <f>Summary!B70</f>
        <v>24121.975364850485</v>
      </c>
      <c r="C11" s="455">
        <f>Summary!C70</f>
        <v>28.992949552103212</v>
      </c>
      <c r="D11" s="455">
        <f>Summary!D70</f>
        <v>0</v>
      </c>
      <c r="E11" s="455">
        <f>Summary!E70</f>
        <v>28.992949552103212</v>
      </c>
      <c r="F11" s="497">
        <f>Summary!F70</f>
        <v>23327.982976086652</v>
      </c>
      <c r="G11" s="456">
        <f>Summary!G70</f>
        <v>29.50457118031947</v>
      </c>
      <c r="H11" s="456">
        <f>Summary!H70</f>
        <v>0</v>
      </c>
      <c r="I11" s="456">
        <f>Summary!I70</f>
        <v>29.50457118031947</v>
      </c>
      <c r="J11" s="310" t="s">
        <v>20</v>
      </c>
    </row>
    <row r="12" spans="1:10" x14ac:dyDescent="0.2">
      <c r="A12" s="310" t="s">
        <v>21</v>
      </c>
      <c r="B12" s="454">
        <f>Summary!B71</f>
        <v>3831.1444204324498</v>
      </c>
      <c r="C12" s="455">
        <f>Summary!C71</f>
        <v>28.992949552103212</v>
      </c>
      <c r="D12" s="455">
        <f>Summary!D71</f>
        <v>0</v>
      </c>
      <c r="E12" s="455">
        <f>Summary!E71</f>
        <v>28.992949552103212</v>
      </c>
      <c r="F12" s="497">
        <f>Summary!F71</f>
        <v>3880.3594724756827</v>
      </c>
      <c r="G12" s="456">
        <f>Summary!G71</f>
        <v>29.50457118031947</v>
      </c>
      <c r="H12" s="456">
        <f>Summary!H71</f>
        <v>0</v>
      </c>
      <c r="I12" s="456">
        <f>Summary!I71</f>
        <v>29.50457118031947</v>
      </c>
      <c r="J12" s="310" t="s">
        <v>21</v>
      </c>
    </row>
    <row r="13" spans="1:10" x14ac:dyDescent="0.2">
      <c r="A13" s="310" t="s">
        <v>291</v>
      </c>
      <c r="B13" s="454">
        <f>Summary!B72</f>
        <v>5230.3524446039564</v>
      </c>
      <c r="C13" s="455">
        <f>Summary!C72</f>
        <v>96.312949552103206</v>
      </c>
      <c r="D13" s="455">
        <f>Summary!D72</f>
        <v>38.810678385576566</v>
      </c>
      <c r="E13" s="455">
        <f>Summary!E72</f>
        <v>57.50227116652664</v>
      </c>
      <c r="F13" s="497">
        <f>Summary!F72</f>
        <v>5254.4005828378022</v>
      </c>
      <c r="G13" s="456">
        <f>Summary!G72</f>
        <v>98.478608781035675</v>
      </c>
      <c r="H13" s="456">
        <f>Summary!H72</f>
        <v>40.546403758714952</v>
      </c>
      <c r="I13" s="456">
        <f>Summary!I72</f>
        <v>57.932205022320723</v>
      </c>
      <c r="J13" s="310" t="s">
        <v>291</v>
      </c>
    </row>
    <row r="14" spans="1:10" x14ac:dyDescent="0.2">
      <c r="A14" s="310" t="s">
        <v>42</v>
      </c>
      <c r="B14" s="454">
        <f>Summary!B73</f>
        <v>3258.1151978145758</v>
      </c>
      <c r="C14" s="455">
        <f>Summary!C73</f>
        <v>28.992949552103212</v>
      </c>
      <c r="D14" s="455">
        <f>Summary!D73</f>
        <v>0</v>
      </c>
      <c r="E14" s="455">
        <f>Summary!E73</f>
        <v>28.992949552103212</v>
      </c>
      <c r="F14" s="497">
        <f>Summary!F73</f>
        <v>3243.7476726504347</v>
      </c>
      <c r="G14" s="456">
        <f>Summary!G73</f>
        <v>29.50457118031947</v>
      </c>
      <c r="H14" s="456">
        <f>Summary!H73</f>
        <v>0</v>
      </c>
      <c r="I14" s="456">
        <f>Summary!I73</f>
        <v>29.50457118031947</v>
      </c>
      <c r="J14" s="310" t="s">
        <v>42</v>
      </c>
    </row>
    <row r="15" spans="1:10" x14ac:dyDescent="0.2">
      <c r="A15" s="310" t="s">
        <v>324</v>
      </c>
      <c r="B15" s="454">
        <f>Summary!B74</f>
        <v>3805.5144217288594</v>
      </c>
      <c r="C15" s="455">
        <f>Summary!C74</f>
        <v>28.992949552103212</v>
      </c>
      <c r="D15" s="455">
        <f>Summary!D74</f>
        <v>0</v>
      </c>
      <c r="E15" s="455">
        <f>Summary!E74</f>
        <v>28.992949552103212</v>
      </c>
      <c r="F15" s="497">
        <f>Summary!F74</f>
        <v>4474.9846185770466</v>
      </c>
      <c r="G15" s="456">
        <f>Summary!G74</f>
        <v>29.50457118031947</v>
      </c>
      <c r="H15" s="456">
        <f>Summary!H74</f>
        <v>0</v>
      </c>
      <c r="I15" s="456">
        <f>Summary!I74</f>
        <v>29.50457118031947</v>
      </c>
      <c r="J15" s="310" t="s">
        <v>324</v>
      </c>
    </row>
    <row r="16" spans="1:10" x14ac:dyDescent="0.2">
      <c r="A16" s="310" t="s">
        <v>17</v>
      </c>
      <c r="B16" s="454">
        <f>Summary!B75</f>
        <v>4607.3496094562361</v>
      </c>
      <c r="C16" s="455">
        <f>Summary!C75</f>
        <v>165.61482189477528</v>
      </c>
      <c r="D16" s="455">
        <f>Summary!D75</f>
        <v>-5.8780345550946285</v>
      </c>
      <c r="E16" s="455">
        <f>Summary!E75</f>
        <v>171.49285644986989</v>
      </c>
      <c r="F16" s="497">
        <f>Summary!F75</f>
        <v>4590.0453894014936</v>
      </c>
      <c r="G16" s="456">
        <f>Summary!G75</f>
        <v>169.10512599448228</v>
      </c>
      <c r="H16" s="456">
        <f>Summary!H75</f>
        <v>-6.1170313351836745</v>
      </c>
      <c r="I16" s="456">
        <f>Summary!I75</f>
        <v>175.22215732966595</v>
      </c>
      <c r="J16" s="310" t="s">
        <v>17</v>
      </c>
    </row>
    <row r="17" spans="1:10" x14ac:dyDescent="0.2">
      <c r="A17" s="310" t="s">
        <v>292</v>
      </c>
      <c r="B17" s="454">
        <f>Summary!B76</f>
        <v>2906.2195350369948</v>
      </c>
      <c r="C17" s="455">
        <f>Summary!C76</f>
        <v>28.992949552103212</v>
      </c>
      <c r="D17" s="455">
        <f>Summary!D76</f>
        <v>0</v>
      </c>
      <c r="E17" s="455">
        <f>Summary!E76</f>
        <v>28.992949552103212</v>
      </c>
      <c r="F17" s="497">
        <f>Summary!F76</f>
        <v>2877.510106097272</v>
      </c>
      <c r="G17" s="456">
        <f>Summary!G76</f>
        <v>29.50457118031947</v>
      </c>
      <c r="H17" s="456">
        <f>Summary!H76</f>
        <v>0</v>
      </c>
      <c r="I17" s="456">
        <f>Summary!I76</f>
        <v>29.50457118031947</v>
      </c>
      <c r="J17" s="310" t="s">
        <v>292</v>
      </c>
    </row>
    <row r="18" spans="1:10" x14ac:dyDescent="0.2">
      <c r="A18" s="310" t="s">
        <v>12</v>
      </c>
      <c r="B18" s="454">
        <f>Summary!B77</f>
        <v>6794.8369603414521</v>
      </c>
      <c r="C18" s="455">
        <f>Summary!C77</f>
        <v>53.790942356899457</v>
      </c>
      <c r="D18" s="455">
        <f>Summary!D77</f>
        <v>0.48465117497361049</v>
      </c>
      <c r="E18" s="455">
        <f>Summary!E77</f>
        <v>53.306291181925843</v>
      </c>
      <c r="F18" s="497">
        <f>Summary!F77</f>
        <v>7051.0330280255539</v>
      </c>
      <c r="G18" s="456">
        <f>Summary!G77</f>
        <v>57.357146584344044</v>
      </c>
      <c r="H18" s="456">
        <f>Summary!H77</f>
        <v>0.79852916894085713</v>
      </c>
      <c r="I18" s="456">
        <f>Summary!I77</f>
        <v>56.558617415403184</v>
      </c>
      <c r="J18" s="310" t="s">
        <v>12</v>
      </c>
    </row>
    <row r="19" spans="1:10" x14ac:dyDescent="0.2">
      <c r="A19" s="310" t="s">
        <v>13</v>
      </c>
      <c r="B19" s="454">
        <f>Summary!B78</f>
        <v>3478.3238799670917</v>
      </c>
      <c r="C19" s="455">
        <f>Summary!C78</f>
        <v>49.678961768309357</v>
      </c>
      <c r="D19" s="455">
        <f>Summary!D78</f>
        <v>0</v>
      </c>
      <c r="E19" s="455">
        <f>Summary!E78</f>
        <v>49.678961768309357</v>
      </c>
      <c r="F19" s="497">
        <f>Summary!F78</f>
        <v>3612.8338912261625</v>
      </c>
      <c r="G19" s="456">
        <f>Summary!G78</f>
        <v>50.221050796350866</v>
      </c>
      <c r="H19" s="456">
        <f>Summary!H78</f>
        <v>0</v>
      </c>
      <c r="I19" s="456">
        <f>Summary!I78</f>
        <v>50.221050796350866</v>
      </c>
      <c r="J19" s="310" t="s">
        <v>13</v>
      </c>
    </row>
    <row r="20" spans="1:10" x14ac:dyDescent="0.2">
      <c r="A20" s="310" t="s">
        <v>182</v>
      </c>
      <c r="B20" s="454">
        <f>Summary!B79</f>
        <v>85.163578733017303</v>
      </c>
      <c r="C20" s="455">
        <f>Summary!C79</f>
        <v>28.992949552103212</v>
      </c>
      <c r="D20" s="455">
        <f>Summary!D79</f>
        <v>0</v>
      </c>
      <c r="E20" s="455">
        <f>Summary!E79</f>
        <v>28.992949552103212</v>
      </c>
      <c r="F20" s="497">
        <f>Summary!F79</f>
        <v>74.312661458200111</v>
      </c>
      <c r="G20" s="456">
        <f>Summary!G79</f>
        <v>29.50457118031947</v>
      </c>
      <c r="H20" s="456">
        <f>Summary!H79</f>
        <v>0</v>
      </c>
      <c r="I20" s="456">
        <f>Summary!I79</f>
        <v>29.50457118031947</v>
      </c>
      <c r="J20" s="310" t="s">
        <v>182</v>
      </c>
    </row>
    <row r="21" spans="1:10" x14ac:dyDescent="0.2">
      <c r="A21" s="310" t="s">
        <v>9</v>
      </c>
      <c r="B21" s="454">
        <f>Summary!B80</f>
        <v>9892.3579811166219</v>
      </c>
      <c r="C21" s="455">
        <f>Summary!C80</f>
        <v>53.790942356899457</v>
      </c>
      <c r="D21" s="455">
        <f>Summary!D80</f>
        <v>0.48465117497361032</v>
      </c>
      <c r="E21" s="455">
        <f>Summary!E80</f>
        <v>53.306291181925843</v>
      </c>
      <c r="F21" s="497">
        <f>Summary!F80</f>
        <v>10035.924929929924</v>
      </c>
      <c r="G21" s="456">
        <f>Summary!G80</f>
        <v>57.357146584344044</v>
      </c>
      <c r="H21" s="456">
        <f>Summary!H80</f>
        <v>0.79852916894085701</v>
      </c>
      <c r="I21" s="456">
        <f>Summary!I80</f>
        <v>56.558617415403184</v>
      </c>
      <c r="J21" s="310" t="s">
        <v>9</v>
      </c>
    </row>
    <row r="22" spans="1:10" x14ac:dyDescent="0.2">
      <c r="A22" s="310" t="s">
        <v>14</v>
      </c>
      <c r="B22" s="454">
        <f>Summary!B81</f>
        <v>3294.6138744144405</v>
      </c>
      <c r="C22" s="455">
        <f>Summary!C81</f>
        <v>49.678961768309357</v>
      </c>
      <c r="D22" s="455">
        <f>Summary!D81</f>
        <v>0</v>
      </c>
      <c r="E22" s="455">
        <f>Summary!E81</f>
        <v>49.678961768309357</v>
      </c>
      <c r="F22" s="497">
        <f>Summary!F81</f>
        <v>3396.0886286397449</v>
      </c>
      <c r="G22" s="456">
        <f>Summary!G81</f>
        <v>50.221050796350866</v>
      </c>
      <c r="H22" s="456">
        <f>Summary!H81</f>
        <v>0</v>
      </c>
      <c r="I22" s="456">
        <f>Summary!I81</f>
        <v>50.221050796350866</v>
      </c>
      <c r="J22" s="310" t="s">
        <v>14</v>
      </c>
    </row>
    <row r="23" spans="1:10" x14ac:dyDescent="0.2">
      <c r="A23" s="310" t="s">
        <v>15</v>
      </c>
      <c r="B23" s="454">
        <f>Summary!B82</f>
        <v>6976.1137207874453</v>
      </c>
      <c r="C23" s="455">
        <f>Summary!C82</f>
        <v>49.678961768309357</v>
      </c>
      <c r="D23" s="455">
        <f>Summary!D82</f>
        <v>0</v>
      </c>
      <c r="E23" s="455">
        <f>Summary!E82</f>
        <v>49.678961768309357</v>
      </c>
      <c r="F23" s="497">
        <f>Summary!F82</f>
        <v>7167.4561976434015</v>
      </c>
      <c r="G23" s="456">
        <f>Summary!G82</f>
        <v>50.221050796350866</v>
      </c>
      <c r="H23" s="456">
        <f>Summary!H82</f>
        <v>0</v>
      </c>
      <c r="I23" s="456">
        <f>Summary!I82</f>
        <v>50.221050796350866</v>
      </c>
      <c r="J23" s="310" t="s">
        <v>15</v>
      </c>
    </row>
    <row r="24" spans="1:10" x14ac:dyDescent="0.2">
      <c r="A24" s="310" t="s">
        <v>10</v>
      </c>
      <c r="B24" s="454">
        <f>Summary!B83</f>
        <v>8552.8565499015931</v>
      </c>
      <c r="C24" s="455">
        <f>Summary!C83</f>
        <v>49.678961768309357</v>
      </c>
      <c r="D24" s="455">
        <f>Summary!D83</f>
        <v>0</v>
      </c>
      <c r="E24" s="455">
        <f>Summary!E83</f>
        <v>49.678961768309357</v>
      </c>
      <c r="F24" s="497">
        <f>Summary!F83</f>
        <v>8695.8199349670485</v>
      </c>
      <c r="G24" s="456">
        <f>Summary!G83</f>
        <v>50.221050796350866</v>
      </c>
      <c r="H24" s="456">
        <f>Summary!H83</f>
        <v>0</v>
      </c>
      <c r="I24" s="456">
        <f>Summary!I83</f>
        <v>50.221050796350866</v>
      </c>
      <c r="J24" s="310" t="s">
        <v>10</v>
      </c>
    </row>
    <row r="25" spans="1:10" x14ac:dyDescent="0.2">
      <c r="A25" s="310" t="s">
        <v>8</v>
      </c>
      <c r="B25" s="454">
        <f>Summary!B84</f>
        <v>11270.791334038175</v>
      </c>
      <c r="C25" s="455">
        <f>Summary!C84</f>
        <v>53.790942356899457</v>
      </c>
      <c r="D25" s="455">
        <f>Summary!D84</f>
        <v>0.48465117497361049</v>
      </c>
      <c r="E25" s="455">
        <f>Summary!E84</f>
        <v>53.306291181925843</v>
      </c>
      <c r="F25" s="497">
        <f>Summary!F84</f>
        <v>11792.18082905872</v>
      </c>
      <c r="G25" s="456">
        <f>Summary!G84</f>
        <v>57.357146584344036</v>
      </c>
      <c r="H25" s="456">
        <f>Summary!H84</f>
        <v>0.79852916894085713</v>
      </c>
      <c r="I25" s="456">
        <f>Summary!I84</f>
        <v>56.558617415403177</v>
      </c>
      <c r="J25" s="310" t="s">
        <v>8</v>
      </c>
    </row>
    <row r="26" spans="1:10" x14ac:dyDescent="0.2">
      <c r="A26" s="310" t="s">
        <v>18</v>
      </c>
      <c r="B26" s="454">
        <f>Summary!B85</f>
        <v>455.01683494497809</v>
      </c>
      <c r="C26" s="455">
        <f>Summary!C85</f>
        <v>53.790942356899457</v>
      </c>
      <c r="D26" s="455">
        <f>Summary!D85</f>
        <v>0.48465117497361049</v>
      </c>
      <c r="E26" s="455">
        <f>Summary!E85</f>
        <v>53.306291181925843</v>
      </c>
      <c r="F26" s="497">
        <f>Summary!F85</f>
        <v>480.55521076302745</v>
      </c>
      <c r="G26" s="456">
        <f>Summary!G85</f>
        <v>57.357146584344044</v>
      </c>
      <c r="H26" s="456">
        <f>Summary!H85</f>
        <v>0.79852916894085713</v>
      </c>
      <c r="I26" s="456">
        <f>Summary!I85</f>
        <v>56.558617415403184</v>
      </c>
      <c r="J26" s="310" t="s">
        <v>18</v>
      </c>
    </row>
    <row r="27" spans="1:10" x14ac:dyDescent="0.2">
      <c r="A27" s="18"/>
      <c r="B27" s="457">
        <f>SUM(B6:B26)</f>
        <v>147477.4</v>
      </c>
      <c r="C27" s="458"/>
      <c r="D27" s="458"/>
      <c r="E27" s="458"/>
      <c r="F27" s="496">
        <f>SUM(F6:F26)</f>
        <v>150111.70000000001</v>
      </c>
      <c r="G27" s="458"/>
      <c r="H27" s="458"/>
      <c r="I27" s="458"/>
    </row>
    <row r="28" spans="1:10" x14ac:dyDescent="0.2">
      <c r="A28" s="19" t="s">
        <v>293</v>
      </c>
      <c r="B28" s="15"/>
      <c r="C28" s="15"/>
      <c r="D28" s="15"/>
      <c r="E28" s="15"/>
      <c r="F28" s="15"/>
      <c r="G28" s="15"/>
      <c r="H28" s="15"/>
      <c r="I28" s="15"/>
    </row>
  </sheetData>
  <mergeCells count="4">
    <mergeCell ref="A4:A5"/>
    <mergeCell ref="B4:E4"/>
    <mergeCell ref="F4:I4"/>
    <mergeCell ref="J4: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W110"/>
  <sheetViews>
    <sheetView workbookViewId="0">
      <pane xSplit="1" topLeftCell="B1" activePane="topRight" state="frozen"/>
      <selection activeCell="C33" sqref="C33"/>
      <selection pane="topRight"/>
    </sheetView>
  </sheetViews>
  <sheetFormatPr defaultRowHeight="12.75" x14ac:dyDescent="0.2"/>
  <cols>
    <col min="1" max="21" width="16.7109375" customWidth="1"/>
    <col min="22" max="22" width="12.7109375" customWidth="1"/>
  </cols>
  <sheetData>
    <row r="1" spans="1:18" ht="18.75" x14ac:dyDescent="0.3">
      <c r="A1" s="314" t="s">
        <v>325</v>
      </c>
      <c r="B1" s="314"/>
      <c r="C1" s="314"/>
      <c r="D1" s="314"/>
      <c r="E1" s="314"/>
      <c r="F1" s="314"/>
      <c r="G1" s="314"/>
      <c r="H1" s="148"/>
      <c r="I1" s="148"/>
      <c r="J1" s="148"/>
      <c r="K1" s="148"/>
      <c r="L1" s="148"/>
      <c r="M1" s="148"/>
      <c r="N1" s="148"/>
      <c r="O1" s="148"/>
      <c r="P1" s="148"/>
      <c r="Q1" s="148"/>
      <c r="R1" s="148"/>
    </row>
    <row r="2" spans="1:18" x14ac:dyDescent="0.2">
      <c r="A2" s="15"/>
      <c r="B2" s="15"/>
      <c r="C2" s="15"/>
      <c r="D2" s="15"/>
      <c r="E2" s="15"/>
      <c r="F2" s="15"/>
      <c r="G2" s="15"/>
      <c r="H2" s="15"/>
      <c r="I2" s="15"/>
      <c r="J2" s="15"/>
      <c r="K2" s="15"/>
      <c r="L2" s="15"/>
      <c r="M2" s="15"/>
      <c r="N2" s="15"/>
      <c r="O2" s="15"/>
      <c r="P2" s="15"/>
      <c r="Q2" s="15"/>
      <c r="R2" s="15"/>
    </row>
    <row r="3" spans="1:18" ht="15.75" x14ac:dyDescent="0.2">
      <c r="A3" s="315" t="s">
        <v>171</v>
      </c>
      <c r="B3" s="309"/>
      <c r="C3" s="309"/>
      <c r="D3" s="309"/>
      <c r="E3" s="309"/>
      <c r="F3" s="137"/>
      <c r="G3" s="137"/>
      <c r="H3" s="137"/>
      <c r="I3" s="137"/>
      <c r="J3" s="137"/>
      <c r="K3" s="137"/>
      <c r="L3" s="137"/>
      <c r="M3" s="137"/>
      <c r="N3" s="137"/>
      <c r="O3" s="137"/>
      <c r="P3" s="137"/>
      <c r="Q3" s="137"/>
      <c r="R3" s="137"/>
    </row>
    <row r="4" spans="1:18" ht="25.5" x14ac:dyDescent="0.2">
      <c r="A4" s="316" t="s">
        <v>3</v>
      </c>
      <c r="B4" s="346" t="s">
        <v>93</v>
      </c>
    </row>
    <row r="5" spans="1:18" x14ac:dyDescent="0.2">
      <c r="A5" s="317" t="s">
        <v>6</v>
      </c>
      <c r="B5" s="448">
        <f>'BRA Resource Clearing Results'!D5</f>
        <v>28.92</v>
      </c>
    </row>
    <row r="6" spans="1:18" x14ac:dyDescent="0.2">
      <c r="A6" s="317" t="s">
        <v>28</v>
      </c>
      <c r="B6" s="448">
        <f>'BRA Resource Clearing Results'!D6</f>
        <v>49.49</v>
      </c>
    </row>
    <row r="7" spans="1:18" x14ac:dyDescent="0.2">
      <c r="A7" s="317" t="s">
        <v>33</v>
      </c>
      <c r="B7" s="448">
        <f>'BRA Resource Clearing Results'!D7</f>
        <v>53.6</v>
      </c>
    </row>
    <row r="8" spans="1:18" x14ac:dyDescent="0.2">
      <c r="A8" s="317" t="s">
        <v>5</v>
      </c>
      <c r="B8" s="448">
        <f>'BRA Resource Clearing Results'!D8</f>
        <v>49.49</v>
      </c>
    </row>
    <row r="9" spans="1:18" x14ac:dyDescent="0.2">
      <c r="A9" s="317" t="s">
        <v>8</v>
      </c>
      <c r="B9" s="448">
        <f>'BRA Resource Clearing Results'!D9</f>
        <v>53.6</v>
      </c>
    </row>
    <row r="10" spans="1:18" x14ac:dyDescent="0.2">
      <c r="A10" s="317" t="s">
        <v>34</v>
      </c>
      <c r="B10" s="448">
        <f>'BRA Resource Clearing Results'!D10</f>
        <v>53.6</v>
      </c>
    </row>
    <row r="11" spans="1:18" x14ac:dyDescent="0.2">
      <c r="A11" s="317" t="s">
        <v>35</v>
      </c>
      <c r="B11" s="448">
        <f>'BRA Resource Clearing Results'!D11</f>
        <v>426.17</v>
      </c>
    </row>
    <row r="12" spans="1:18" x14ac:dyDescent="0.2">
      <c r="A12" s="317" t="s">
        <v>15</v>
      </c>
      <c r="B12" s="448">
        <f>'BRA Resource Clearing Results'!D12</f>
        <v>49.49</v>
      </c>
    </row>
    <row r="13" spans="1:18" x14ac:dyDescent="0.2">
      <c r="A13" s="317" t="s">
        <v>43</v>
      </c>
      <c r="B13" s="448">
        <f>'BRA Resource Clearing Results'!D13</f>
        <v>28.92</v>
      </c>
    </row>
    <row r="14" spans="1:18" x14ac:dyDescent="0.2">
      <c r="A14" s="317" t="s">
        <v>98</v>
      </c>
      <c r="B14" s="448">
        <f>'BRA Resource Clearing Results'!D14</f>
        <v>28.92</v>
      </c>
    </row>
    <row r="15" spans="1:18" x14ac:dyDescent="0.2">
      <c r="A15" s="317" t="s">
        <v>20</v>
      </c>
      <c r="B15" s="448">
        <f>'BRA Resource Clearing Results'!D15</f>
        <v>28.92</v>
      </c>
    </row>
    <row r="16" spans="1:18" x14ac:dyDescent="0.2">
      <c r="A16" s="317" t="s">
        <v>11</v>
      </c>
      <c r="B16" s="448">
        <f>'BRA Resource Clearing Results'!D16</f>
        <v>73</v>
      </c>
    </row>
    <row r="17" spans="1:18" x14ac:dyDescent="0.2">
      <c r="A17" s="317" t="s">
        <v>10</v>
      </c>
      <c r="B17" s="448">
        <f>'BRA Resource Clearing Results'!D17</f>
        <v>49.49</v>
      </c>
    </row>
    <row r="18" spans="1:18" x14ac:dyDescent="0.2">
      <c r="A18" s="317" t="s">
        <v>21</v>
      </c>
      <c r="B18" s="448">
        <f>'BRA Resource Clearing Results'!D18</f>
        <v>28.92</v>
      </c>
    </row>
    <row r="19" spans="1:18" x14ac:dyDescent="0.2">
      <c r="A19" s="317" t="s">
        <v>50</v>
      </c>
      <c r="B19" s="448">
        <f>'BRA Resource Clearing Results'!D19</f>
        <v>96.24</v>
      </c>
    </row>
    <row r="20" spans="1:18" x14ac:dyDescent="0.2">
      <c r="A20" s="191" t="s">
        <v>24</v>
      </c>
      <c r="B20" s="191"/>
      <c r="D20" s="107"/>
      <c r="E20" s="107"/>
      <c r="F20" s="107"/>
      <c r="G20" s="107"/>
      <c r="H20" s="107"/>
      <c r="I20" s="107"/>
      <c r="J20" s="107"/>
      <c r="K20" s="107"/>
      <c r="L20" s="107"/>
      <c r="M20" s="107"/>
      <c r="N20" s="107"/>
      <c r="O20" s="107"/>
      <c r="P20" s="107"/>
      <c r="Q20" s="107"/>
      <c r="R20" s="107"/>
    </row>
    <row r="21" spans="1:18" ht="15.75" x14ac:dyDescent="0.2">
      <c r="A21" s="315" t="s">
        <v>172</v>
      </c>
      <c r="B21" s="137"/>
      <c r="C21" s="137"/>
      <c r="D21" s="137"/>
      <c r="E21" s="137"/>
      <c r="F21" s="15"/>
      <c r="G21" s="15"/>
      <c r="H21" s="15"/>
      <c r="I21" s="15"/>
      <c r="J21" s="15"/>
      <c r="K21" s="15"/>
      <c r="L21" s="15"/>
      <c r="M21" s="15"/>
      <c r="N21" s="15"/>
      <c r="O21" s="15"/>
      <c r="P21" s="15"/>
      <c r="Q21" s="15"/>
      <c r="R21" s="107"/>
    </row>
    <row r="22" spans="1:18" ht="25.5" x14ac:dyDescent="0.2">
      <c r="A22" s="526" t="s">
        <v>3</v>
      </c>
      <c r="B22" s="346" t="s">
        <v>93</v>
      </c>
      <c r="C22" s="450" t="s">
        <v>279</v>
      </c>
    </row>
    <row r="23" spans="1:18" ht="38.25" x14ac:dyDescent="0.2">
      <c r="A23" s="526"/>
      <c r="B23" s="346" t="s">
        <v>173</v>
      </c>
      <c r="C23" s="450" t="s">
        <v>294</v>
      </c>
    </row>
    <row r="24" spans="1:18" x14ac:dyDescent="0.2">
      <c r="A24" s="317" t="s">
        <v>6</v>
      </c>
      <c r="B24" s="449">
        <f>'BRA Resource Clearing Results'!F26</f>
        <v>147477.4</v>
      </c>
      <c r="C24" s="459">
        <f>'3rdIA Resource Clearing Results'!D25</f>
        <v>-2634.3</v>
      </c>
    </row>
    <row r="25" spans="1:18" x14ac:dyDescent="0.2">
      <c r="A25" s="317" t="s">
        <v>28</v>
      </c>
      <c r="B25" s="449">
        <f>'BRA Resource Clearing Results'!F27</f>
        <v>64199.299999999996</v>
      </c>
      <c r="C25" s="459">
        <f>'3rdIA Resource Clearing Results'!D26</f>
        <v>-1444.0000000000005</v>
      </c>
    </row>
    <row r="26" spans="1:18" x14ac:dyDescent="0.2">
      <c r="A26" s="317" t="s">
        <v>33</v>
      </c>
      <c r="B26" s="449">
        <f>'BRA Resource Clearing Results'!F28</f>
        <v>30681</v>
      </c>
      <c r="C26" s="459">
        <f>'3rdIA Resource Clearing Results'!D27</f>
        <v>-1045.2</v>
      </c>
    </row>
    <row r="27" spans="1:18" x14ac:dyDescent="0.2">
      <c r="A27" s="317" t="s">
        <v>5</v>
      </c>
      <c r="B27" s="449">
        <f>'BRA Resource Clearing Results'!F29</f>
        <v>8468.4</v>
      </c>
      <c r="C27" s="459">
        <f>'3rdIA Resource Clearing Results'!D28</f>
        <v>-170.7</v>
      </c>
    </row>
    <row r="28" spans="1:18" x14ac:dyDescent="0.2">
      <c r="A28" s="317" t="s">
        <v>8</v>
      </c>
      <c r="B28" s="449">
        <f>'BRA Resource Clearing Results'!F30</f>
        <v>6111.8</v>
      </c>
      <c r="C28" s="459">
        <f>'3rdIA Resource Clearing Results'!D29</f>
        <v>-104.1</v>
      </c>
    </row>
    <row r="29" spans="1:18" x14ac:dyDescent="0.2">
      <c r="A29" s="317" t="s">
        <v>34</v>
      </c>
      <c r="B29" s="449">
        <f>'BRA Resource Clearing Results'!F31</f>
        <v>3470.8</v>
      </c>
      <c r="C29" s="459">
        <f>'3rdIA Resource Clearing Results'!D30</f>
        <v>-57.8</v>
      </c>
    </row>
    <row r="30" spans="1:18" x14ac:dyDescent="0.2">
      <c r="A30" s="317" t="s">
        <v>35</v>
      </c>
      <c r="B30" s="449">
        <f>'BRA Resource Clearing Results'!F32</f>
        <v>1448.5</v>
      </c>
      <c r="C30" s="459">
        <f>'3rdIA Resource Clearing Results'!D31</f>
        <v>-4.8999999999999986</v>
      </c>
    </row>
    <row r="31" spans="1:18" x14ac:dyDescent="0.2">
      <c r="A31" s="317" t="s">
        <v>15</v>
      </c>
      <c r="B31" s="449">
        <f>'BRA Resource Clearing Results'!F33</f>
        <v>3416.9</v>
      </c>
      <c r="C31" s="459">
        <f>'3rdIA Resource Clearing Results'!D32</f>
        <v>5.6999999999999886</v>
      </c>
    </row>
    <row r="32" spans="1:18" x14ac:dyDescent="0.2">
      <c r="A32" s="317" t="s">
        <v>43</v>
      </c>
      <c r="B32" s="449">
        <f>'BRA Resource Clearing Results'!F34</f>
        <v>9716.7000000000007</v>
      </c>
      <c r="C32" s="459">
        <f>'3rdIA Resource Clearing Results'!D33</f>
        <v>-178.5</v>
      </c>
    </row>
    <row r="33" spans="1:18" x14ac:dyDescent="0.2">
      <c r="A33" s="317" t="s">
        <v>98</v>
      </c>
      <c r="B33" s="449">
        <f>'BRA Resource Clearing Results'!F35</f>
        <v>1885.2</v>
      </c>
      <c r="C33" s="459">
        <f>'3rdIA Resource Clearing Results'!D34</f>
        <v>0.5</v>
      </c>
    </row>
    <row r="34" spans="1:18" x14ac:dyDescent="0.2">
      <c r="A34" s="317" t="s">
        <v>20</v>
      </c>
      <c r="B34" s="449">
        <f>'BRA Resource Clearing Results'!F36</f>
        <v>25152</v>
      </c>
      <c r="C34" s="459">
        <f>'3rdIA Resource Clearing Results'!D35</f>
        <v>-783.00000000000023</v>
      </c>
    </row>
    <row r="35" spans="1:18" x14ac:dyDescent="0.2">
      <c r="A35" s="317" t="s">
        <v>11</v>
      </c>
      <c r="B35" s="449">
        <f>'BRA Resource Clearing Results'!F37</f>
        <v>2671.6</v>
      </c>
      <c r="C35" s="459">
        <f>'3rdIA Resource Clearing Results'!D36</f>
        <v>-123.1</v>
      </c>
    </row>
    <row r="36" spans="1:18" x14ac:dyDescent="0.2">
      <c r="A36" s="317" t="s">
        <v>10</v>
      </c>
      <c r="B36" s="449">
        <f>'BRA Resource Clearing Results'!F38</f>
        <v>9997.7000000000007</v>
      </c>
      <c r="C36" s="459">
        <f>'3rdIA Resource Clearing Results'!D37</f>
        <v>-305.70000000000005</v>
      </c>
    </row>
    <row r="37" spans="1:18" x14ac:dyDescent="0.2">
      <c r="A37" s="317" t="s">
        <v>21</v>
      </c>
      <c r="B37" s="449">
        <f>'BRA Resource Clearing Results'!F39</f>
        <v>985.4</v>
      </c>
      <c r="C37" s="459">
        <f>'3rdIA Resource Clearing Results'!D38</f>
        <v>-7.2</v>
      </c>
    </row>
    <row r="38" spans="1:18" x14ac:dyDescent="0.2">
      <c r="A38" s="317" t="s">
        <v>50</v>
      </c>
      <c r="B38" s="449">
        <f>'BRA Resource Clearing Results'!F40</f>
        <v>2060</v>
      </c>
      <c r="C38" s="459">
        <f>'3rdIA Resource Clearing Results'!D39</f>
        <v>49.399999999999991</v>
      </c>
    </row>
    <row r="39" spans="1:18" x14ac:dyDescent="0.2">
      <c r="A39" s="19" t="s">
        <v>174</v>
      </c>
      <c r="B39" s="318"/>
      <c r="C39" s="318"/>
      <c r="D39" s="318"/>
      <c r="E39" s="318"/>
      <c r="F39" s="318"/>
      <c r="G39" s="318"/>
      <c r="H39" s="318"/>
      <c r="I39" s="318"/>
      <c r="J39" s="318"/>
      <c r="K39" s="318"/>
      <c r="L39" s="318"/>
      <c r="M39" s="318"/>
      <c r="N39" s="318"/>
      <c r="O39" s="318"/>
      <c r="P39" s="318"/>
      <c r="Q39" s="318"/>
      <c r="R39" s="15"/>
    </row>
    <row r="40" spans="1:18" x14ac:dyDescent="0.2">
      <c r="A40" s="19" t="s">
        <v>175</v>
      </c>
      <c r="B40" s="318"/>
      <c r="C40" s="318"/>
      <c r="D40" s="318"/>
      <c r="E40" s="318"/>
      <c r="F40" s="318"/>
      <c r="G40" s="318"/>
      <c r="H40" s="318"/>
      <c r="I40" s="318"/>
      <c r="J40" s="318"/>
      <c r="K40" s="318"/>
      <c r="L40" s="318"/>
      <c r="M40" s="318"/>
      <c r="N40" s="318"/>
      <c r="O40" s="318"/>
      <c r="P40" s="318"/>
      <c r="Q40" s="318"/>
      <c r="R40" s="309"/>
    </row>
    <row r="41" spans="1:18" x14ac:dyDescent="0.2">
      <c r="A41" s="19"/>
      <c r="B41" s="318"/>
      <c r="C41" s="318"/>
      <c r="D41" s="318"/>
      <c r="E41" s="318"/>
      <c r="F41" s="318"/>
      <c r="G41" s="318"/>
      <c r="H41" s="318"/>
      <c r="I41" s="318"/>
      <c r="J41" s="318"/>
      <c r="K41" s="318"/>
      <c r="L41" s="318"/>
      <c r="M41" s="318"/>
      <c r="N41" s="318"/>
      <c r="O41" s="318"/>
      <c r="P41" s="318"/>
      <c r="Q41" s="318"/>
      <c r="R41" s="309"/>
    </row>
    <row r="42" spans="1:18" ht="15.75" x14ac:dyDescent="0.2">
      <c r="A42" s="315" t="s">
        <v>295</v>
      </c>
      <c r="B42" s="460"/>
      <c r="C42" s="460"/>
      <c r="D42" s="318"/>
      <c r="E42" s="318"/>
      <c r="F42" s="318"/>
      <c r="G42" s="318"/>
      <c r="H42" s="318"/>
      <c r="I42" s="318"/>
      <c r="J42" s="318"/>
      <c r="K42" s="318"/>
      <c r="L42" s="318"/>
      <c r="M42" s="318"/>
      <c r="N42" s="318"/>
      <c r="O42" s="318"/>
      <c r="P42" s="318"/>
      <c r="Q42" s="318"/>
      <c r="R42" s="309"/>
    </row>
    <row r="43" spans="1:18" ht="25.5" x14ac:dyDescent="0.2">
      <c r="A43" s="447" t="s">
        <v>3</v>
      </c>
      <c r="B43" s="461" t="s">
        <v>93</v>
      </c>
      <c r="C43" s="462" t="s">
        <v>296</v>
      </c>
      <c r="D43" s="318"/>
      <c r="E43" s="318"/>
      <c r="F43" s="318"/>
      <c r="G43" s="318"/>
      <c r="H43" s="318"/>
      <c r="I43" s="318"/>
      <c r="J43" s="318"/>
      <c r="K43" s="318"/>
      <c r="L43" s="318"/>
      <c r="M43" s="318"/>
      <c r="N43" s="318"/>
      <c r="O43" s="318"/>
      <c r="P43" s="318"/>
      <c r="Q43" s="318"/>
      <c r="R43" s="309"/>
    </row>
    <row r="44" spans="1:18" x14ac:dyDescent="0.2">
      <c r="A44" s="463" t="s">
        <v>6</v>
      </c>
      <c r="B44" s="528"/>
      <c r="C44" s="459">
        <f>'3rdIA Resource Clearing Results'!D43</f>
        <v>2634.2999999999993</v>
      </c>
      <c r="D44" s="318"/>
      <c r="E44" s="318"/>
      <c r="F44" s="318"/>
      <c r="G44" s="318"/>
      <c r="H44" s="318"/>
      <c r="I44" s="318"/>
      <c r="J44" s="318"/>
      <c r="K44" s="318"/>
      <c r="L44" s="318"/>
      <c r="M44" s="318"/>
      <c r="N44" s="318"/>
      <c r="O44" s="318"/>
      <c r="P44" s="318"/>
      <c r="Q44" s="318"/>
      <c r="R44" s="309"/>
    </row>
    <row r="45" spans="1:18" x14ac:dyDescent="0.2">
      <c r="A45" s="463" t="s">
        <v>28</v>
      </c>
      <c r="B45" s="528"/>
      <c r="C45" s="459">
        <f>'3rdIA Resource Clearing Results'!D44</f>
        <v>1371.6999999999998</v>
      </c>
      <c r="D45" s="318"/>
      <c r="E45" s="318"/>
      <c r="F45" s="318"/>
      <c r="G45" s="318"/>
      <c r="H45" s="318"/>
      <c r="I45" s="318"/>
      <c r="J45" s="318"/>
      <c r="K45" s="318"/>
      <c r="L45" s="318"/>
      <c r="M45" s="318"/>
      <c r="N45" s="318"/>
      <c r="O45" s="318"/>
      <c r="P45" s="318"/>
      <c r="Q45" s="318"/>
      <c r="R45" s="309"/>
    </row>
    <row r="46" spans="1:18" x14ac:dyDescent="0.2">
      <c r="A46" s="463" t="s">
        <v>33</v>
      </c>
      <c r="B46" s="528"/>
      <c r="C46" s="459">
        <f>'3rdIA Resource Clearing Results'!D45</f>
        <v>1045.1999999999998</v>
      </c>
      <c r="D46" s="318"/>
      <c r="E46" s="318"/>
      <c r="F46" s="318"/>
      <c r="G46" s="318"/>
      <c r="H46" s="318"/>
      <c r="I46" s="318"/>
      <c r="J46" s="318"/>
      <c r="K46" s="318"/>
      <c r="L46" s="318"/>
      <c r="M46" s="318"/>
      <c r="N46" s="318"/>
      <c r="O46" s="318"/>
      <c r="P46" s="318"/>
      <c r="Q46" s="318"/>
      <c r="R46" s="309"/>
    </row>
    <row r="47" spans="1:18" x14ac:dyDescent="0.2">
      <c r="A47" s="463" t="s">
        <v>5</v>
      </c>
      <c r="B47" s="528"/>
      <c r="C47" s="459">
        <f>'3rdIA Resource Clearing Results'!D46</f>
        <v>304.60000000000002</v>
      </c>
      <c r="D47" s="318"/>
      <c r="E47" s="318"/>
      <c r="F47" s="318"/>
      <c r="G47" s="318"/>
      <c r="H47" s="318"/>
      <c r="I47" s="318"/>
      <c r="J47" s="318"/>
      <c r="K47" s="318"/>
      <c r="L47" s="318"/>
      <c r="M47" s="318"/>
      <c r="N47" s="318"/>
      <c r="O47" s="318"/>
      <c r="P47" s="318"/>
      <c r="Q47" s="318"/>
      <c r="R47" s="309"/>
    </row>
    <row r="48" spans="1:18" x14ac:dyDescent="0.2">
      <c r="A48" s="463" t="s">
        <v>8</v>
      </c>
      <c r="B48" s="528"/>
      <c r="C48" s="459">
        <f>'3rdIA Resource Clearing Results'!D47</f>
        <v>636.09999999999991</v>
      </c>
      <c r="D48" s="318"/>
      <c r="E48" s="318"/>
      <c r="F48" s="318"/>
      <c r="G48" s="318"/>
      <c r="H48" s="318"/>
      <c r="I48" s="318"/>
      <c r="J48" s="318"/>
      <c r="K48" s="318"/>
      <c r="L48" s="318"/>
      <c r="M48" s="318"/>
      <c r="N48" s="318"/>
      <c r="O48" s="318"/>
      <c r="P48" s="318"/>
      <c r="Q48" s="318"/>
      <c r="R48" s="309"/>
    </row>
    <row r="49" spans="1:23" x14ac:dyDescent="0.2">
      <c r="A49" s="463" t="s">
        <v>34</v>
      </c>
      <c r="B49" s="528"/>
      <c r="C49" s="459">
        <f>'3rdIA Resource Clearing Results'!D48</f>
        <v>289.59999999999997</v>
      </c>
      <c r="D49" s="318"/>
      <c r="E49" s="318"/>
      <c r="F49" s="318"/>
      <c r="G49" s="318"/>
      <c r="H49" s="318"/>
      <c r="I49" s="318"/>
      <c r="J49" s="318"/>
      <c r="K49" s="318"/>
      <c r="L49" s="318"/>
      <c r="M49" s="318"/>
      <c r="N49" s="318"/>
      <c r="O49" s="318"/>
      <c r="P49" s="318"/>
      <c r="Q49" s="318"/>
      <c r="R49" s="309"/>
    </row>
    <row r="50" spans="1:23" x14ac:dyDescent="0.2">
      <c r="A50" s="463" t="s">
        <v>35</v>
      </c>
      <c r="B50" s="528"/>
      <c r="C50" s="459">
        <f>'3rdIA Resource Clearing Results'!D49</f>
        <v>0</v>
      </c>
      <c r="D50" s="318"/>
      <c r="E50" s="318"/>
      <c r="F50" s="318"/>
      <c r="G50" s="318"/>
      <c r="H50" s="318"/>
      <c r="I50" s="318"/>
      <c r="J50" s="318"/>
      <c r="K50" s="318"/>
      <c r="L50" s="318"/>
      <c r="M50" s="318"/>
      <c r="N50" s="318"/>
      <c r="O50" s="318"/>
      <c r="P50" s="318"/>
      <c r="Q50" s="318"/>
      <c r="R50" s="309"/>
    </row>
    <row r="51" spans="1:23" x14ac:dyDescent="0.2">
      <c r="A51" s="463" t="s">
        <v>15</v>
      </c>
      <c r="B51" s="528"/>
      <c r="C51" s="459">
        <f>'3rdIA Resource Clearing Results'!D50</f>
        <v>181.5</v>
      </c>
      <c r="D51" s="318"/>
      <c r="E51" s="318"/>
      <c r="F51" s="318"/>
      <c r="G51" s="318"/>
      <c r="H51" s="318"/>
      <c r="I51" s="318"/>
      <c r="J51" s="318"/>
      <c r="K51" s="318"/>
      <c r="L51" s="318"/>
      <c r="M51" s="318"/>
      <c r="N51" s="318"/>
      <c r="O51" s="318"/>
      <c r="P51" s="318"/>
      <c r="Q51" s="318"/>
      <c r="R51" s="309"/>
    </row>
    <row r="52" spans="1:23" x14ac:dyDescent="0.2">
      <c r="A52" s="463" t="s">
        <v>43</v>
      </c>
      <c r="B52" s="528"/>
      <c r="C52" s="459">
        <f>'3rdIA Resource Clearing Results'!D51</f>
        <v>0.3</v>
      </c>
      <c r="D52" s="318"/>
      <c r="E52" s="318"/>
      <c r="F52" s="318"/>
      <c r="G52" s="318"/>
      <c r="H52" s="318"/>
      <c r="I52" s="318"/>
      <c r="J52" s="318"/>
      <c r="K52" s="318"/>
      <c r="L52" s="318"/>
      <c r="M52" s="318"/>
      <c r="N52" s="318"/>
      <c r="O52" s="318"/>
      <c r="P52" s="318"/>
      <c r="Q52" s="318"/>
      <c r="R52" s="309"/>
    </row>
    <row r="53" spans="1:23" x14ac:dyDescent="0.2">
      <c r="A53" s="317" t="s">
        <v>98</v>
      </c>
      <c r="B53" s="528"/>
      <c r="C53" s="459">
        <f>'3rdIA Resource Clearing Results'!D52</f>
        <v>0</v>
      </c>
      <c r="D53" s="318"/>
      <c r="E53" s="318"/>
      <c r="F53" s="318"/>
      <c r="G53" s="318"/>
      <c r="H53" s="318"/>
      <c r="I53" s="318"/>
      <c r="J53" s="318"/>
      <c r="K53" s="318"/>
      <c r="L53" s="318"/>
      <c r="M53" s="318"/>
      <c r="N53" s="318"/>
      <c r="O53" s="318"/>
      <c r="P53" s="318"/>
      <c r="Q53" s="318"/>
      <c r="R53" s="309"/>
    </row>
    <row r="54" spans="1:23" x14ac:dyDescent="0.2">
      <c r="A54" s="317" t="s">
        <v>20</v>
      </c>
      <c r="B54" s="528"/>
      <c r="C54" s="459">
        <f>'3rdIA Resource Clearing Results'!D53</f>
        <v>0</v>
      </c>
      <c r="D54" s="318"/>
      <c r="E54" s="318"/>
      <c r="F54" s="318"/>
      <c r="G54" s="318"/>
      <c r="H54" s="318"/>
      <c r="I54" s="318"/>
      <c r="J54" s="318"/>
      <c r="K54" s="318"/>
      <c r="L54" s="318"/>
      <c r="M54" s="318"/>
      <c r="N54" s="318"/>
      <c r="O54" s="318"/>
      <c r="P54" s="318"/>
      <c r="Q54" s="318"/>
      <c r="R54" s="309"/>
    </row>
    <row r="55" spans="1:23" x14ac:dyDescent="0.2">
      <c r="A55" s="317" t="s">
        <v>11</v>
      </c>
      <c r="B55" s="528"/>
      <c r="C55" s="459">
        <f>'3rdIA Resource Clearing Results'!D54</f>
        <v>123.10000000000001</v>
      </c>
      <c r="D55" s="318"/>
      <c r="E55" s="318"/>
      <c r="F55" s="318"/>
      <c r="G55" s="318"/>
      <c r="H55" s="318"/>
      <c r="I55" s="318"/>
      <c r="J55" s="318"/>
      <c r="K55" s="318"/>
      <c r="L55" s="318"/>
      <c r="M55" s="318"/>
      <c r="N55" s="318"/>
      <c r="O55" s="318"/>
      <c r="P55" s="318"/>
      <c r="Q55" s="318"/>
      <c r="R55" s="309"/>
    </row>
    <row r="56" spans="1:23" x14ac:dyDescent="0.2">
      <c r="A56" s="317" t="s">
        <v>10</v>
      </c>
      <c r="B56" s="528"/>
      <c r="C56" s="459">
        <f>'3rdIA Resource Clearing Results'!D55</f>
        <v>0</v>
      </c>
      <c r="D56" s="318"/>
      <c r="E56" s="318"/>
      <c r="F56" s="318"/>
      <c r="G56" s="318"/>
      <c r="H56" s="318"/>
      <c r="I56" s="318"/>
      <c r="J56" s="318"/>
      <c r="K56" s="318"/>
      <c r="L56" s="318"/>
      <c r="M56" s="318"/>
      <c r="N56" s="318"/>
      <c r="O56" s="318"/>
      <c r="P56" s="318"/>
      <c r="Q56" s="318"/>
      <c r="R56" s="309"/>
    </row>
    <row r="57" spans="1:23" x14ac:dyDescent="0.2">
      <c r="A57" s="317" t="s">
        <v>21</v>
      </c>
      <c r="B57" s="528"/>
      <c r="C57" s="459">
        <f>'3rdIA Resource Clearing Results'!D56</f>
        <v>0</v>
      </c>
      <c r="D57" s="318"/>
      <c r="E57" s="318"/>
      <c r="F57" s="318"/>
      <c r="G57" s="318"/>
      <c r="H57" s="318"/>
      <c r="I57" s="318"/>
      <c r="J57" s="318"/>
      <c r="K57" s="318"/>
      <c r="L57" s="318"/>
      <c r="M57" s="318"/>
      <c r="N57" s="318"/>
      <c r="O57" s="318"/>
      <c r="P57" s="318"/>
      <c r="Q57" s="318"/>
      <c r="R57" s="309"/>
    </row>
    <row r="58" spans="1:23" x14ac:dyDescent="0.2">
      <c r="A58" s="317" t="s">
        <v>50</v>
      </c>
      <c r="B58" s="529"/>
      <c r="C58" s="459">
        <f>'3rdIA Resource Clearing Results'!D57</f>
        <v>0</v>
      </c>
      <c r="D58" s="318"/>
      <c r="E58" s="318"/>
      <c r="F58" s="318"/>
      <c r="G58" s="318"/>
      <c r="H58" s="318"/>
      <c r="I58" s="318"/>
      <c r="J58" s="318"/>
      <c r="K58" s="318"/>
      <c r="L58" s="318"/>
      <c r="M58" s="318"/>
      <c r="N58" s="318"/>
      <c r="O58" s="318"/>
      <c r="P58" s="318"/>
      <c r="Q58" s="318"/>
      <c r="R58" s="309"/>
    </row>
    <row r="59" spans="1:23" x14ac:dyDescent="0.2">
      <c r="A59" s="19" t="s">
        <v>297</v>
      </c>
      <c r="B59" s="464"/>
      <c r="C59" s="464"/>
      <c r="D59" s="318"/>
      <c r="E59" s="318"/>
      <c r="F59" s="318"/>
      <c r="G59" s="318"/>
      <c r="H59" s="318"/>
      <c r="I59" s="318"/>
      <c r="J59" s="318"/>
      <c r="K59" s="318"/>
      <c r="L59" s="318"/>
      <c r="M59" s="318"/>
      <c r="N59" s="318"/>
      <c r="O59" s="318"/>
      <c r="P59" s="318"/>
      <c r="Q59" s="318"/>
      <c r="R59" s="309"/>
    </row>
    <row r="60" spans="1:23" x14ac:dyDescent="0.2">
      <c r="A60" s="19" t="s">
        <v>298</v>
      </c>
      <c r="B60" s="464"/>
      <c r="C60" s="464"/>
      <c r="D60" s="318"/>
      <c r="E60" s="318"/>
      <c r="F60" s="318"/>
      <c r="G60" s="318"/>
      <c r="H60" s="318"/>
      <c r="I60" s="318"/>
      <c r="J60" s="318"/>
      <c r="K60" s="318"/>
      <c r="L60" s="318"/>
      <c r="M60" s="318"/>
      <c r="N60" s="318"/>
      <c r="O60" s="318"/>
      <c r="P60" s="318"/>
      <c r="Q60" s="318"/>
      <c r="R60" s="309"/>
    </row>
    <row r="61" spans="1:23" x14ac:dyDescent="0.2">
      <c r="A61" s="19"/>
      <c r="B61" s="318"/>
      <c r="C61" s="318"/>
      <c r="D61" s="318"/>
      <c r="E61" s="318"/>
      <c r="F61" s="318"/>
      <c r="G61" s="318"/>
      <c r="H61" s="318"/>
      <c r="I61" s="318"/>
      <c r="J61" s="318"/>
      <c r="K61" s="318"/>
      <c r="L61" s="318"/>
      <c r="M61" s="318"/>
      <c r="N61" s="318"/>
      <c r="O61" s="318"/>
      <c r="P61" s="318"/>
      <c r="Q61" s="318"/>
      <c r="R61" s="309"/>
    </row>
    <row r="62" spans="1:23" ht="15.75" x14ac:dyDescent="0.2">
      <c r="A62" s="315" t="s">
        <v>94</v>
      </c>
      <c r="B62" s="309"/>
      <c r="C62" s="309"/>
      <c r="D62" s="309"/>
      <c r="E62" s="309"/>
      <c r="F62" s="309"/>
      <c r="G62" s="309"/>
      <c r="H62" s="309"/>
      <c r="I62" s="309"/>
      <c r="J62" s="309"/>
      <c r="K62" s="309"/>
      <c r="L62" s="309"/>
      <c r="M62" s="309"/>
      <c r="N62" s="309"/>
      <c r="O62" s="309"/>
      <c r="P62" s="309"/>
      <c r="Q62" s="309"/>
      <c r="R62" s="309"/>
    </row>
    <row r="63" spans="1:23" x14ac:dyDescent="0.2">
      <c r="A63" s="519" t="s">
        <v>7</v>
      </c>
      <c r="B63" s="520" t="s">
        <v>93</v>
      </c>
      <c r="C63" s="521"/>
      <c r="D63" s="521"/>
      <c r="E63" s="522"/>
      <c r="F63" s="523" t="s">
        <v>279</v>
      </c>
      <c r="G63" s="524"/>
      <c r="H63" s="524"/>
      <c r="I63" s="525"/>
      <c r="J63" s="519" t="s">
        <v>7</v>
      </c>
      <c r="K63" s="309"/>
      <c r="L63" s="309"/>
      <c r="M63" s="309"/>
      <c r="N63" s="309"/>
      <c r="O63" s="309"/>
      <c r="P63" s="309"/>
      <c r="Q63" s="309"/>
      <c r="R63" s="309"/>
      <c r="S63" s="309"/>
      <c r="T63" s="309"/>
      <c r="U63" s="309"/>
      <c r="V63" s="309"/>
      <c r="W63" s="309"/>
    </row>
    <row r="64" spans="1:23" ht="51" x14ac:dyDescent="0.2">
      <c r="A64" s="519"/>
      <c r="B64" s="319" t="s">
        <v>170</v>
      </c>
      <c r="C64" s="319" t="s">
        <v>153</v>
      </c>
      <c r="D64" s="319" t="s">
        <v>95</v>
      </c>
      <c r="E64" s="319" t="s">
        <v>96</v>
      </c>
      <c r="F64" s="450" t="s">
        <v>280</v>
      </c>
      <c r="G64" s="450" t="s">
        <v>281</v>
      </c>
      <c r="H64" s="450" t="s">
        <v>282</v>
      </c>
      <c r="I64" s="451" t="s">
        <v>283</v>
      </c>
      <c r="J64" s="519"/>
      <c r="K64" s="309"/>
      <c r="L64" s="512"/>
      <c r="M64" s="512"/>
      <c r="N64" s="512"/>
      <c r="O64" s="512"/>
      <c r="P64" s="527"/>
      <c r="Q64" s="527"/>
      <c r="R64" s="527"/>
      <c r="S64" s="527"/>
      <c r="T64" s="309"/>
      <c r="U64" s="309"/>
      <c r="V64" s="309"/>
      <c r="W64" s="309"/>
    </row>
    <row r="65" spans="1:23" x14ac:dyDescent="0.2">
      <c r="A65" s="310" t="s">
        <v>16</v>
      </c>
      <c r="B65" s="311">
        <f>'BRA Load Pricing Results'!J40</f>
        <v>2918.6775054358359</v>
      </c>
      <c r="C65" s="312">
        <f>'BRA Load Pricing Results'!L40</f>
        <v>53.790942356899457</v>
      </c>
      <c r="D65" s="312">
        <f>'BRA CTRs'!AE23</f>
        <v>0.48465117497361043</v>
      </c>
      <c r="E65" s="312">
        <f>C65-D65</f>
        <v>53.306291181925843</v>
      </c>
      <c r="F65" s="495">
        <f>'3rd IA Load Pricing Results'!J42</f>
        <v>2910.5792404461713</v>
      </c>
      <c r="G65" s="452">
        <f>'3rd IA Load Pricing Results'!L42</f>
        <v>57.357146584344044</v>
      </c>
      <c r="H65" s="452">
        <f>'3rd IA CTRs'!AE23</f>
        <v>0.79852916894085701</v>
      </c>
      <c r="I65" s="452">
        <f>G65-H65</f>
        <v>56.558617415403184</v>
      </c>
      <c r="J65" s="310" t="s">
        <v>16</v>
      </c>
      <c r="K65" s="309"/>
      <c r="L65" s="508"/>
      <c r="M65" s="509"/>
      <c r="N65" s="510"/>
      <c r="O65" s="511"/>
      <c r="P65" s="511"/>
      <c r="Q65" s="511"/>
      <c r="R65" s="511"/>
      <c r="S65" s="511"/>
      <c r="T65" s="309"/>
      <c r="U65" s="309"/>
      <c r="V65" s="309"/>
      <c r="W65" s="309"/>
    </row>
    <row r="66" spans="1:23" x14ac:dyDescent="0.2">
      <c r="A66" s="310" t="s">
        <v>176</v>
      </c>
      <c r="B66" s="311">
        <f>'BRA Load Pricing Results'!J41</f>
        <v>13441.157259316604</v>
      </c>
      <c r="C66" s="312">
        <f>'BRA Load Pricing Results'!L41</f>
        <v>28.992949552103212</v>
      </c>
      <c r="D66" s="312">
        <f>'BRA CTRs'!AE24</f>
        <v>0</v>
      </c>
      <c r="E66" s="320">
        <f>C66-D66</f>
        <v>28.992949552103212</v>
      </c>
      <c r="F66" s="495">
        <f>'3rd IA Load Pricing Results'!J43</f>
        <v>13931.518498004538</v>
      </c>
      <c r="G66" s="452">
        <f>'3rd IA Load Pricing Results'!L43</f>
        <v>29.50457118031947</v>
      </c>
      <c r="H66" s="452">
        <f>'3rd IA CTRs'!AE24</f>
        <v>0</v>
      </c>
      <c r="I66" s="452">
        <f t="shared" ref="I66:I85" si="0">G66-H66</f>
        <v>29.50457118031947</v>
      </c>
      <c r="J66" s="310" t="s">
        <v>176</v>
      </c>
      <c r="K66" s="309"/>
      <c r="L66" s="508"/>
      <c r="M66" s="509"/>
      <c r="N66" s="510"/>
      <c r="O66" s="511"/>
      <c r="P66" s="511"/>
      <c r="Q66" s="511"/>
      <c r="R66" s="511"/>
      <c r="S66" s="511"/>
      <c r="T66" s="309"/>
      <c r="U66" s="309"/>
      <c r="V66" s="309"/>
      <c r="W66" s="309"/>
    </row>
    <row r="67" spans="1:23" x14ac:dyDescent="0.2">
      <c r="A67" s="310" t="s">
        <v>19</v>
      </c>
      <c r="B67" s="311">
        <f>'BRA Load Pricing Results'!J42</f>
        <v>10383.873492661467</v>
      </c>
      <c r="C67" s="312">
        <f>'BRA Load Pricing Results'!L42</f>
        <v>28.992949552103212</v>
      </c>
      <c r="D67" s="312">
        <f>'BRA CTRs'!AE25</f>
        <v>0</v>
      </c>
      <c r="E67" s="320">
        <f>C67-D67</f>
        <v>28.992949552103212</v>
      </c>
      <c r="F67" s="495">
        <f>'3rd IA Load Pricing Results'!J44</f>
        <v>10750.565024286283</v>
      </c>
      <c r="G67" s="452">
        <f>'3rd IA Load Pricing Results'!L44</f>
        <v>29.50457118031947</v>
      </c>
      <c r="H67" s="452">
        <f>'3rd IA CTRs'!AE25</f>
        <v>0</v>
      </c>
      <c r="I67" s="452">
        <f t="shared" si="0"/>
        <v>29.50457118031947</v>
      </c>
      <c r="J67" s="310" t="s">
        <v>19</v>
      </c>
      <c r="K67" s="309"/>
      <c r="L67" s="508"/>
      <c r="M67" s="509"/>
      <c r="N67" s="510"/>
      <c r="O67" s="511"/>
      <c r="P67" s="511"/>
      <c r="Q67" s="511"/>
      <c r="R67" s="511"/>
      <c r="S67" s="511"/>
      <c r="T67" s="309"/>
      <c r="U67" s="309"/>
      <c r="V67" s="309"/>
      <c r="W67" s="309"/>
    </row>
    <row r="68" spans="1:23" x14ac:dyDescent="0.2">
      <c r="A68" s="310" t="s">
        <v>43</v>
      </c>
      <c r="B68" s="311">
        <f>'BRA Load Pricing Results'!J43</f>
        <v>14616.503355692425</v>
      </c>
      <c r="C68" s="312">
        <f>'BRA Load Pricing Results'!L43</f>
        <v>28.992949552103212</v>
      </c>
      <c r="D68" s="312">
        <f>'BRA CTRs'!AE26</f>
        <v>0</v>
      </c>
      <c r="E68" s="320">
        <f>C68-D68</f>
        <v>28.992949552103212</v>
      </c>
      <c r="F68" s="495">
        <f>'3rd IA Load Pricing Results'!J45</f>
        <v>14837.76140448729</v>
      </c>
      <c r="G68" s="452">
        <f>'3rd IA Load Pricing Results'!L45</f>
        <v>29.50457118031947</v>
      </c>
      <c r="H68" s="452">
        <f>'3rd IA CTRs'!AE26</f>
        <v>0</v>
      </c>
      <c r="I68" s="452">
        <f t="shared" si="0"/>
        <v>29.50457118031947</v>
      </c>
      <c r="J68" s="310" t="s">
        <v>43</v>
      </c>
      <c r="K68" s="309"/>
      <c r="L68" s="508"/>
      <c r="M68" s="509"/>
      <c r="N68" s="510"/>
      <c r="O68" s="511"/>
      <c r="P68" s="511"/>
      <c r="Q68" s="511"/>
      <c r="R68" s="511"/>
      <c r="S68" s="511"/>
      <c r="T68" s="309"/>
      <c r="U68" s="309"/>
      <c r="V68" s="309"/>
      <c r="W68" s="309"/>
    </row>
    <row r="69" spans="1:23" x14ac:dyDescent="0.2">
      <c r="A69" s="310" t="s">
        <v>11</v>
      </c>
      <c r="B69" s="311">
        <f>'BRA Load Pricing Results'!J44</f>
        <v>7556.4426787252924</v>
      </c>
      <c r="C69" s="312">
        <f>'BRA Load Pricing Results'!L44</f>
        <v>73.872094079130122</v>
      </c>
      <c r="D69" s="312">
        <f>'BRA CTRs'!AE27</f>
        <v>14.041525740089442</v>
      </c>
      <c r="E69" s="320">
        <f t="shared" ref="E69:E84" si="1">C69-D69</f>
        <v>59.830568339040681</v>
      </c>
      <c r="F69" s="495">
        <f>'3rd IA Load Pricing Results'!J46</f>
        <v>7726.039702937539</v>
      </c>
      <c r="G69" s="452">
        <f>'3rd IA Load Pricing Results'!L46</f>
        <v>76.755372728925764</v>
      </c>
      <c r="H69" s="452">
        <f>'3rd IA CTRs'!AE27</f>
        <v>15.220825298803856</v>
      </c>
      <c r="I69" s="452">
        <f t="shared" si="0"/>
        <v>61.534547430121904</v>
      </c>
      <c r="J69" s="310" t="s">
        <v>11</v>
      </c>
      <c r="K69" s="309"/>
      <c r="L69" s="508"/>
      <c r="M69" s="509"/>
      <c r="N69" s="510"/>
      <c r="O69" s="511"/>
      <c r="P69" s="511"/>
      <c r="Q69" s="511"/>
      <c r="R69" s="511"/>
      <c r="S69" s="511"/>
      <c r="T69" s="309"/>
      <c r="U69" s="309"/>
      <c r="V69" s="309"/>
      <c r="W69" s="309"/>
    </row>
    <row r="70" spans="1:23" x14ac:dyDescent="0.2">
      <c r="A70" s="310" t="s">
        <v>20</v>
      </c>
      <c r="B70" s="311">
        <f>'BRA Load Pricing Results'!J45</f>
        <v>24121.975364850485</v>
      </c>
      <c r="C70" s="312">
        <f>'BRA Load Pricing Results'!L45</f>
        <v>28.992949552103212</v>
      </c>
      <c r="D70" s="312">
        <f>'BRA CTRs'!AE28</f>
        <v>0</v>
      </c>
      <c r="E70" s="320">
        <f t="shared" si="1"/>
        <v>28.992949552103212</v>
      </c>
      <c r="F70" s="495">
        <f>'3rd IA Load Pricing Results'!J47</f>
        <v>23327.982976086652</v>
      </c>
      <c r="G70" s="452">
        <f>'3rd IA Load Pricing Results'!L47</f>
        <v>29.50457118031947</v>
      </c>
      <c r="H70" s="452">
        <f>'3rd IA CTRs'!AE28</f>
        <v>0</v>
      </c>
      <c r="I70" s="452">
        <f t="shared" si="0"/>
        <v>29.50457118031947</v>
      </c>
      <c r="J70" s="310" t="s">
        <v>20</v>
      </c>
      <c r="K70" s="309"/>
      <c r="L70" s="508"/>
      <c r="M70" s="509"/>
      <c r="N70" s="510"/>
      <c r="O70" s="511"/>
      <c r="P70" s="511"/>
      <c r="Q70" s="511"/>
      <c r="R70" s="511"/>
      <c r="S70" s="511"/>
      <c r="T70" s="309"/>
      <c r="U70" s="309"/>
      <c r="V70" s="309"/>
      <c r="W70" s="309"/>
    </row>
    <row r="71" spans="1:23" x14ac:dyDescent="0.2">
      <c r="A71" s="310" t="s">
        <v>21</v>
      </c>
      <c r="B71" s="311">
        <f>'BRA Load Pricing Results'!J46</f>
        <v>3831.1444204324498</v>
      </c>
      <c r="C71" s="312">
        <f>'BRA Load Pricing Results'!L46</f>
        <v>28.992949552103212</v>
      </c>
      <c r="D71" s="312">
        <f>'BRA CTRs'!AE29</f>
        <v>0</v>
      </c>
      <c r="E71" s="320">
        <f t="shared" si="1"/>
        <v>28.992949552103212</v>
      </c>
      <c r="F71" s="495">
        <f>'3rd IA Load Pricing Results'!J48</f>
        <v>3880.3594724756827</v>
      </c>
      <c r="G71" s="452">
        <f>'3rd IA Load Pricing Results'!L48</f>
        <v>29.50457118031947</v>
      </c>
      <c r="H71" s="452">
        <f>'3rd IA CTRs'!AE29</f>
        <v>0</v>
      </c>
      <c r="I71" s="452">
        <f t="shared" si="0"/>
        <v>29.50457118031947</v>
      </c>
      <c r="J71" s="310" t="s">
        <v>21</v>
      </c>
      <c r="K71" s="309"/>
      <c r="L71" s="508"/>
      <c r="M71" s="509"/>
      <c r="N71" s="510"/>
      <c r="O71" s="511"/>
      <c r="P71" s="511"/>
      <c r="Q71" s="511"/>
      <c r="R71" s="511"/>
      <c r="S71" s="511"/>
      <c r="T71" s="309"/>
      <c r="U71" s="309"/>
      <c r="V71" s="309"/>
      <c r="W71" s="309"/>
    </row>
    <row r="72" spans="1:23" x14ac:dyDescent="0.2">
      <c r="A72" s="310" t="s">
        <v>177</v>
      </c>
      <c r="B72" s="311">
        <f>'BRA Load Pricing Results'!J47</f>
        <v>5230.3524446039564</v>
      </c>
      <c r="C72" s="312">
        <f>'BRA Load Pricing Results'!L47</f>
        <v>96.312949552103206</v>
      </c>
      <c r="D72" s="312">
        <f>'BRA CTRs'!AE30</f>
        <v>38.810678385576566</v>
      </c>
      <c r="E72" s="320">
        <f t="shared" si="1"/>
        <v>57.50227116652664</v>
      </c>
      <c r="F72" s="495">
        <f>'3rd IA Load Pricing Results'!J49</f>
        <v>5254.4005828378022</v>
      </c>
      <c r="G72" s="452">
        <f>'3rd IA Load Pricing Results'!L49</f>
        <v>98.478608781035675</v>
      </c>
      <c r="H72" s="452">
        <f>'3rd IA CTRs'!AE30</f>
        <v>40.546403758714952</v>
      </c>
      <c r="I72" s="452">
        <f t="shared" si="0"/>
        <v>57.932205022320723</v>
      </c>
      <c r="J72" s="310" t="s">
        <v>177</v>
      </c>
      <c r="K72" s="309"/>
      <c r="L72" s="508"/>
      <c r="M72" s="509"/>
      <c r="N72" s="510"/>
      <c r="O72" s="511"/>
      <c r="P72" s="511"/>
      <c r="Q72" s="511"/>
      <c r="R72" s="511"/>
      <c r="S72" s="511"/>
      <c r="T72" s="309"/>
      <c r="U72" s="309"/>
      <c r="V72" s="309"/>
      <c r="W72" s="309"/>
    </row>
    <row r="73" spans="1:23" x14ac:dyDescent="0.2">
      <c r="A73" s="310" t="s">
        <v>42</v>
      </c>
      <c r="B73" s="311">
        <f>'BRA Load Pricing Results'!J48</f>
        <v>3258.1151978145758</v>
      </c>
      <c r="C73" s="312">
        <f>'BRA Load Pricing Results'!L48</f>
        <v>28.992949552103212</v>
      </c>
      <c r="D73" s="312">
        <f>'BRA CTRs'!AE31</f>
        <v>0</v>
      </c>
      <c r="E73" s="320">
        <f t="shared" si="1"/>
        <v>28.992949552103212</v>
      </c>
      <c r="F73" s="495">
        <f>'3rd IA Load Pricing Results'!J50</f>
        <v>3243.7476726504347</v>
      </c>
      <c r="G73" s="452">
        <f>'3rd IA Load Pricing Results'!L50</f>
        <v>29.50457118031947</v>
      </c>
      <c r="H73" s="452">
        <f>'3rd IA CTRs'!AE31</f>
        <v>0</v>
      </c>
      <c r="I73" s="452">
        <f t="shared" si="0"/>
        <v>29.50457118031947</v>
      </c>
      <c r="J73" s="310" t="s">
        <v>42</v>
      </c>
      <c r="K73" s="309"/>
      <c r="L73" s="508"/>
      <c r="M73" s="509"/>
      <c r="N73" s="510"/>
      <c r="O73" s="511"/>
      <c r="P73" s="511"/>
      <c r="Q73" s="511"/>
      <c r="R73" s="511"/>
      <c r="S73" s="511"/>
      <c r="T73" s="309"/>
      <c r="U73" s="309"/>
      <c r="V73" s="309"/>
      <c r="W73" s="309"/>
    </row>
    <row r="74" spans="1:23" x14ac:dyDescent="0.2">
      <c r="A74" s="310" t="s">
        <v>324</v>
      </c>
      <c r="B74" s="311">
        <f>'BRA Load Pricing Results'!J49</f>
        <v>3805.5144217288594</v>
      </c>
      <c r="C74" s="312">
        <f>'BRA Load Pricing Results'!L49</f>
        <v>28.992949552103212</v>
      </c>
      <c r="D74" s="312">
        <f>'BRA CTRs'!AE32</f>
        <v>0</v>
      </c>
      <c r="E74" s="320">
        <f t="shared" si="1"/>
        <v>28.992949552103212</v>
      </c>
      <c r="F74" s="495">
        <f>'3rd IA Load Pricing Results'!J51</f>
        <v>4474.9846185770466</v>
      </c>
      <c r="G74" s="452">
        <f>'3rd IA Load Pricing Results'!L51</f>
        <v>29.50457118031947</v>
      </c>
      <c r="H74" s="452">
        <f>'3rd IA CTRs'!AE32</f>
        <v>0</v>
      </c>
      <c r="I74" s="452">
        <f t="shared" si="0"/>
        <v>29.50457118031947</v>
      </c>
      <c r="J74" s="310" t="s">
        <v>324</v>
      </c>
      <c r="K74" s="309"/>
      <c r="L74" s="508"/>
      <c r="M74" s="509"/>
      <c r="N74" s="510"/>
      <c r="O74" s="511"/>
      <c r="P74" s="511"/>
      <c r="Q74" s="511"/>
      <c r="R74" s="511"/>
      <c r="S74" s="511"/>
      <c r="T74" s="309"/>
      <c r="U74" s="309"/>
      <c r="V74" s="309"/>
      <c r="W74" s="309"/>
    </row>
    <row r="75" spans="1:23" x14ac:dyDescent="0.2">
      <c r="A75" s="310" t="s">
        <v>17</v>
      </c>
      <c r="B75" s="311">
        <f>'BRA Load Pricing Results'!J50</f>
        <v>4607.3496094562361</v>
      </c>
      <c r="C75" s="312">
        <f>'BRA Load Pricing Results'!L50</f>
        <v>165.61482189477528</v>
      </c>
      <c r="D75" s="312">
        <f>'BRA CTRs'!AE33</f>
        <v>-5.8780345550946285</v>
      </c>
      <c r="E75" s="320">
        <f t="shared" si="1"/>
        <v>171.49285644986989</v>
      </c>
      <c r="F75" s="495">
        <f>'3rd IA Load Pricing Results'!J52</f>
        <v>4590.0453894014936</v>
      </c>
      <c r="G75" s="452">
        <f>'3rd IA Load Pricing Results'!L52</f>
        <v>169.10512599448228</v>
      </c>
      <c r="H75" s="452">
        <f>'3rd IA CTRs'!AE33</f>
        <v>-6.1170313351836745</v>
      </c>
      <c r="I75" s="452">
        <f t="shared" si="0"/>
        <v>175.22215732966595</v>
      </c>
      <c r="J75" s="310" t="s">
        <v>17</v>
      </c>
      <c r="K75" s="309"/>
      <c r="L75" s="508"/>
      <c r="M75" s="509"/>
      <c r="N75" s="510"/>
      <c r="O75" s="511"/>
      <c r="P75" s="511"/>
      <c r="Q75" s="511"/>
      <c r="R75" s="511"/>
      <c r="S75" s="511"/>
      <c r="T75" s="309"/>
      <c r="U75" s="309"/>
      <c r="V75" s="309"/>
      <c r="W75" s="309"/>
    </row>
    <row r="76" spans="1:23" x14ac:dyDescent="0.2">
      <c r="A76" s="310" t="s">
        <v>178</v>
      </c>
      <c r="B76" s="311">
        <f>'BRA Load Pricing Results'!J51</f>
        <v>2906.2195350369948</v>
      </c>
      <c r="C76" s="312">
        <f>'BRA Load Pricing Results'!L51</f>
        <v>28.992949552103212</v>
      </c>
      <c r="D76" s="312">
        <f>'BRA CTRs'!AE34</f>
        <v>0</v>
      </c>
      <c r="E76" s="320">
        <f t="shared" si="1"/>
        <v>28.992949552103212</v>
      </c>
      <c r="F76" s="495">
        <f>'3rd IA Load Pricing Results'!J53</f>
        <v>2877.510106097272</v>
      </c>
      <c r="G76" s="452">
        <f>'3rd IA Load Pricing Results'!L53</f>
        <v>29.50457118031947</v>
      </c>
      <c r="H76" s="452">
        <f>'3rd IA CTRs'!AE34</f>
        <v>0</v>
      </c>
      <c r="I76" s="452">
        <f t="shared" si="0"/>
        <v>29.50457118031947</v>
      </c>
      <c r="J76" s="310" t="s">
        <v>178</v>
      </c>
      <c r="K76" s="309"/>
      <c r="L76" s="508"/>
      <c r="M76" s="509"/>
      <c r="N76" s="510"/>
      <c r="O76" s="511"/>
      <c r="P76" s="511"/>
      <c r="Q76" s="511"/>
      <c r="R76" s="511"/>
      <c r="S76" s="511"/>
      <c r="T76" s="309"/>
      <c r="U76" s="309"/>
      <c r="V76" s="309"/>
      <c r="W76" s="309"/>
    </row>
    <row r="77" spans="1:23" x14ac:dyDescent="0.2">
      <c r="A77" s="310" t="s">
        <v>12</v>
      </c>
      <c r="B77" s="311">
        <f>'BRA Load Pricing Results'!J52</f>
        <v>6794.8369603414521</v>
      </c>
      <c r="C77" s="312">
        <f>'BRA Load Pricing Results'!L52</f>
        <v>53.790942356899457</v>
      </c>
      <c r="D77" s="312">
        <f>'BRA CTRs'!AE35</f>
        <v>0.48465117497361049</v>
      </c>
      <c r="E77" s="320">
        <f t="shared" si="1"/>
        <v>53.306291181925843</v>
      </c>
      <c r="F77" s="495">
        <f>'3rd IA Load Pricing Results'!J54</f>
        <v>7051.0330280255539</v>
      </c>
      <c r="G77" s="452">
        <f>'3rd IA Load Pricing Results'!L54</f>
        <v>57.357146584344044</v>
      </c>
      <c r="H77" s="452">
        <f>'3rd IA CTRs'!AE35</f>
        <v>0.79852916894085713</v>
      </c>
      <c r="I77" s="452">
        <f t="shared" si="0"/>
        <v>56.558617415403184</v>
      </c>
      <c r="J77" s="310" t="s">
        <v>12</v>
      </c>
      <c r="K77" s="309"/>
      <c r="L77" s="508"/>
      <c r="M77" s="509"/>
      <c r="N77" s="510"/>
      <c r="O77" s="511"/>
      <c r="P77" s="511"/>
      <c r="Q77" s="511"/>
      <c r="R77" s="511"/>
      <c r="S77" s="511"/>
      <c r="T77" s="309"/>
      <c r="U77" s="309"/>
      <c r="V77" s="309"/>
      <c r="W77" s="309"/>
    </row>
    <row r="78" spans="1:23" x14ac:dyDescent="0.2">
      <c r="A78" s="310" t="s">
        <v>13</v>
      </c>
      <c r="B78" s="311">
        <f>'BRA Load Pricing Results'!J53</f>
        <v>3478.3238799670917</v>
      </c>
      <c r="C78" s="312">
        <f>'BRA Load Pricing Results'!L53</f>
        <v>49.678961768309357</v>
      </c>
      <c r="D78" s="312">
        <f>'BRA CTRs'!AE36</f>
        <v>0</v>
      </c>
      <c r="E78" s="320">
        <f t="shared" si="1"/>
        <v>49.678961768309357</v>
      </c>
      <c r="F78" s="495">
        <f>'3rd IA Load Pricing Results'!J55</f>
        <v>3612.8338912261625</v>
      </c>
      <c r="G78" s="452">
        <f>'3rd IA Load Pricing Results'!L55</f>
        <v>50.221050796350866</v>
      </c>
      <c r="H78" s="452">
        <f>'3rd IA CTRs'!AE36</f>
        <v>0</v>
      </c>
      <c r="I78" s="452">
        <f t="shared" si="0"/>
        <v>50.221050796350866</v>
      </c>
      <c r="J78" s="310" t="s">
        <v>13</v>
      </c>
      <c r="K78" s="309"/>
      <c r="L78" s="508"/>
      <c r="M78" s="509"/>
      <c r="N78" s="510"/>
      <c r="O78" s="511"/>
      <c r="P78" s="511"/>
      <c r="Q78" s="511"/>
      <c r="R78" s="511"/>
      <c r="S78" s="511"/>
      <c r="T78" s="309"/>
      <c r="U78" s="309"/>
      <c r="V78" s="309"/>
      <c r="W78" s="309"/>
    </row>
    <row r="79" spans="1:23" x14ac:dyDescent="0.2">
      <c r="A79" s="310" t="s">
        <v>182</v>
      </c>
      <c r="B79" s="311">
        <f>'BRA Load Pricing Results'!J54</f>
        <v>85.163578733017303</v>
      </c>
      <c r="C79" s="312">
        <f>'BRA Load Pricing Results'!L54</f>
        <v>28.992949552103212</v>
      </c>
      <c r="D79" s="312">
        <f>'BRA CTRs'!AE37</f>
        <v>0</v>
      </c>
      <c r="E79" s="320">
        <f t="shared" ref="E79" si="2">C79-D79</f>
        <v>28.992949552103212</v>
      </c>
      <c r="F79" s="495">
        <f>'3rd IA Load Pricing Results'!J56</f>
        <v>74.312661458200111</v>
      </c>
      <c r="G79" s="452">
        <f>'3rd IA Load Pricing Results'!L56</f>
        <v>29.50457118031947</v>
      </c>
      <c r="H79" s="452">
        <f>'3rd IA CTRs'!AE37</f>
        <v>0</v>
      </c>
      <c r="I79" s="452">
        <f t="shared" si="0"/>
        <v>29.50457118031947</v>
      </c>
      <c r="J79" s="310" t="s">
        <v>182</v>
      </c>
      <c r="K79" s="309"/>
      <c r="L79" s="508"/>
      <c r="M79" s="509"/>
      <c r="N79" s="510"/>
      <c r="O79" s="511"/>
      <c r="P79" s="511"/>
      <c r="Q79" s="511"/>
      <c r="R79" s="511"/>
      <c r="S79" s="511"/>
      <c r="T79" s="309"/>
      <c r="U79" s="309"/>
      <c r="V79" s="309"/>
      <c r="W79" s="309"/>
    </row>
    <row r="80" spans="1:23" x14ac:dyDescent="0.2">
      <c r="A80" s="310" t="s">
        <v>9</v>
      </c>
      <c r="B80" s="311">
        <f>'BRA Load Pricing Results'!J55</f>
        <v>9892.3579811166219</v>
      </c>
      <c r="C80" s="312">
        <f>'BRA Load Pricing Results'!L55</f>
        <v>53.790942356899457</v>
      </c>
      <c r="D80" s="312">
        <f>'BRA CTRs'!AE38</f>
        <v>0.48465117497361032</v>
      </c>
      <c r="E80" s="320">
        <f t="shared" si="1"/>
        <v>53.306291181925843</v>
      </c>
      <c r="F80" s="495">
        <f>'3rd IA Load Pricing Results'!J57</f>
        <v>10035.924929929924</v>
      </c>
      <c r="G80" s="452">
        <f>'3rd IA Load Pricing Results'!L57</f>
        <v>57.357146584344044</v>
      </c>
      <c r="H80" s="452">
        <f>'3rd IA CTRs'!AE38</f>
        <v>0.79852916894085701</v>
      </c>
      <c r="I80" s="452">
        <f t="shared" si="0"/>
        <v>56.558617415403184</v>
      </c>
      <c r="J80" s="310" t="s">
        <v>9</v>
      </c>
      <c r="K80" s="309"/>
      <c r="L80" s="508"/>
      <c r="M80" s="509"/>
      <c r="N80" s="510"/>
      <c r="O80" s="511"/>
      <c r="P80" s="511"/>
      <c r="Q80" s="511"/>
      <c r="R80" s="511"/>
      <c r="S80" s="511"/>
      <c r="T80" s="309"/>
      <c r="U80" s="309"/>
      <c r="V80" s="309"/>
      <c r="W80" s="309"/>
    </row>
    <row r="81" spans="1:23" x14ac:dyDescent="0.2">
      <c r="A81" s="310" t="s">
        <v>14</v>
      </c>
      <c r="B81" s="311">
        <f>'BRA Load Pricing Results'!J56</f>
        <v>3294.6138744144405</v>
      </c>
      <c r="C81" s="312">
        <f>'BRA Load Pricing Results'!L56</f>
        <v>49.678961768309357</v>
      </c>
      <c r="D81" s="312">
        <f>'BRA CTRs'!AE39</f>
        <v>0</v>
      </c>
      <c r="E81" s="320">
        <f t="shared" si="1"/>
        <v>49.678961768309357</v>
      </c>
      <c r="F81" s="495">
        <f>'3rd IA Load Pricing Results'!J58</f>
        <v>3396.0886286397449</v>
      </c>
      <c r="G81" s="452">
        <f>'3rd IA Load Pricing Results'!L58</f>
        <v>50.221050796350866</v>
      </c>
      <c r="H81" s="452">
        <f>'3rd IA CTRs'!AE39</f>
        <v>0</v>
      </c>
      <c r="I81" s="452">
        <f t="shared" si="0"/>
        <v>50.221050796350866</v>
      </c>
      <c r="J81" s="310" t="s">
        <v>14</v>
      </c>
      <c r="K81" s="309"/>
      <c r="L81" s="508"/>
      <c r="M81" s="509"/>
      <c r="N81" s="510"/>
      <c r="O81" s="511"/>
      <c r="P81" s="511"/>
      <c r="Q81" s="511"/>
      <c r="R81" s="511"/>
      <c r="S81" s="511"/>
      <c r="T81" s="309"/>
      <c r="U81" s="309"/>
      <c r="V81" s="309"/>
      <c r="W81" s="309"/>
    </row>
    <row r="82" spans="1:23" x14ac:dyDescent="0.2">
      <c r="A82" s="310" t="s">
        <v>15</v>
      </c>
      <c r="B82" s="311">
        <f>'BRA Load Pricing Results'!J57</f>
        <v>6976.1137207874453</v>
      </c>
      <c r="C82" s="312">
        <f>'BRA Load Pricing Results'!L57</f>
        <v>49.678961768309357</v>
      </c>
      <c r="D82" s="312">
        <f>'BRA CTRs'!AE40</f>
        <v>0</v>
      </c>
      <c r="E82" s="320">
        <f t="shared" si="1"/>
        <v>49.678961768309357</v>
      </c>
      <c r="F82" s="495">
        <f>'3rd IA Load Pricing Results'!J59</f>
        <v>7167.4561976434015</v>
      </c>
      <c r="G82" s="452">
        <f>'3rd IA Load Pricing Results'!L59</f>
        <v>50.221050796350866</v>
      </c>
      <c r="H82" s="452">
        <f>'3rd IA CTRs'!AE40</f>
        <v>0</v>
      </c>
      <c r="I82" s="452">
        <f t="shared" si="0"/>
        <v>50.221050796350866</v>
      </c>
      <c r="J82" s="310" t="s">
        <v>15</v>
      </c>
      <c r="K82" s="309"/>
      <c r="L82" s="508"/>
      <c r="M82" s="509"/>
      <c r="N82" s="510"/>
      <c r="O82" s="511"/>
      <c r="P82" s="511"/>
      <c r="Q82" s="511"/>
      <c r="R82" s="511"/>
      <c r="S82" s="511"/>
      <c r="T82" s="309"/>
      <c r="U82" s="309"/>
      <c r="V82" s="309"/>
      <c r="W82" s="309"/>
    </row>
    <row r="83" spans="1:23" x14ac:dyDescent="0.2">
      <c r="A83" s="310" t="s">
        <v>10</v>
      </c>
      <c r="B83" s="311">
        <f>'BRA Load Pricing Results'!J58</f>
        <v>8552.8565499015931</v>
      </c>
      <c r="C83" s="312">
        <f>'BRA Load Pricing Results'!L58</f>
        <v>49.678961768309357</v>
      </c>
      <c r="D83" s="312">
        <f>'BRA CTRs'!AE41</f>
        <v>0</v>
      </c>
      <c r="E83" s="320">
        <f t="shared" si="1"/>
        <v>49.678961768309357</v>
      </c>
      <c r="F83" s="495">
        <f>'3rd IA Load Pricing Results'!J60</f>
        <v>8695.8199349670485</v>
      </c>
      <c r="G83" s="452">
        <f>'3rd IA Load Pricing Results'!L60</f>
        <v>50.221050796350866</v>
      </c>
      <c r="H83" s="452">
        <f>'3rd IA CTRs'!AE41</f>
        <v>0</v>
      </c>
      <c r="I83" s="452">
        <f t="shared" si="0"/>
        <v>50.221050796350866</v>
      </c>
      <c r="J83" s="310" t="s">
        <v>10</v>
      </c>
      <c r="K83" s="309"/>
      <c r="L83" s="508"/>
      <c r="M83" s="509"/>
      <c r="N83" s="510"/>
      <c r="O83" s="511"/>
      <c r="P83" s="511"/>
      <c r="Q83" s="511"/>
      <c r="R83" s="511"/>
      <c r="S83" s="511"/>
      <c r="T83" s="309"/>
      <c r="U83" s="309"/>
      <c r="V83" s="309"/>
      <c r="W83" s="309"/>
    </row>
    <row r="84" spans="1:23" x14ac:dyDescent="0.2">
      <c r="A84" s="310" t="s">
        <v>8</v>
      </c>
      <c r="B84" s="311">
        <f>'BRA Load Pricing Results'!J59</f>
        <v>11270.791334038175</v>
      </c>
      <c r="C84" s="312">
        <f>'BRA Load Pricing Results'!L59</f>
        <v>53.790942356899457</v>
      </c>
      <c r="D84" s="312">
        <f>'BRA CTRs'!AE42</f>
        <v>0.48465117497361049</v>
      </c>
      <c r="E84" s="320">
        <f t="shared" si="1"/>
        <v>53.306291181925843</v>
      </c>
      <c r="F84" s="495">
        <f>'3rd IA Load Pricing Results'!J61</f>
        <v>11792.18082905872</v>
      </c>
      <c r="G84" s="452">
        <f>'3rd IA Load Pricing Results'!L61</f>
        <v>57.357146584344036</v>
      </c>
      <c r="H84" s="452">
        <f>'3rd IA CTRs'!AE42</f>
        <v>0.79852916894085713</v>
      </c>
      <c r="I84" s="452">
        <f t="shared" si="0"/>
        <v>56.558617415403177</v>
      </c>
      <c r="J84" s="310" t="s">
        <v>8</v>
      </c>
      <c r="K84" s="309"/>
      <c r="L84" s="508"/>
      <c r="M84" s="509"/>
      <c r="N84" s="510"/>
      <c r="O84" s="511"/>
      <c r="P84" s="511"/>
      <c r="Q84" s="511"/>
      <c r="R84" s="511"/>
      <c r="S84" s="511"/>
      <c r="T84" s="309"/>
      <c r="U84" s="309"/>
      <c r="V84" s="309"/>
      <c r="W84" s="309"/>
    </row>
    <row r="85" spans="1:23" x14ac:dyDescent="0.2">
      <c r="A85" s="310" t="s">
        <v>18</v>
      </c>
      <c r="B85" s="311">
        <f>'BRA Load Pricing Results'!J60</f>
        <v>455.01683494497809</v>
      </c>
      <c r="C85" s="312">
        <f>'BRA Load Pricing Results'!L60</f>
        <v>53.790942356899457</v>
      </c>
      <c r="D85" s="312">
        <f>'BRA CTRs'!AE43</f>
        <v>0.48465117497361049</v>
      </c>
      <c r="E85" s="320">
        <f>C85-D85</f>
        <v>53.306291181925843</v>
      </c>
      <c r="F85" s="495">
        <f>'3rd IA Load Pricing Results'!J62</f>
        <v>480.55521076302745</v>
      </c>
      <c r="G85" s="452">
        <f>'3rd IA Load Pricing Results'!L62</f>
        <v>57.357146584344044</v>
      </c>
      <c r="H85" s="452">
        <f>'3rd IA CTRs'!AE43</f>
        <v>0.79852916894085713</v>
      </c>
      <c r="I85" s="452">
        <f t="shared" si="0"/>
        <v>56.558617415403184</v>
      </c>
      <c r="J85" s="310" t="s">
        <v>18</v>
      </c>
      <c r="K85" s="309"/>
      <c r="L85" s="508"/>
      <c r="M85" s="509"/>
      <c r="N85" s="510"/>
      <c r="O85" s="511"/>
      <c r="P85" s="511"/>
      <c r="Q85" s="511"/>
      <c r="R85" s="511"/>
      <c r="S85" s="511"/>
      <c r="T85" s="309"/>
      <c r="U85" s="309"/>
      <c r="V85" s="309"/>
      <c r="W85" s="309"/>
    </row>
    <row r="86" spans="1:23" x14ac:dyDescent="0.2">
      <c r="A86" s="321" t="s">
        <v>48</v>
      </c>
      <c r="B86" s="322">
        <f>SUM(B65:B85)</f>
        <v>147477.4</v>
      </c>
      <c r="C86" s="18"/>
      <c r="D86" s="18"/>
      <c r="E86" s="18"/>
      <c r="F86" s="496">
        <f>SUM(F65:F85)</f>
        <v>150111.70000000001</v>
      </c>
      <c r="G86" s="18"/>
      <c r="H86" s="18"/>
      <c r="I86" s="18"/>
      <c r="J86" s="309"/>
      <c r="K86" s="309"/>
      <c r="L86" s="507"/>
      <c r="M86" s="507"/>
      <c r="N86" s="507"/>
      <c r="O86" s="507"/>
      <c r="P86" s="507"/>
      <c r="Q86" s="507"/>
      <c r="R86" s="507"/>
      <c r="S86" s="325"/>
    </row>
    <row r="87" spans="1:23" x14ac:dyDescent="0.2">
      <c r="A87" s="323" t="s">
        <v>180</v>
      </c>
      <c r="B87" s="324"/>
      <c r="C87" s="324"/>
      <c r="D87" s="324"/>
      <c r="E87" s="324"/>
      <c r="F87" s="324"/>
      <c r="G87" s="324"/>
      <c r="H87" s="324"/>
      <c r="I87" s="324"/>
      <c r="J87" s="324"/>
      <c r="K87" s="324"/>
      <c r="L87" s="324"/>
      <c r="M87" s="324"/>
      <c r="N87" s="324"/>
      <c r="O87" s="324"/>
      <c r="P87" s="324"/>
      <c r="Q87" s="324"/>
      <c r="R87" s="325"/>
    </row>
    <row r="88" spans="1:23" x14ac:dyDescent="0.2">
      <c r="A88" s="326" t="s">
        <v>179</v>
      </c>
      <c r="B88" s="326"/>
      <c r="C88" s="326"/>
      <c r="D88" s="326"/>
      <c r="E88" s="326"/>
      <c r="F88" s="326"/>
      <c r="G88" s="326"/>
      <c r="H88" s="326"/>
      <c r="I88" s="326"/>
      <c r="J88" s="326"/>
      <c r="K88" s="326"/>
      <c r="L88" s="326"/>
      <c r="M88" s="326"/>
      <c r="N88" s="326"/>
      <c r="O88" s="326"/>
      <c r="P88" s="326"/>
      <c r="Q88" s="326"/>
      <c r="R88" s="326"/>
    </row>
    <row r="90" spans="1:23" x14ac:dyDescent="0.2">
      <c r="F90" s="494"/>
      <c r="G90" s="494"/>
      <c r="H90" s="494"/>
      <c r="I90" s="494"/>
    </row>
    <row r="91" spans="1:23" x14ac:dyDescent="0.2">
      <c r="F91" s="494"/>
      <c r="G91" s="494"/>
      <c r="H91" s="494"/>
      <c r="I91" s="494"/>
    </row>
    <row r="92" spans="1:23" x14ac:dyDescent="0.2">
      <c r="F92" s="494"/>
      <c r="G92" s="494"/>
      <c r="H92" s="494"/>
      <c r="I92" s="494"/>
    </row>
    <row r="93" spans="1:23" x14ac:dyDescent="0.2">
      <c r="F93" s="494"/>
      <c r="G93" s="494"/>
      <c r="H93" s="494"/>
      <c r="I93" s="494"/>
    </row>
    <row r="94" spans="1:23" x14ac:dyDescent="0.2">
      <c r="F94" s="494"/>
      <c r="G94" s="494"/>
      <c r="H94" s="494"/>
      <c r="I94" s="494"/>
    </row>
    <row r="95" spans="1:23" x14ac:dyDescent="0.2">
      <c r="F95" s="494"/>
      <c r="G95" s="494"/>
      <c r="H95" s="494"/>
      <c r="I95" s="494"/>
    </row>
    <row r="96" spans="1:23" x14ac:dyDescent="0.2">
      <c r="F96" s="494"/>
      <c r="G96" s="494"/>
      <c r="H96" s="494"/>
      <c r="I96" s="494"/>
    </row>
    <row r="97" spans="6:9" x14ac:dyDescent="0.2">
      <c r="F97" s="494"/>
      <c r="G97" s="494"/>
      <c r="H97" s="494"/>
      <c r="I97" s="494"/>
    </row>
    <row r="98" spans="6:9" x14ac:dyDescent="0.2">
      <c r="F98" s="494"/>
      <c r="G98" s="494"/>
      <c r="H98" s="494"/>
      <c r="I98" s="494"/>
    </row>
    <row r="99" spans="6:9" x14ac:dyDescent="0.2">
      <c r="F99" s="494"/>
      <c r="G99" s="494"/>
      <c r="H99" s="494"/>
      <c r="I99" s="494"/>
    </row>
    <row r="100" spans="6:9" x14ac:dyDescent="0.2">
      <c r="F100" s="494"/>
      <c r="G100" s="494"/>
      <c r="H100" s="494"/>
      <c r="I100" s="494"/>
    </row>
    <row r="101" spans="6:9" x14ac:dyDescent="0.2">
      <c r="F101" s="494"/>
      <c r="G101" s="494"/>
      <c r="H101" s="494"/>
      <c r="I101" s="494"/>
    </row>
    <row r="102" spans="6:9" x14ac:dyDescent="0.2">
      <c r="F102" s="494"/>
      <c r="G102" s="494"/>
      <c r="H102" s="494"/>
      <c r="I102" s="494"/>
    </row>
    <row r="103" spans="6:9" x14ac:dyDescent="0.2">
      <c r="F103" s="494"/>
      <c r="G103" s="494"/>
      <c r="H103" s="494"/>
      <c r="I103" s="494"/>
    </row>
    <row r="104" spans="6:9" x14ac:dyDescent="0.2">
      <c r="F104" s="494"/>
      <c r="G104" s="494"/>
      <c r="H104" s="494"/>
      <c r="I104" s="494"/>
    </row>
    <row r="105" spans="6:9" x14ac:dyDescent="0.2">
      <c r="F105" s="494"/>
      <c r="G105" s="494"/>
      <c r="H105" s="494"/>
      <c r="I105" s="494"/>
    </row>
    <row r="106" spans="6:9" x14ac:dyDescent="0.2">
      <c r="F106" s="494"/>
      <c r="G106" s="494"/>
      <c r="H106" s="494"/>
      <c r="I106" s="494"/>
    </row>
    <row r="107" spans="6:9" x14ac:dyDescent="0.2">
      <c r="F107" s="494"/>
      <c r="G107" s="494"/>
      <c r="H107" s="494"/>
      <c r="I107" s="494"/>
    </row>
    <row r="108" spans="6:9" x14ac:dyDescent="0.2">
      <c r="F108" s="494"/>
      <c r="G108" s="494"/>
      <c r="H108" s="494"/>
      <c r="I108" s="494"/>
    </row>
    <row r="109" spans="6:9" x14ac:dyDescent="0.2">
      <c r="F109" s="494"/>
      <c r="G109" s="494"/>
      <c r="H109" s="494"/>
      <c r="I109" s="494"/>
    </row>
    <row r="110" spans="6:9" x14ac:dyDescent="0.2">
      <c r="F110" s="494"/>
      <c r="G110" s="494"/>
      <c r="H110" s="494"/>
      <c r="I110" s="494"/>
    </row>
  </sheetData>
  <mergeCells count="7">
    <mergeCell ref="A22:A23"/>
    <mergeCell ref="A63:A64"/>
    <mergeCell ref="B63:E63"/>
    <mergeCell ref="P64:S64"/>
    <mergeCell ref="F63:I63"/>
    <mergeCell ref="J63:J64"/>
    <mergeCell ref="B44:B5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24"/>
  <sheetViews>
    <sheetView workbookViewId="0">
      <selection activeCell="D14" sqref="D14"/>
    </sheetView>
  </sheetViews>
  <sheetFormatPr defaultRowHeight="12.75" x14ac:dyDescent="0.2"/>
  <cols>
    <col min="1" max="1" width="33.140625" customWidth="1"/>
    <col min="2" max="2" width="32.140625" bestFit="1" customWidth="1"/>
  </cols>
  <sheetData>
    <row r="1" spans="1:10" x14ac:dyDescent="0.2">
      <c r="A1" s="513" t="s">
        <v>326</v>
      </c>
    </row>
    <row r="2" spans="1:10" x14ac:dyDescent="0.2">
      <c r="A2" s="530" t="s">
        <v>327</v>
      </c>
      <c r="B2" s="530"/>
      <c r="C2" s="530"/>
      <c r="D2" s="530"/>
    </row>
    <row r="3" spans="1:10" x14ac:dyDescent="0.2">
      <c r="A3" s="531" t="s">
        <v>328</v>
      </c>
      <c r="B3" s="531"/>
      <c r="C3" s="531"/>
      <c r="D3" s="531"/>
    </row>
    <row r="4" spans="1:10" ht="13.5" thickBot="1" x14ac:dyDescent="0.25"/>
    <row r="5" spans="1:10" ht="16.5" thickBot="1" x14ac:dyDescent="0.25">
      <c r="A5" s="498" t="s">
        <v>329</v>
      </c>
      <c r="B5" s="504" t="s">
        <v>449</v>
      </c>
      <c r="I5" s="506"/>
      <c r="J5" s="506"/>
    </row>
    <row r="6" spans="1:10" ht="14.25" x14ac:dyDescent="0.2">
      <c r="A6" s="499" t="s">
        <v>330</v>
      </c>
      <c r="B6" s="505">
        <v>53.6</v>
      </c>
      <c r="I6" s="347"/>
      <c r="J6" s="347"/>
    </row>
    <row r="7" spans="1:10" ht="14.25" x14ac:dyDescent="0.2">
      <c r="A7" s="500" t="s">
        <v>331</v>
      </c>
      <c r="B7" s="505">
        <v>28.92</v>
      </c>
      <c r="I7" s="347"/>
      <c r="J7" s="347"/>
    </row>
    <row r="8" spans="1:10" ht="14.25" x14ac:dyDescent="0.2">
      <c r="A8" s="500" t="s">
        <v>332</v>
      </c>
      <c r="B8" s="505">
        <v>28.92</v>
      </c>
      <c r="I8" s="347"/>
      <c r="J8" s="347"/>
    </row>
    <row r="9" spans="1:10" ht="14.25" x14ac:dyDescent="0.2">
      <c r="A9" s="500" t="s">
        <v>333</v>
      </c>
      <c r="B9" s="505">
        <v>28.92</v>
      </c>
      <c r="I9" s="347"/>
      <c r="J9" s="347"/>
    </row>
    <row r="10" spans="1:10" ht="14.25" x14ac:dyDescent="0.2">
      <c r="A10" s="501" t="s">
        <v>334</v>
      </c>
      <c r="B10" s="505">
        <v>28.92</v>
      </c>
      <c r="I10" s="347"/>
      <c r="J10" s="347"/>
    </row>
    <row r="11" spans="1:10" ht="14.25" x14ac:dyDescent="0.2">
      <c r="A11" s="500" t="s">
        <v>335</v>
      </c>
      <c r="B11" s="505">
        <v>73</v>
      </c>
      <c r="I11" s="347"/>
      <c r="J11" s="347"/>
    </row>
    <row r="12" spans="1:10" ht="14.25" x14ac:dyDescent="0.2">
      <c r="A12" s="500" t="s">
        <v>336</v>
      </c>
      <c r="B12" s="505">
        <v>28.92</v>
      </c>
      <c r="I12" s="347"/>
      <c r="J12" s="347"/>
    </row>
    <row r="13" spans="1:10" ht="14.25" x14ac:dyDescent="0.2">
      <c r="A13" s="500" t="s">
        <v>337</v>
      </c>
      <c r="B13" s="505">
        <v>28.92</v>
      </c>
      <c r="I13" s="347"/>
      <c r="J13" s="347"/>
    </row>
    <row r="14" spans="1:10" ht="14.25" x14ac:dyDescent="0.2">
      <c r="A14" s="500" t="s">
        <v>338</v>
      </c>
      <c r="B14" s="505">
        <v>96.24</v>
      </c>
      <c r="I14" s="347"/>
      <c r="J14" s="347"/>
    </row>
    <row r="15" spans="1:10" ht="14.25" x14ac:dyDescent="0.2">
      <c r="A15" s="500" t="s">
        <v>339</v>
      </c>
      <c r="B15" s="505">
        <v>28.92</v>
      </c>
      <c r="I15" s="347"/>
      <c r="J15" s="347"/>
    </row>
    <row r="16" spans="1:10" ht="14.25" x14ac:dyDescent="0.2">
      <c r="A16" s="500" t="s">
        <v>340</v>
      </c>
      <c r="B16" s="505">
        <v>53.6</v>
      </c>
      <c r="I16" s="347"/>
      <c r="J16" s="347"/>
    </row>
    <row r="17" spans="1:10" ht="14.25" x14ac:dyDescent="0.2">
      <c r="A17" s="500" t="s">
        <v>341</v>
      </c>
      <c r="B17" s="505">
        <v>426.17</v>
      </c>
      <c r="I17" s="347"/>
      <c r="J17" s="347"/>
    </row>
    <row r="18" spans="1:10" ht="14.25" x14ac:dyDescent="0.2">
      <c r="A18" s="500" t="s">
        <v>342</v>
      </c>
      <c r="B18" s="505">
        <v>28.92</v>
      </c>
      <c r="I18" s="347"/>
      <c r="J18" s="347"/>
    </row>
    <row r="19" spans="1:10" ht="14.25" x14ac:dyDescent="0.2">
      <c r="A19" s="501" t="s">
        <v>343</v>
      </c>
      <c r="B19" s="505">
        <v>28.92</v>
      </c>
      <c r="I19" s="347"/>
      <c r="J19" s="347"/>
    </row>
    <row r="20" spans="1:10" ht="14.25" x14ac:dyDescent="0.2">
      <c r="A20" s="500" t="s">
        <v>344</v>
      </c>
      <c r="B20" s="505">
        <v>53.6</v>
      </c>
      <c r="I20" s="347"/>
      <c r="J20" s="347"/>
    </row>
    <row r="21" spans="1:10" ht="14.25" x14ac:dyDescent="0.2">
      <c r="A21" s="500" t="s">
        <v>345</v>
      </c>
      <c r="B21" s="505">
        <v>53.6</v>
      </c>
      <c r="I21" s="347"/>
      <c r="J21" s="347"/>
    </row>
    <row r="22" spans="1:10" ht="14.25" x14ac:dyDescent="0.2">
      <c r="A22" s="500" t="s">
        <v>346</v>
      </c>
      <c r="B22" s="505">
        <v>49.49</v>
      </c>
      <c r="I22" s="347"/>
      <c r="J22" s="347"/>
    </row>
    <row r="23" spans="1:10" ht="14.25" x14ac:dyDescent="0.2">
      <c r="A23" s="500" t="s">
        <v>347</v>
      </c>
      <c r="B23" s="505">
        <v>49.49</v>
      </c>
      <c r="I23" s="347"/>
      <c r="J23" s="347"/>
    </row>
    <row r="24" spans="1:10" ht="14.25" x14ac:dyDescent="0.2">
      <c r="A24" s="500" t="s">
        <v>348</v>
      </c>
      <c r="B24" s="505">
        <v>53.6</v>
      </c>
      <c r="I24" s="347"/>
      <c r="J24" s="347"/>
    </row>
    <row r="25" spans="1:10" ht="14.25" x14ac:dyDescent="0.2">
      <c r="A25" s="500" t="s">
        <v>349</v>
      </c>
      <c r="B25" s="505">
        <v>49.49</v>
      </c>
      <c r="I25" s="347"/>
      <c r="J25" s="347"/>
    </row>
    <row r="26" spans="1:10" ht="14.25" x14ac:dyDescent="0.2">
      <c r="A26" s="500" t="s">
        <v>350</v>
      </c>
      <c r="B26" s="505">
        <v>49.49</v>
      </c>
      <c r="I26" s="347"/>
      <c r="J26" s="347"/>
    </row>
    <row r="27" spans="1:10" ht="14.25" x14ac:dyDescent="0.2">
      <c r="A27" s="500" t="s">
        <v>351</v>
      </c>
      <c r="B27" s="505">
        <v>49.49</v>
      </c>
      <c r="I27" s="347"/>
      <c r="J27" s="347"/>
    </row>
    <row r="28" spans="1:10" ht="14.25" x14ac:dyDescent="0.2">
      <c r="A28" s="500" t="s">
        <v>352</v>
      </c>
      <c r="B28" s="505">
        <v>53.6</v>
      </c>
      <c r="I28" s="347"/>
      <c r="J28" s="347"/>
    </row>
    <row r="29" spans="1:10" ht="14.25" x14ac:dyDescent="0.2">
      <c r="A29" s="500" t="s">
        <v>353</v>
      </c>
      <c r="B29" s="505">
        <v>53.6</v>
      </c>
      <c r="I29" s="347"/>
      <c r="J29" s="347"/>
    </row>
    <row r="30" spans="1:10" ht="14.25" x14ac:dyDescent="0.2">
      <c r="A30" s="500" t="s">
        <v>354</v>
      </c>
      <c r="B30" s="505">
        <v>49.49</v>
      </c>
      <c r="I30" s="347"/>
      <c r="J30" s="347"/>
    </row>
    <row r="31" spans="1:10" ht="14.25" x14ac:dyDescent="0.2">
      <c r="A31" s="500" t="s">
        <v>355</v>
      </c>
      <c r="B31" s="505">
        <v>49.49</v>
      </c>
      <c r="I31" s="347"/>
      <c r="J31" s="347"/>
    </row>
    <row r="32" spans="1:10" ht="14.25" x14ac:dyDescent="0.2">
      <c r="A32" s="500" t="s">
        <v>356</v>
      </c>
      <c r="B32" s="505">
        <v>28.92</v>
      </c>
    </row>
    <row r="33" spans="1:2" ht="15" x14ac:dyDescent="0.2">
      <c r="A33" s="502" t="s">
        <v>357</v>
      </c>
      <c r="B33" s="505">
        <v>56.558617415403184</v>
      </c>
    </row>
    <row r="34" spans="1:2" ht="15" x14ac:dyDescent="0.2">
      <c r="A34" s="502" t="s">
        <v>358</v>
      </c>
      <c r="B34" s="505">
        <v>29.50457118031947</v>
      </c>
    </row>
    <row r="35" spans="1:2" ht="15" x14ac:dyDescent="0.2">
      <c r="A35" s="502" t="s">
        <v>359</v>
      </c>
      <c r="B35" s="505">
        <v>29.50457118031947</v>
      </c>
    </row>
    <row r="36" spans="1:2" ht="15" x14ac:dyDescent="0.2">
      <c r="A36" s="502" t="s">
        <v>360</v>
      </c>
      <c r="B36" s="505">
        <v>29.50457118031947</v>
      </c>
    </row>
    <row r="37" spans="1:2" ht="15" x14ac:dyDescent="0.2">
      <c r="A37" s="502" t="s">
        <v>361</v>
      </c>
      <c r="B37" s="505">
        <v>61.534547430121904</v>
      </c>
    </row>
    <row r="38" spans="1:2" ht="15" x14ac:dyDescent="0.2">
      <c r="A38" s="502" t="s">
        <v>362</v>
      </c>
      <c r="B38" s="505">
        <v>29.50457118031947</v>
      </c>
    </row>
    <row r="39" spans="1:2" ht="15" x14ac:dyDescent="0.2">
      <c r="A39" s="502" t="s">
        <v>363</v>
      </c>
      <c r="B39" s="505">
        <v>29.50457118031947</v>
      </c>
    </row>
    <row r="40" spans="1:2" ht="15" x14ac:dyDescent="0.2">
      <c r="A40" s="502" t="s">
        <v>364</v>
      </c>
      <c r="B40" s="505">
        <v>57.932205022320723</v>
      </c>
    </row>
    <row r="41" spans="1:2" ht="15" x14ac:dyDescent="0.2">
      <c r="A41" s="502" t="s">
        <v>365</v>
      </c>
      <c r="B41" s="505">
        <v>29.50457118031947</v>
      </c>
    </row>
    <row r="42" spans="1:2" ht="15" x14ac:dyDescent="0.2">
      <c r="A42" s="502" t="s">
        <v>366</v>
      </c>
      <c r="B42" s="505">
        <v>175.22215732966595</v>
      </c>
    </row>
    <row r="43" spans="1:2" ht="15" x14ac:dyDescent="0.2">
      <c r="A43" s="502" t="s">
        <v>367</v>
      </c>
      <c r="B43" s="505">
        <v>29.50457118031947</v>
      </c>
    </row>
    <row r="44" spans="1:2" ht="15" x14ac:dyDescent="0.2">
      <c r="A44" s="502" t="s">
        <v>368</v>
      </c>
      <c r="B44" s="505">
        <v>29.50457118031947</v>
      </c>
    </row>
    <row r="45" spans="1:2" ht="15" x14ac:dyDescent="0.2">
      <c r="A45" s="503" t="s">
        <v>369</v>
      </c>
      <c r="B45" s="505">
        <v>71.335240476532093</v>
      </c>
    </row>
    <row r="46" spans="1:2" ht="15" x14ac:dyDescent="0.2">
      <c r="A46" s="503" t="s">
        <v>370</v>
      </c>
      <c r="B46" s="505">
        <v>56.558617415403184</v>
      </c>
    </row>
    <row r="47" spans="1:2" ht="15" x14ac:dyDescent="0.2">
      <c r="A47" s="503" t="s">
        <v>371</v>
      </c>
      <c r="B47" s="505">
        <v>50.221050796350866</v>
      </c>
    </row>
    <row r="48" spans="1:2" ht="15" x14ac:dyDescent="0.2">
      <c r="A48" s="503" t="s">
        <v>372</v>
      </c>
      <c r="B48" s="505">
        <v>29.50457118031947</v>
      </c>
    </row>
    <row r="49" spans="1:2" ht="15" x14ac:dyDescent="0.2">
      <c r="A49" s="503" t="s">
        <v>373</v>
      </c>
      <c r="B49" s="505">
        <v>56.558617415403184</v>
      </c>
    </row>
    <row r="50" spans="1:2" ht="15" x14ac:dyDescent="0.2">
      <c r="A50" s="503" t="s">
        <v>374</v>
      </c>
      <c r="B50" s="505">
        <v>50.221050796350866</v>
      </c>
    </row>
    <row r="51" spans="1:2" ht="15" x14ac:dyDescent="0.2">
      <c r="A51" s="503" t="s">
        <v>375</v>
      </c>
      <c r="B51" s="505">
        <v>50.221050796350866</v>
      </c>
    </row>
    <row r="52" spans="1:2" ht="15" x14ac:dyDescent="0.2">
      <c r="A52" s="503" t="s">
        <v>376</v>
      </c>
      <c r="B52" s="505">
        <v>50.221050796350866</v>
      </c>
    </row>
    <row r="53" spans="1:2" ht="15" x14ac:dyDescent="0.2">
      <c r="A53" s="503" t="s">
        <v>377</v>
      </c>
      <c r="B53" s="505">
        <v>56.558617415403177</v>
      </c>
    </row>
    <row r="54" spans="1:2" ht="15" x14ac:dyDescent="0.2">
      <c r="A54" s="503" t="s">
        <v>378</v>
      </c>
      <c r="B54" s="505">
        <v>56.558617415403184</v>
      </c>
    </row>
    <row r="55" spans="1:2" ht="15" x14ac:dyDescent="0.2">
      <c r="A55" s="503" t="s">
        <v>379</v>
      </c>
      <c r="B55" s="505">
        <v>56.089956576098373</v>
      </c>
    </row>
    <row r="56" spans="1:2" ht="15" x14ac:dyDescent="0.2">
      <c r="A56" s="502" t="s">
        <v>380</v>
      </c>
      <c r="B56" s="505">
        <v>53.790942356899457</v>
      </c>
    </row>
    <row r="57" spans="1:2" ht="15" x14ac:dyDescent="0.2">
      <c r="A57" s="502" t="s">
        <v>381</v>
      </c>
      <c r="B57" s="505">
        <v>28.992949552103212</v>
      </c>
    </row>
    <row r="58" spans="1:2" ht="15" x14ac:dyDescent="0.2">
      <c r="A58" s="502" t="s">
        <v>382</v>
      </c>
      <c r="B58" s="505">
        <v>28.992949552103212</v>
      </c>
    </row>
    <row r="59" spans="1:2" ht="15" x14ac:dyDescent="0.2">
      <c r="A59" s="502" t="s">
        <v>383</v>
      </c>
      <c r="B59" s="505">
        <v>28.992949552103212</v>
      </c>
    </row>
    <row r="60" spans="1:2" ht="15" x14ac:dyDescent="0.2">
      <c r="A60" s="502" t="s">
        <v>384</v>
      </c>
      <c r="B60" s="505">
        <v>73.872094079130122</v>
      </c>
    </row>
    <row r="61" spans="1:2" ht="15" x14ac:dyDescent="0.2">
      <c r="A61" s="502" t="s">
        <v>385</v>
      </c>
      <c r="B61" s="505">
        <v>28.992949552103212</v>
      </c>
    </row>
    <row r="62" spans="1:2" ht="15" x14ac:dyDescent="0.2">
      <c r="A62" s="502" t="s">
        <v>386</v>
      </c>
      <c r="B62" s="505">
        <v>28.992949552103212</v>
      </c>
    </row>
    <row r="63" spans="1:2" ht="15" x14ac:dyDescent="0.2">
      <c r="A63" s="502" t="s">
        <v>387</v>
      </c>
      <c r="B63" s="505">
        <v>96.312949552103206</v>
      </c>
    </row>
    <row r="64" spans="1:2" ht="15" x14ac:dyDescent="0.2">
      <c r="A64" s="502" t="s">
        <v>388</v>
      </c>
      <c r="B64" s="505">
        <v>28.992949552103212</v>
      </c>
    </row>
    <row r="65" spans="1:2" ht="15" x14ac:dyDescent="0.2">
      <c r="A65" s="502" t="s">
        <v>389</v>
      </c>
      <c r="B65" s="505">
        <v>165.61482189477528</v>
      </c>
    </row>
    <row r="66" spans="1:2" ht="15" x14ac:dyDescent="0.2">
      <c r="A66" s="502" t="s">
        <v>390</v>
      </c>
      <c r="B66" s="505">
        <v>165.61482189477528</v>
      </c>
    </row>
    <row r="67" spans="1:2" ht="15" x14ac:dyDescent="0.2">
      <c r="A67" s="502" t="s">
        <v>391</v>
      </c>
      <c r="B67" s="505">
        <v>28.992949552103212</v>
      </c>
    </row>
    <row r="68" spans="1:2" ht="15" x14ac:dyDescent="0.2">
      <c r="A68" s="502" t="s">
        <v>392</v>
      </c>
      <c r="B68" s="505">
        <v>53.790942356899457</v>
      </c>
    </row>
    <row r="69" spans="1:2" ht="15" x14ac:dyDescent="0.2">
      <c r="A69" s="502" t="s">
        <v>393</v>
      </c>
      <c r="B69" s="505">
        <v>49.678961768309357</v>
      </c>
    </row>
    <row r="70" spans="1:2" ht="15" x14ac:dyDescent="0.2">
      <c r="A70" s="502" t="s">
        <v>394</v>
      </c>
      <c r="B70" s="505">
        <v>28.992949552103212</v>
      </c>
    </row>
    <row r="71" spans="1:2" ht="15" x14ac:dyDescent="0.2">
      <c r="A71" s="502" t="s">
        <v>395</v>
      </c>
      <c r="B71" s="505">
        <v>53.790942356899457</v>
      </c>
    </row>
    <row r="72" spans="1:2" ht="15" x14ac:dyDescent="0.2">
      <c r="A72" s="502" t="s">
        <v>396</v>
      </c>
      <c r="B72" s="505">
        <v>49.678961768309357</v>
      </c>
    </row>
    <row r="73" spans="1:2" ht="15" x14ac:dyDescent="0.2">
      <c r="A73" s="502" t="s">
        <v>397</v>
      </c>
      <c r="B73" s="505">
        <v>49.678961768309357</v>
      </c>
    </row>
    <row r="74" spans="1:2" ht="15" x14ac:dyDescent="0.2">
      <c r="A74" s="502" t="s">
        <v>398</v>
      </c>
      <c r="B74" s="505">
        <v>49.678961768309357</v>
      </c>
    </row>
    <row r="75" spans="1:2" ht="15" x14ac:dyDescent="0.2">
      <c r="A75" s="502" t="s">
        <v>399</v>
      </c>
      <c r="B75" s="505">
        <v>53.790942356899457</v>
      </c>
    </row>
    <row r="76" spans="1:2" ht="15" x14ac:dyDescent="0.2">
      <c r="A76" s="502" t="s">
        <v>400</v>
      </c>
      <c r="B76" s="505">
        <v>53.790942356899457</v>
      </c>
    </row>
    <row r="77" spans="1:2" ht="15" x14ac:dyDescent="0.2">
      <c r="A77" s="502" t="s">
        <v>401</v>
      </c>
      <c r="B77" s="505">
        <v>57.357146584344044</v>
      </c>
    </row>
    <row r="78" spans="1:2" ht="15" x14ac:dyDescent="0.2">
      <c r="A78" s="503" t="s">
        <v>402</v>
      </c>
      <c r="B78" s="505">
        <v>29.50457118031947</v>
      </c>
    </row>
    <row r="79" spans="1:2" ht="15" x14ac:dyDescent="0.2">
      <c r="A79" s="503" t="s">
        <v>403</v>
      </c>
      <c r="B79" s="505">
        <v>29.50457118031947</v>
      </c>
    </row>
    <row r="80" spans="1:2" ht="15" x14ac:dyDescent="0.2">
      <c r="A80" s="503" t="s">
        <v>404</v>
      </c>
      <c r="B80" s="505">
        <v>29.50457118031947</v>
      </c>
    </row>
    <row r="81" spans="1:2" ht="15" x14ac:dyDescent="0.2">
      <c r="A81" s="503" t="s">
        <v>405</v>
      </c>
      <c r="B81" s="505">
        <v>76.755372728925764</v>
      </c>
    </row>
    <row r="82" spans="1:2" ht="15" x14ac:dyDescent="0.2">
      <c r="A82" s="503" t="s">
        <v>406</v>
      </c>
      <c r="B82" s="505">
        <v>29.50457118031947</v>
      </c>
    </row>
    <row r="83" spans="1:2" ht="15" x14ac:dyDescent="0.2">
      <c r="A83" s="503" t="s">
        <v>407</v>
      </c>
      <c r="B83" s="505">
        <v>29.50457118031947</v>
      </c>
    </row>
    <row r="84" spans="1:2" ht="15" x14ac:dyDescent="0.2">
      <c r="A84" s="503" t="s">
        <v>408</v>
      </c>
      <c r="B84" s="505">
        <v>98.478608781035675</v>
      </c>
    </row>
    <row r="85" spans="1:2" ht="15" x14ac:dyDescent="0.2">
      <c r="A85" s="503" t="s">
        <v>409</v>
      </c>
      <c r="B85" s="505">
        <v>29.50457118031947</v>
      </c>
    </row>
    <row r="86" spans="1:2" ht="15" x14ac:dyDescent="0.2">
      <c r="A86" s="503" t="s">
        <v>410</v>
      </c>
      <c r="B86" s="505">
        <v>169.10512599448228</v>
      </c>
    </row>
    <row r="87" spans="1:2" ht="15" x14ac:dyDescent="0.2">
      <c r="A87" s="503" t="s">
        <v>411</v>
      </c>
      <c r="B87" s="505">
        <v>169.10512599448228</v>
      </c>
    </row>
    <row r="88" spans="1:2" ht="15" x14ac:dyDescent="0.2">
      <c r="A88" s="503" t="s">
        <v>412</v>
      </c>
      <c r="B88" s="505">
        <v>29.50457118031947</v>
      </c>
    </row>
    <row r="89" spans="1:2" ht="15" x14ac:dyDescent="0.2">
      <c r="A89" s="503" t="s">
        <v>413</v>
      </c>
      <c r="B89" s="505">
        <v>57.357146584344044</v>
      </c>
    </row>
    <row r="90" spans="1:2" ht="15" x14ac:dyDescent="0.2">
      <c r="A90" s="503" t="s">
        <v>414</v>
      </c>
      <c r="B90" s="505">
        <v>50.221050796350866</v>
      </c>
    </row>
    <row r="91" spans="1:2" ht="15" x14ac:dyDescent="0.2">
      <c r="A91" s="503" t="s">
        <v>415</v>
      </c>
      <c r="B91" s="505">
        <v>29.50457118031947</v>
      </c>
    </row>
    <row r="92" spans="1:2" ht="15" x14ac:dyDescent="0.2">
      <c r="A92" s="503" t="s">
        <v>416</v>
      </c>
      <c r="B92" s="505">
        <v>57.357146584344044</v>
      </c>
    </row>
    <row r="93" spans="1:2" ht="15" x14ac:dyDescent="0.2">
      <c r="A93" s="503" t="s">
        <v>417</v>
      </c>
      <c r="B93" s="505">
        <v>50.221050796350866</v>
      </c>
    </row>
    <row r="94" spans="1:2" ht="15" x14ac:dyDescent="0.2">
      <c r="A94" s="503" t="s">
        <v>418</v>
      </c>
      <c r="B94" s="505">
        <v>50.221050796350866</v>
      </c>
    </row>
    <row r="95" spans="1:2" ht="15" x14ac:dyDescent="0.2">
      <c r="A95" s="503" t="s">
        <v>419</v>
      </c>
      <c r="B95" s="505">
        <v>50.221050796350866</v>
      </c>
    </row>
    <row r="96" spans="1:2" ht="15" x14ac:dyDescent="0.2">
      <c r="A96" s="503" t="s">
        <v>420</v>
      </c>
      <c r="B96" s="505">
        <v>57.357146584344036</v>
      </c>
    </row>
    <row r="97" spans="1:2" ht="15" x14ac:dyDescent="0.2">
      <c r="A97" s="503" t="s">
        <v>421</v>
      </c>
      <c r="B97" s="505">
        <v>57.357146584344044</v>
      </c>
    </row>
    <row r="98" spans="1:2" ht="14.25" x14ac:dyDescent="0.2">
      <c r="A98" s="500" t="s">
        <v>422</v>
      </c>
      <c r="B98" s="505">
        <v>175.81</v>
      </c>
    </row>
    <row r="99" spans="1:2" ht="14.25" x14ac:dyDescent="0.2">
      <c r="A99" s="500" t="s">
        <v>423</v>
      </c>
      <c r="B99" s="505">
        <v>58</v>
      </c>
    </row>
    <row r="100" spans="1:2" ht="14.25" x14ac:dyDescent="0.2">
      <c r="A100" s="500" t="s">
        <v>424</v>
      </c>
      <c r="B100" s="505">
        <v>58</v>
      </c>
    </row>
    <row r="101" spans="1:2" ht="14.25" x14ac:dyDescent="0.2">
      <c r="A101" s="500" t="s">
        <v>425</v>
      </c>
      <c r="B101" s="505">
        <v>58</v>
      </c>
    </row>
    <row r="102" spans="1:2" ht="14.25" x14ac:dyDescent="0.2">
      <c r="A102" s="500" t="s">
        <v>426</v>
      </c>
      <c r="B102" s="505">
        <v>58</v>
      </c>
    </row>
    <row r="103" spans="1:2" ht="14.25" x14ac:dyDescent="0.2">
      <c r="A103" s="500" t="s">
        <v>427</v>
      </c>
      <c r="B103" s="505">
        <v>155.29</v>
      </c>
    </row>
    <row r="104" spans="1:2" ht="14.25" x14ac:dyDescent="0.2">
      <c r="A104" s="500" t="s">
        <v>428</v>
      </c>
      <c r="B104" s="505">
        <v>58</v>
      </c>
    </row>
    <row r="105" spans="1:2" ht="14.25" x14ac:dyDescent="0.2">
      <c r="A105" s="500" t="s">
        <v>429</v>
      </c>
      <c r="B105" s="505">
        <v>58</v>
      </c>
    </row>
    <row r="106" spans="1:2" ht="14.25" x14ac:dyDescent="0.2">
      <c r="A106" s="500" t="s">
        <v>430</v>
      </c>
      <c r="B106" s="505">
        <v>58</v>
      </c>
    </row>
    <row r="107" spans="1:2" ht="14.25" x14ac:dyDescent="0.2">
      <c r="A107" s="500" t="s">
        <v>431</v>
      </c>
      <c r="B107" s="505">
        <v>58</v>
      </c>
    </row>
    <row r="108" spans="1:2" ht="14.25" x14ac:dyDescent="0.2">
      <c r="A108" s="500" t="s">
        <v>432</v>
      </c>
      <c r="B108" s="505">
        <v>175.81</v>
      </c>
    </row>
    <row r="109" spans="1:2" ht="14.25" x14ac:dyDescent="0.2">
      <c r="A109" s="500" t="s">
        <v>433</v>
      </c>
      <c r="B109" s="505">
        <v>175.81</v>
      </c>
    </row>
    <row r="110" spans="1:2" ht="14.25" x14ac:dyDescent="0.2">
      <c r="A110" s="500" t="s">
        <v>434</v>
      </c>
      <c r="B110" s="505">
        <v>58</v>
      </c>
    </row>
    <row r="111" spans="1:2" ht="14.25" x14ac:dyDescent="0.2">
      <c r="A111" s="500" t="s">
        <v>435</v>
      </c>
      <c r="B111" s="505">
        <v>58</v>
      </c>
    </row>
    <row r="112" spans="1:2" ht="14.25" x14ac:dyDescent="0.2">
      <c r="A112" s="500" t="s">
        <v>436</v>
      </c>
      <c r="B112" s="505">
        <v>175.81</v>
      </c>
    </row>
    <row r="113" spans="1:2" ht="14.25" x14ac:dyDescent="0.2">
      <c r="A113" s="500" t="s">
        <v>437</v>
      </c>
      <c r="B113" s="505">
        <v>175.81</v>
      </c>
    </row>
    <row r="114" spans="1:2" ht="14.25" x14ac:dyDescent="0.2">
      <c r="A114" s="500" t="s">
        <v>438</v>
      </c>
      <c r="B114" s="505">
        <v>80</v>
      </c>
    </row>
    <row r="115" spans="1:2" ht="14.25" x14ac:dyDescent="0.2">
      <c r="A115" s="500" t="s">
        <v>439</v>
      </c>
      <c r="B115" s="505">
        <v>80</v>
      </c>
    </row>
    <row r="116" spans="1:2" ht="14.25" x14ac:dyDescent="0.2">
      <c r="A116" s="500" t="s">
        <v>440</v>
      </c>
      <c r="B116" s="505">
        <v>175.81</v>
      </c>
    </row>
    <row r="117" spans="1:2" ht="14.25" x14ac:dyDescent="0.2">
      <c r="A117" s="500" t="s">
        <v>441</v>
      </c>
      <c r="B117" s="505">
        <v>80</v>
      </c>
    </row>
    <row r="118" spans="1:2" ht="14.25" x14ac:dyDescent="0.2">
      <c r="A118" s="500" t="s">
        <v>442</v>
      </c>
      <c r="B118" s="505">
        <v>80</v>
      </c>
    </row>
    <row r="119" spans="1:2" ht="14.25" x14ac:dyDescent="0.2">
      <c r="A119" s="500" t="s">
        <v>443</v>
      </c>
      <c r="B119" s="505">
        <v>80</v>
      </c>
    </row>
    <row r="120" spans="1:2" ht="14.25" x14ac:dyDescent="0.2">
      <c r="A120" s="500" t="s">
        <v>444</v>
      </c>
      <c r="B120" s="505">
        <v>175.81</v>
      </c>
    </row>
    <row r="121" spans="1:2" ht="14.25" x14ac:dyDescent="0.2">
      <c r="A121" s="500" t="s">
        <v>445</v>
      </c>
      <c r="B121" s="505">
        <v>175.81</v>
      </c>
    </row>
    <row r="122" spans="1:2" ht="14.25" x14ac:dyDescent="0.2">
      <c r="A122" s="500" t="s">
        <v>446</v>
      </c>
      <c r="B122" s="505">
        <v>80</v>
      </c>
    </row>
    <row r="123" spans="1:2" ht="14.25" x14ac:dyDescent="0.2">
      <c r="A123" s="500" t="s">
        <v>447</v>
      </c>
      <c r="B123" s="505">
        <v>80</v>
      </c>
    </row>
    <row r="124" spans="1:2" ht="14.25" x14ac:dyDescent="0.2">
      <c r="A124" s="500" t="s">
        <v>448</v>
      </c>
      <c r="B124" s="505">
        <v>58</v>
      </c>
    </row>
  </sheetData>
  <mergeCells count="2">
    <mergeCell ref="A2:D2"/>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102"/>
  <sheetViews>
    <sheetView workbookViewId="0"/>
  </sheetViews>
  <sheetFormatPr defaultColWidth="9.140625" defaultRowHeight="12.75" x14ac:dyDescent="0.2"/>
  <cols>
    <col min="1" max="12" width="16.7109375" style="285" customWidth="1"/>
    <col min="13" max="22" width="14.7109375" style="285" customWidth="1"/>
    <col min="23" max="16384" width="9.140625" style="285"/>
  </cols>
  <sheetData>
    <row r="1" spans="1:21" ht="18.75" x14ac:dyDescent="0.3">
      <c r="A1" s="52" t="s">
        <v>314</v>
      </c>
    </row>
    <row r="2" spans="1:21" ht="15" customHeight="1" x14ac:dyDescent="0.3">
      <c r="A2" s="50"/>
      <c r="B2" s="350"/>
      <c r="E2" s="14"/>
      <c r="F2" s="219"/>
      <c r="G2" s="350"/>
      <c r="H2" s="350"/>
      <c r="I2" s="350"/>
      <c r="J2" s="350"/>
      <c r="K2" s="350"/>
      <c r="L2" s="350"/>
      <c r="M2" s="350"/>
      <c r="N2" s="388"/>
      <c r="O2" s="388"/>
      <c r="P2" s="388"/>
      <c r="Q2" s="388"/>
    </row>
    <row r="3" spans="1:21" ht="15.75" x14ac:dyDescent="0.2">
      <c r="A3" s="533" t="s">
        <v>52</v>
      </c>
      <c r="B3" s="533"/>
      <c r="C3" s="56"/>
      <c r="D3" s="194" t="s">
        <v>24</v>
      </c>
      <c r="F3" s="350"/>
      <c r="G3" s="389"/>
      <c r="H3" s="389"/>
      <c r="I3" s="389"/>
      <c r="J3" s="389"/>
      <c r="K3" s="389"/>
      <c r="L3" s="389"/>
      <c r="M3" s="389"/>
      <c r="N3" s="389"/>
      <c r="O3" s="389"/>
      <c r="P3" s="389"/>
      <c r="Q3" s="389"/>
      <c r="R3" s="389"/>
      <c r="S3" s="389"/>
      <c r="T3" s="389"/>
      <c r="U3" s="389"/>
    </row>
    <row r="4" spans="1:21" s="390" customFormat="1" ht="38.25" x14ac:dyDescent="0.2">
      <c r="A4" s="167" t="s">
        <v>3</v>
      </c>
      <c r="B4" s="149" t="s">
        <v>111</v>
      </c>
      <c r="C4" s="149" t="s">
        <v>132</v>
      </c>
      <c r="D4" s="167" t="s">
        <v>142</v>
      </c>
      <c r="E4" s="21"/>
      <c r="F4" s="389"/>
      <c r="G4" s="389"/>
      <c r="H4" s="389"/>
      <c r="I4" s="389"/>
      <c r="J4" s="389"/>
      <c r="K4" s="389"/>
      <c r="L4" s="389"/>
      <c r="M4" s="389"/>
      <c r="N4" s="389"/>
      <c r="O4" s="389"/>
      <c r="P4" s="389"/>
      <c r="Q4" s="389"/>
      <c r="R4" s="389"/>
      <c r="S4" s="389"/>
      <c r="T4" s="389"/>
      <c r="U4" s="389"/>
    </row>
    <row r="5" spans="1:21" x14ac:dyDescent="0.2">
      <c r="A5" s="166" t="s">
        <v>6</v>
      </c>
      <c r="B5" s="24">
        <v>28.92</v>
      </c>
      <c r="C5" s="24">
        <v>0</v>
      </c>
      <c r="D5" s="28">
        <f>B5+C5</f>
        <v>28.92</v>
      </c>
      <c r="E5" s="25"/>
      <c r="F5" s="350"/>
      <c r="G5" s="389"/>
      <c r="H5" s="389"/>
      <c r="I5" s="389"/>
      <c r="J5" s="389"/>
      <c r="K5" s="389"/>
      <c r="L5" s="389"/>
      <c r="M5" s="389"/>
      <c r="N5" s="389"/>
      <c r="O5" s="389"/>
      <c r="P5" s="389"/>
      <c r="Q5" s="389"/>
      <c r="R5" s="389"/>
      <c r="S5" s="389"/>
      <c r="T5" s="389"/>
      <c r="U5" s="389"/>
    </row>
    <row r="6" spans="1:21" x14ac:dyDescent="0.2">
      <c r="A6" s="166" t="s">
        <v>28</v>
      </c>
      <c r="B6" s="24">
        <f>$B$5</f>
        <v>28.92</v>
      </c>
      <c r="C6" s="24">
        <v>20.57</v>
      </c>
      <c r="D6" s="28">
        <f>B6+C6</f>
        <v>49.49</v>
      </c>
      <c r="E6" s="25"/>
      <c r="F6" s="350"/>
      <c r="G6" s="389"/>
      <c r="H6" s="389"/>
      <c r="I6" s="389"/>
      <c r="J6" s="389"/>
      <c r="K6" s="389"/>
      <c r="L6" s="389"/>
      <c r="M6" s="389"/>
      <c r="N6" s="389"/>
      <c r="O6" s="389"/>
      <c r="P6" s="389"/>
      <c r="Q6" s="389"/>
      <c r="R6" s="389"/>
      <c r="S6" s="389"/>
      <c r="T6" s="389"/>
      <c r="U6" s="389"/>
    </row>
    <row r="7" spans="1:21" x14ac:dyDescent="0.2">
      <c r="A7" s="166" t="s">
        <v>33</v>
      </c>
      <c r="B7" s="24">
        <f t="shared" ref="B7:B19" si="0">$B$5</f>
        <v>28.92</v>
      </c>
      <c r="C7" s="24">
        <v>4.1099999999999994</v>
      </c>
      <c r="D7" s="28">
        <f>B7+C6+C7</f>
        <v>53.6</v>
      </c>
      <c r="E7" s="25" t="s">
        <v>24</v>
      </c>
      <c r="F7" s="350"/>
      <c r="G7" s="389"/>
      <c r="H7" s="389"/>
      <c r="I7" s="389"/>
      <c r="J7" s="389"/>
      <c r="K7" s="389"/>
      <c r="L7" s="389"/>
      <c r="M7" s="389"/>
      <c r="N7" s="389"/>
      <c r="O7" s="389"/>
      <c r="P7" s="389"/>
      <c r="Q7" s="389"/>
      <c r="R7" s="389"/>
      <c r="S7" s="389"/>
      <c r="T7" s="389"/>
      <c r="U7" s="389"/>
    </row>
    <row r="8" spans="1:21" x14ac:dyDescent="0.2">
      <c r="A8" s="166" t="s">
        <v>5</v>
      </c>
      <c r="B8" s="24">
        <f t="shared" si="0"/>
        <v>28.92</v>
      </c>
      <c r="C8" s="24">
        <v>0</v>
      </c>
      <c r="D8" s="28">
        <f>B8+C6+C8</f>
        <v>49.49</v>
      </c>
      <c r="E8" s="25" t="s">
        <v>24</v>
      </c>
      <c r="F8" s="350"/>
      <c r="G8" s="389"/>
      <c r="H8" s="389"/>
      <c r="I8" s="389"/>
      <c r="J8" s="389"/>
      <c r="K8" s="389"/>
      <c r="L8" s="389"/>
      <c r="M8" s="389"/>
      <c r="N8" s="389"/>
      <c r="O8" s="389"/>
      <c r="P8" s="389"/>
      <c r="Q8" s="389"/>
      <c r="R8" s="389"/>
      <c r="S8" s="389"/>
      <c r="T8" s="389"/>
      <c r="U8" s="389"/>
    </row>
    <row r="9" spans="1:21" x14ac:dyDescent="0.2">
      <c r="A9" s="166" t="s">
        <v>8</v>
      </c>
      <c r="B9" s="24">
        <f t="shared" si="0"/>
        <v>28.92</v>
      </c>
      <c r="C9" s="24">
        <v>0</v>
      </c>
      <c r="D9" s="28">
        <f>B9+C6+C7+C9</f>
        <v>53.6</v>
      </c>
      <c r="E9" s="25" t="s">
        <v>24</v>
      </c>
      <c r="F9" s="350"/>
      <c r="G9" s="389"/>
      <c r="H9" s="389"/>
      <c r="I9" s="389"/>
      <c r="J9" s="389"/>
      <c r="K9" s="389"/>
      <c r="L9" s="389"/>
      <c r="M9" s="389"/>
      <c r="N9" s="389"/>
      <c r="O9" s="389"/>
      <c r="P9" s="389"/>
      <c r="Q9" s="389"/>
      <c r="R9" s="389"/>
      <c r="S9" s="389"/>
      <c r="T9" s="389"/>
      <c r="U9" s="389"/>
    </row>
    <row r="10" spans="1:21" x14ac:dyDescent="0.2">
      <c r="A10" s="166" t="s">
        <v>34</v>
      </c>
      <c r="B10" s="24">
        <f t="shared" si="0"/>
        <v>28.92</v>
      </c>
      <c r="C10" s="24">
        <v>0</v>
      </c>
      <c r="D10" s="28">
        <f>B10+C6+C7+C9+C10</f>
        <v>53.6</v>
      </c>
      <c r="E10" s="25"/>
      <c r="F10" s="350"/>
      <c r="G10" s="389"/>
      <c r="H10" s="389"/>
      <c r="I10" s="389"/>
      <c r="J10" s="389"/>
      <c r="K10" s="389"/>
      <c r="L10" s="389"/>
      <c r="M10" s="389"/>
      <c r="N10" s="389"/>
      <c r="O10" s="389"/>
      <c r="P10" s="389"/>
      <c r="Q10" s="389"/>
      <c r="R10" s="389"/>
      <c r="S10" s="389"/>
      <c r="T10" s="389"/>
      <c r="U10" s="389"/>
    </row>
    <row r="11" spans="1:21" x14ac:dyDescent="0.2">
      <c r="A11" s="166" t="s">
        <v>35</v>
      </c>
      <c r="B11" s="24">
        <f t="shared" si="0"/>
        <v>28.92</v>
      </c>
      <c r="C11" s="24">
        <v>372.57</v>
      </c>
      <c r="D11" s="28">
        <f>B11+C6+C7+C11</f>
        <v>426.17</v>
      </c>
      <c r="E11" s="25" t="s">
        <v>24</v>
      </c>
      <c r="G11" s="389"/>
      <c r="H11" s="389"/>
      <c r="I11" s="389"/>
      <c r="J11" s="389"/>
      <c r="K11" s="389"/>
      <c r="L11" s="389"/>
      <c r="M11" s="389"/>
      <c r="N11" s="389"/>
      <c r="O11" s="389"/>
      <c r="P11" s="389"/>
      <c r="Q11" s="389"/>
      <c r="R11" s="389"/>
      <c r="S11" s="389"/>
      <c r="T11" s="389"/>
      <c r="U11" s="389"/>
    </row>
    <row r="12" spans="1:21" x14ac:dyDescent="0.2">
      <c r="A12" s="16" t="s">
        <v>15</v>
      </c>
      <c r="B12" s="24">
        <f t="shared" si="0"/>
        <v>28.92</v>
      </c>
      <c r="C12" s="24">
        <v>0</v>
      </c>
      <c r="D12" s="28">
        <f>B12+C6+C8+C12</f>
        <v>49.49</v>
      </c>
      <c r="E12" s="25" t="s">
        <v>24</v>
      </c>
      <c r="G12" s="389"/>
      <c r="H12" s="389"/>
      <c r="I12" s="389"/>
      <c r="J12" s="389"/>
      <c r="K12" s="389"/>
      <c r="L12" s="389"/>
      <c r="M12" s="389"/>
      <c r="N12" s="389"/>
      <c r="O12" s="389"/>
      <c r="P12" s="389"/>
      <c r="Q12" s="389"/>
      <c r="R12" s="389"/>
      <c r="S12" s="389"/>
      <c r="T12" s="389"/>
      <c r="U12" s="389"/>
    </row>
    <row r="13" spans="1:21" x14ac:dyDescent="0.2">
      <c r="A13" s="16" t="s">
        <v>43</v>
      </c>
      <c r="B13" s="24">
        <f t="shared" si="0"/>
        <v>28.92</v>
      </c>
      <c r="C13" s="24">
        <v>0</v>
      </c>
      <c r="D13" s="28">
        <f>B13+C13</f>
        <v>28.92</v>
      </c>
      <c r="E13" s="25"/>
      <c r="G13" s="389"/>
      <c r="H13" s="389"/>
      <c r="I13" s="389"/>
      <c r="J13" s="389"/>
      <c r="K13" s="389"/>
      <c r="L13" s="389"/>
      <c r="M13" s="389"/>
      <c r="N13" s="389"/>
      <c r="O13" s="389"/>
      <c r="P13" s="389"/>
      <c r="Q13" s="389"/>
      <c r="R13" s="389"/>
      <c r="S13" s="389"/>
      <c r="T13" s="389"/>
      <c r="U13" s="389"/>
    </row>
    <row r="14" spans="1:21" x14ac:dyDescent="0.2">
      <c r="A14" s="16" t="s">
        <v>98</v>
      </c>
      <c r="B14" s="24">
        <f t="shared" si="0"/>
        <v>28.92</v>
      </c>
      <c r="C14" s="24">
        <v>0</v>
      </c>
      <c r="D14" s="28">
        <f>B14+C13+C14</f>
        <v>28.92</v>
      </c>
      <c r="E14" s="25"/>
      <c r="F14" s="25" t="s">
        <v>24</v>
      </c>
      <c r="G14" s="389"/>
      <c r="H14" s="389"/>
      <c r="I14" s="389"/>
      <c r="J14" s="389"/>
      <c r="K14" s="389"/>
      <c r="L14" s="389"/>
      <c r="M14" s="389"/>
      <c r="N14" s="389"/>
      <c r="O14" s="389"/>
      <c r="P14" s="389"/>
      <c r="Q14" s="389"/>
      <c r="R14" s="389"/>
      <c r="S14" s="389"/>
      <c r="T14" s="389"/>
      <c r="U14" s="389"/>
    </row>
    <row r="15" spans="1:21" x14ac:dyDescent="0.2">
      <c r="A15" s="16" t="s">
        <v>20</v>
      </c>
      <c r="B15" s="24">
        <f t="shared" si="0"/>
        <v>28.92</v>
      </c>
      <c r="C15" s="24">
        <v>0</v>
      </c>
      <c r="D15" s="28">
        <f>B15+C15</f>
        <v>28.92</v>
      </c>
      <c r="E15" s="25" t="s">
        <v>24</v>
      </c>
      <c r="F15" s="29" t="s">
        <v>24</v>
      </c>
      <c r="G15" s="389"/>
      <c r="H15" s="389"/>
      <c r="I15" s="389"/>
      <c r="J15" s="389"/>
      <c r="K15" s="389"/>
      <c r="L15" s="389"/>
      <c r="M15" s="389"/>
      <c r="N15" s="389"/>
      <c r="O15" s="389"/>
      <c r="P15" s="389"/>
      <c r="Q15" s="389"/>
      <c r="R15" s="389"/>
      <c r="S15" s="389"/>
      <c r="T15" s="389"/>
      <c r="U15" s="389"/>
    </row>
    <row r="16" spans="1:21" x14ac:dyDescent="0.2">
      <c r="A16" s="16" t="s">
        <v>11</v>
      </c>
      <c r="B16" s="24">
        <f t="shared" si="0"/>
        <v>28.92</v>
      </c>
      <c r="C16" s="24">
        <v>23.509999999999998</v>
      </c>
      <c r="D16" s="28">
        <f>B16+C6+C8+C16</f>
        <v>73</v>
      </c>
      <c r="E16" s="25"/>
      <c r="F16" s="25"/>
      <c r="G16" s="389"/>
      <c r="H16" s="389"/>
      <c r="I16" s="389"/>
      <c r="J16" s="389"/>
      <c r="K16" s="389"/>
      <c r="L16" s="389"/>
      <c r="M16" s="389"/>
      <c r="N16" s="389"/>
      <c r="O16" s="389"/>
      <c r="P16" s="389"/>
      <c r="Q16" s="389"/>
      <c r="R16" s="389"/>
      <c r="S16" s="389"/>
      <c r="T16" s="389"/>
      <c r="U16" s="389"/>
    </row>
    <row r="17" spans="1:21" x14ac:dyDescent="0.2">
      <c r="A17" s="16" t="s">
        <v>10</v>
      </c>
      <c r="B17" s="24">
        <f t="shared" si="0"/>
        <v>28.92</v>
      </c>
      <c r="C17" s="24">
        <v>0</v>
      </c>
      <c r="D17" s="28">
        <f>B17+C6+C17</f>
        <v>49.49</v>
      </c>
      <c r="E17" s="25" t="s">
        <v>24</v>
      </c>
      <c r="F17" s="25"/>
      <c r="G17" s="389"/>
      <c r="H17" s="389"/>
      <c r="I17" s="389"/>
      <c r="J17" s="389"/>
      <c r="K17" s="389"/>
      <c r="L17" s="389"/>
      <c r="M17" s="389"/>
      <c r="N17" s="389"/>
      <c r="O17" s="389"/>
      <c r="P17" s="389"/>
      <c r="Q17" s="389"/>
      <c r="R17" s="389"/>
      <c r="S17" s="389"/>
      <c r="T17" s="389"/>
      <c r="U17" s="389"/>
    </row>
    <row r="18" spans="1:21" x14ac:dyDescent="0.2">
      <c r="A18" s="16" t="s">
        <v>21</v>
      </c>
      <c r="B18" s="24">
        <f t="shared" si="0"/>
        <v>28.92</v>
      </c>
      <c r="C18" s="24">
        <v>0</v>
      </c>
      <c r="D18" s="28">
        <f>B18+C18</f>
        <v>28.92</v>
      </c>
      <c r="E18" s="109" t="s">
        <v>24</v>
      </c>
      <c r="F18" s="25"/>
      <c r="G18" s="389"/>
      <c r="H18" s="389"/>
      <c r="I18" s="389"/>
      <c r="J18" s="389"/>
      <c r="K18" s="389"/>
      <c r="L18" s="389"/>
      <c r="M18" s="389"/>
      <c r="N18" s="389"/>
      <c r="O18" s="389"/>
      <c r="P18" s="389"/>
      <c r="Q18" s="389"/>
      <c r="R18" s="389"/>
      <c r="S18" s="389"/>
      <c r="T18" s="389"/>
      <c r="U18" s="389"/>
    </row>
    <row r="19" spans="1:21" x14ac:dyDescent="0.2">
      <c r="A19" s="16" t="s">
        <v>50</v>
      </c>
      <c r="B19" s="24">
        <f t="shared" si="0"/>
        <v>28.92</v>
      </c>
      <c r="C19" s="24">
        <v>67.319999999999993</v>
      </c>
      <c r="D19" s="28">
        <f>B19+C19</f>
        <v>96.24</v>
      </c>
      <c r="E19" s="25"/>
      <c r="F19" s="25"/>
      <c r="G19" s="389"/>
      <c r="H19" s="389"/>
      <c r="I19" s="389"/>
      <c r="J19" s="389"/>
      <c r="K19" s="389"/>
      <c r="L19" s="389"/>
      <c r="M19" s="389"/>
      <c r="N19" s="389"/>
      <c r="O19" s="389"/>
      <c r="P19" s="389"/>
      <c r="Q19" s="389"/>
      <c r="R19" s="389"/>
      <c r="S19" s="389"/>
      <c r="T19" s="389"/>
      <c r="U19" s="389"/>
    </row>
    <row r="20" spans="1:21" ht="15" customHeight="1" x14ac:dyDescent="0.2">
      <c r="A20" s="19" t="s">
        <v>122</v>
      </c>
      <c r="B20" s="27"/>
      <c r="C20" s="26"/>
      <c r="D20" s="26"/>
      <c r="E20" s="26"/>
      <c r="F20" s="26"/>
      <c r="G20" s="26"/>
      <c r="H20" s="26"/>
      <c r="I20" s="25"/>
      <c r="J20" s="25"/>
      <c r="K20"/>
    </row>
    <row r="21" spans="1:21" ht="15" customHeight="1" x14ac:dyDescent="0.2">
      <c r="A21" s="195" t="s">
        <v>131</v>
      </c>
      <c r="B21" s="190"/>
      <c r="C21" s="190"/>
      <c r="D21" s="190"/>
      <c r="E21" s="190"/>
      <c r="F21" s="190"/>
      <c r="G21" s="190"/>
      <c r="H21" s="190"/>
      <c r="I21" s="55" t="s">
        <v>24</v>
      </c>
      <c r="J21" s="33"/>
      <c r="K21"/>
    </row>
    <row r="22" spans="1:21" ht="12.75" customHeight="1" x14ac:dyDescent="0.2">
      <c r="A22" s="189"/>
      <c r="B22" s="180"/>
      <c r="C22" s="180"/>
      <c r="D22" s="180"/>
      <c r="E22" s="180"/>
      <c r="F22" s="180"/>
      <c r="G22" s="180"/>
      <c r="H22" s="180"/>
      <c r="I22" s="55"/>
      <c r="J22" s="33"/>
      <c r="K22"/>
    </row>
    <row r="23" spans="1:21" x14ac:dyDescent="0.2">
      <c r="A23" s="17"/>
      <c r="B23" s="27"/>
      <c r="C23" s="27"/>
      <c r="D23" s="27"/>
      <c r="E23" s="31"/>
      <c r="F23" s="32"/>
      <c r="G23" s="32"/>
      <c r="H23" s="32"/>
      <c r="I23" s="33"/>
      <c r="J23" s="33"/>
      <c r="K23"/>
    </row>
    <row r="24" spans="1:21" ht="15.75" x14ac:dyDescent="0.25">
      <c r="A24" s="534" t="s">
        <v>53</v>
      </c>
      <c r="B24" s="534"/>
      <c r="C24" s="210" t="s">
        <v>24</v>
      </c>
      <c r="D24" s="210"/>
      <c r="E24" s="210" t="s">
        <v>24</v>
      </c>
      <c r="F24" s="210"/>
      <c r="G24" s="33"/>
      <c r="H24"/>
      <c r="I24" s="55" t="s">
        <v>24</v>
      </c>
      <c r="J24" s="55" t="s">
        <v>24</v>
      </c>
      <c r="K24" s="55" t="s">
        <v>24</v>
      </c>
      <c r="L24" s="55" t="s">
        <v>24</v>
      </c>
      <c r="M24" s="55" t="s">
        <v>24</v>
      </c>
      <c r="N24" s="55" t="s">
        <v>24</v>
      </c>
      <c r="O24" s="55" t="s">
        <v>24</v>
      </c>
      <c r="P24" s="55" t="s">
        <v>24</v>
      </c>
      <c r="Q24" s="55" t="s">
        <v>24</v>
      </c>
      <c r="R24" s="55" t="s">
        <v>24</v>
      </c>
      <c r="S24" s="55" t="s">
        <v>24</v>
      </c>
    </row>
    <row r="25" spans="1:21" ht="60" customHeight="1" x14ac:dyDescent="0.2">
      <c r="A25" s="167" t="s">
        <v>3</v>
      </c>
      <c r="B25" s="149" t="s">
        <v>133</v>
      </c>
      <c r="C25" s="149" t="s">
        <v>260</v>
      </c>
      <c r="D25" s="149" t="s">
        <v>143</v>
      </c>
      <c r="E25" s="149" t="s">
        <v>144</v>
      </c>
      <c r="F25" s="149" t="s">
        <v>139</v>
      </c>
      <c r="G25" s="149" t="s">
        <v>138</v>
      </c>
      <c r="H25" s="207"/>
      <c r="I25" s="54"/>
      <c r="J25" s="54"/>
      <c r="K25" s="54"/>
      <c r="L25" s="54"/>
      <c r="M25" s="54"/>
      <c r="N25" s="54"/>
      <c r="O25" s="54"/>
      <c r="P25" s="54"/>
      <c r="Q25" s="54"/>
      <c r="R25" s="54"/>
      <c r="S25" s="54"/>
    </row>
    <row r="26" spans="1:21" x14ac:dyDescent="0.2">
      <c r="A26" s="166" t="s">
        <v>154</v>
      </c>
      <c r="B26" s="150">
        <v>146871.79999999999</v>
      </c>
      <c r="C26" s="150">
        <v>605.6</v>
      </c>
      <c r="D26" s="150">
        <v>605.6</v>
      </c>
      <c r="E26" s="150">
        <f>MIN(C26:D26)</f>
        <v>605.6</v>
      </c>
      <c r="F26" s="150">
        <f>B26+E26</f>
        <v>147477.4</v>
      </c>
      <c r="G26" s="150">
        <v>4.0999999999999996</v>
      </c>
      <c r="H26" s="25"/>
      <c r="I26" s="54"/>
      <c r="J26" s="54"/>
      <c r="K26" s="54"/>
      <c r="L26" s="54"/>
      <c r="M26" s="54"/>
      <c r="N26" s="54"/>
      <c r="O26" s="54"/>
      <c r="P26" s="54"/>
      <c r="Q26" s="54"/>
      <c r="R26" s="54"/>
      <c r="S26" s="54"/>
    </row>
    <row r="27" spans="1:21" x14ac:dyDescent="0.2">
      <c r="A27" s="166" t="s">
        <v>28</v>
      </c>
      <c r="B27" s="150">
        <v>64146.6</v>
      </c>
      <c r="C27" s="150">
        <v>168.7</v>
      </c>
      <c r="D27" s="150">
        <v>52.7</v>
      </c>
      <c r="E27" s="150">
        <f t="shared" ref="E27:E40" si="1">MIN(C27:D27)</f>
        <v>52.7</v>
      </c>
      <c r="F27" s="150">
        <f>B27+E27</f>
        <v>64199.299999999996</v>
      </c>
      <c r="G27" s="150">
        <v>4.0999999999999996</v>
      </c>
      <c r="H27" s="38"/>
      <c r="I27" s="54"/>
      <c r="J27" s="54"/>
      <c r="K27" s="54"/>
      <c r="L27" s="54"/>
      <c r="M27" s="54"/>
      <c r="N27" s="54"/>
      <c r="O27" s="54"/>
      <c r="P27" s="54"/>
      <c r="Q27" s="54"/>
      <c r="R27" s="54"/>
      <c r="S27" s="54"/>
    </row>
    <row r="28" spans="1:21" x14ac:dyDescent="0.2">
      <c r="A28" s="166" t="s">
        <v>33</v>
      </c>
      <c r="B28" s="150">
        <v>30681</v>
      </c>
      <c r="C28" s="150">
        <v>123.6</v>
      </c>
      <c r="D28" s="150">
        <v>0</v>
      </c>
      <c r="E28" s="150">
        <f t="shared" si="1"/>
        <v>0</v>
      </c>
      <c r="F28" s="150">
        <f>B28+E28</f>
        <v>30681</v>
      </c>
      <c r="G28" s="150">
        <v>0</v>
      </c>
      <c r="H28" s="25"/>
      <c r="I28" s="54"/>
      <c r="J28" s="54"/>
      <c r="K28" s="54"/>
      <c r="L28" s="54"/>
      <c r="M28" s="54"/>
      <c r="N28" s="54"/>
      <c r="O28" s="54"/>
      <c r="P28" s="54"/>
      <c r="Q28" s="54"/>
      <c r="R28" s="54"/>
      <c r="S28" s="54"/>
    </row>
    <row r="29" spans="1:21" x14ac:dyDescent="0.2">
      <c r="A29" s="166" t="s">
        <v>5</v>
      </c>
      <c r="B29" s="150">
        <v>8468.4</v>
      </c>
      <c r="C29" s="150">
        <v>27.1</v>
      </c>
      <c r="D29" s="150">
        <v>0</v>
      </c>
      <c r="E29" s="150">
        <f t="shared" si="1"/>
        <v>0</v>
      </c>
      <c r="F29" s="150">
        <f>B29+E29</f>
        <v>8468.4</v>
      </c>
      <c r="G29" s="150">
        <v>4.0999999999999996</v>
      </c>
      <c r="H29" s="38"/>
      <c r="I29" s="54"/>
      <c r="J29" s="54"/>
      <c r="K29" s="54"/>
      <c r="L29" s="54"/>
      <c r="M29" s="54"/>
      <c r="N29" s="54"/>
      <c r="O29" s="54"/>
      <c r="P29" s="54"/>
      <c r="Q29" s="54"/>
      <c r="R29" s="54"/>
      <c r="S29" s="54"/>
    </row>
    <row r="30" spans="1:21" x14ac:dyDescent="0.2">
      <c r="A30" s="166" t="s">
        <v>8</v>
      </c>
      <c r="B30" s="150">
        <v>6111.8</v>
      </c>
      <c r="C30" s="150">
        <v>94.9</v>
      </c>
      <c r="D30" s="150">
        <v>0</v>
      </c>
      <c r="E30" s="150">
        <f t="shared" si="1"/>
        <v>0</v>
      </c>
      <c r="F30" s="150">
        <f>B30+E30</f>
        <v>6111.8</v>
      </c>
      <c r="G30" s="150">
        <v>0</v>
      </c>
      <c r="H30" s="25"/>
      <c r="I30" s="54"/>
      <c r="J30" s="54"/>
      <c r="K30" s="54"/>
      <c r="L30" s="54"/>
      <c r="M30" s="54"/>
      <c r="N30" s="54"/>
      <c r="O30" s="54"/>
      <c r="P30" s="54"/>
      <c r="Q30" s="54"/>
      <c r="R30" s="54"/>
      <c r="S30" s="54"/>
    </row>
    <row r="31" spans="1:21" x14ac:dyDescent="0.2">
      <c r="A31" s="166" t="s">
        <v>34</v>
      </c>
      <c r="B31" s="150">
        <v>3470.8</v>
      </c>
      <c r="C31" s="150">
        <v>46.6</v>
      </c>
      <c r="D31" s="150">
        <v>0</v>
      </c>
      <c r="E31" s="150">
        <f t="shared" si="1"/>
        <v>0</v>
      </c>
      <c r="F31" s="150">
        <f t="shared" ref="F31:F40" si="2">B31+E31</f>
        <v>3470.8</v>
      </c>
      <c r="G31" s="150">
        <v>0</v>
      </c>
      <c r="H31" s="25"/>
      <c r="I31" s="54"/>
      <c r="J31" s="54"/>
      <c r="K31" s="54"/>
      <c r="L31" s="54"/>
      <c r="M31" s="54"/>
      <c r="N31" s="54"/>
      <c r="O31" s="54"/>
      <c r="P31" s="54"/>
      <c r="Q31" s="54"/>
      <c r="R31" s="54"/>
      <c r="S31" s="54"/>
    </row>
    <row r="32" spans="1:21" x14ac:dyDescent="0.2">
      <c r="A32" s="166" t="s">
        <v>35</v>
      </c>
      <c r="B32" s="150">
        <v>1448.5</v>
      </c>
      <c r="C32" s="150">
        <v>0.1</v>
      </c>
      <c r="D32" s="150">
        <v>0</v>
      </c>
      <c r="E32" s="150">
        <f t="shared" si="1"/>
        <v>0</v>
      </c>
      <c r="F32" s="150">
        <f t="shared" si="2"/>
        <v>1448.5</v>
      </c>
      <c r="G32" s="150">
        <v>0</v>
      </c>
      <c r="H32" s="17"/>
      <c r="I32" s="54"/>
      <c r="J32" s="54"/>
      <c r="K32" s="54"/>
      <c r="L32" s="54"/>
      <c r="M32" s="54"/>
      <c r="N32" s="54"/>
      <c r="O32" s="54"/>
      <c r="P32" s="54"/>
      <c r="Q32" s="54"/>
      <c r="R32" s="54"/>
      <c r="S32" s="54"/>
    </row>
    <row r="33" spans="1:19" x14ac:dyDescent="0.2">
      <c r="A33" s="16" t="s">
        <v>15</v>
      </c>
      <c r="B33" s="150">
        <v>3416.9</v>
      </c>
      <c r="C33" s="150">
        <v>25.4</v>
      </c>
      <c r="D33" s="150">
        <v>0</v>
      </c>
      <c r="E33" s="150">
        <f t="shared" si="1"/>
        <v>0</v>
      </c>
      <c r="F33" s="150">
        <f t="shared" si="2"/>
        <v>3416.9</v>
      </c>
      <c r="G33" s="150">
        <v>0</v>
      </c>
      <c r="H33" s="38"/>
      <c r="I33" s="54"/>
      <c r="J33" s="54"/>
      <c r="K33" s="54"/>
      <c r="L33" s="54"/>
      <c r="M33" s="54"/>
      <c r="N33" s="54"/>
      <c r="O33" s="54"/>
      <c r="P33" s="54"/>
      <c r="Q33" s="54"/>
      <c r="R33" s="54"/>
      <c r="S33" s="54"/>
    </row>
    <row r="34" spans="1:19" x14ac:dyDescent="0.2">
      <c r="A34" s="16" t="s">
        <v>43</v>
      </c>
      <c r="B34" s="150">
        <v>9716.7000000000007</v>
      </c>
      <c r="C34" s="150">
        <v>7.7</v>
      </c>
      <c r="D34" s="150">
        <v>0</v>
      </c>
      <c r="E34" s="150">
        <f t="shared" si="1"/>
        <v>0</v>
      </c>
      <c r="F34" s="150">
        <f t="shared" si="2"/>
        <v>9716.7000000000007</v>
      </c>
      <c r="G34" s="150">
        <v>0</v>
      </c>
      <c r="H34" s="25"/>
      <c r="I34" s="54"/>
      <c r="J34" s="54"/>
      <c r="K34" s="54"/>
      <c r="L34" s="54"/>
      <c r="M34" s="54"/>
      <c r="N34" s="54"/>
      <c r="O34" s="54"/>
      <c r="P34" s="54"/>
      <c r="Q34" s="54"/>
      <c r="R34" s="54"/>
      <c r="S34" s="54"/>
    </row>
    <row r="35" spans="1:19" x14ac:dyDescent="0.2">
      <c r="A35" s="16" t="s">
        <v>98</v>
      </c>
      <c r="B35" s="150">
        <v>1885.2</v>
      </c>
      <c r="C35" s="150">
        <v>0</v>
      </c>
      <c r="D35" s="150">
        <v>0</v>
      </c>
      <c r="E35" s="150">
        <f t="shared" si="1"/>
        <v>0</v>
      </c>
      <c r="F35" s="150">
        <f t="shared" si="2"/>
        <v>1885.2</v>
      </c>
      <c r="G35" s="150">
        <v>0</v>
      </c>
      <c r="H35" s="25"/>
      <c r="I35" s="54"/>
      <c r="J35" s="54"/>
      <c r="K35" s="54"/>
      <c r="L35" s="54"/>
      <c r="M35" s="54"/>
      <c r="N35" s="54"/>
      <c r="O35" s="54"/>
      <c r="P35" s="54"/>
      <c r="Q35" s="54"/>
      <c r="R35" s="54"/>
      <c r="S35" s="54"/>
    </row>
    <row r="36" spans="1:19" x14ac:dyDescent="0.2">
      <c r="A36" s="16" t="s">
        <v>20</v>
      </c>
      <c r="B36" s="150">
        <v>24825.7</v>
      </c>
      <c r="C36" s="150">
        <v>326.3</v>
      </c>
      <c r="D36" s="150">
        <v>334.6</v>
      </c>
      <c r="E36" s="150">
        <f t="shared" si="1"/>
        <v>326.3</v>
      </c>
      <c r="F36" s="150">
        <f t="shared" si="2"/>
        <v>25152</v>
      </c>
      <c r="G36" s="150">
        <v>0</v>
      </c>
      <c r="H36" s="25"/>
      <c r="I36" s="54"/>
      <c r="J36" s="54"/>
      <c r="K36" s="54"/>
      <c r="L36" s="54"/>
      <c r="M36" s="54"/>
      <c r="N36" s="54"/>
      <c r="O36" s="54"/>
      <c r="P36" s="54"/>
      <c r="Q36" s="54"/>
      <c r="R36" s="54"/>
      <c r="S36" s="54"/>
    </row>
    <row r="37" spans="1:19" x14ac:dyDescent="0.2">
      <c r="A37" s="16" t="s">
        <v>11</v>
      </c>
      <c r="B37" s="150">
        <v>2671.6</v>
      </c>
      <c r="C37" s="150">
        <v>1.7</v>
      </c>
      <c r="D37" s="150">
        <v>0</v>
      </c>
      <c r="E37" s="150">
        <f t="shared" si="1"/>
        <v>0</v>
      </c>
      <c r="F37" s="150">
        <f t="shared" si="2"/>
        <v>2671.6</v>
      </c>
      <c r="G37" s="150">
        <v>4.0999999999999996</v>
      </c>
      <c r="H37" s="25"/>
      <c r="I37" s="54"/>
      <c r="J37" s="54"/>
      <c r="K37" s="54"/>
      <c r="L37" s="54"/>
      <c r="M37" s="54"/>
      <c r="N37" s="54"/>
      <c r="O37" s="54"/>
      <c r="P37" s="54"/>
      <c r="Q37" s="54"/>
      <c r="R37" s="54"/>
      <c r="S37" s="54"/>
    </row>
    <row r="38" spans="1:19" x14ac:dyDescent="0.2">
      <c r="A38" s="16" t="s">
        <v>10</v>
      </c>
      <c r="B38" s="150">
        <v>9997.7000000000007</v>
      </c>
      <c r="C38" s="150">
        <v>13.8</v>
      </c>
      <c r="D38" s="150">
        <v>0</v>
      </c>
      <c r="E38" s="150">
        <f t="shared" si="1"/>
        <v>0</v>
      </c>
      <c r="F38" s="150">
        <f t="shared" si="2"/>
        <v>9997.7000000000007</v>
      </c>
      <c r="G38" s="150">
        <v>0</v>
      </c>
      <c r="H38" s="25"/>
      <c r="I38" s="54"/>
      <c r="J38" s="54"/>
      <c r="K38" s="54"/>
      <c r="L38" s="54"/>
      <c r="M38" s="54"/>
      <c r="N38" s="54"/>
      <c r="O38" s="54"/>
      <c r="P38" s="54"/>
      <c r="Q38" s="54"/>
      <c r="R38" s="54"/>
      <c r="S38" s="54"/>
    </row>
    <row r="39" spans="1:19" x14ac:dyDescent="0.2">
      <c r="A39" s="16" t="s">
        <v>21</v>
      </c>
      <c r="B39" s="192">
        <v>985.4</v>
      </c>
      <c r="C39" s="192">
        <v>7</v>
      </c>
      <c r="D39" s="192">
        <v>0</v>
      </c>
      <c r="E39" s="192">
        <f t="shared" si="1"/>
        <v>0</v>
      </c>
      <c r="F39" s="192">
        <f t="shared" si="2"/>
        <v>985.4</v>
      </c>
      <c r="G39" s="150">
        <v>0</v>
      </c>
      <c r="H39" s="25"/>
      <c r="I39" s="54"/>
      <c r="J39" s="54"/>
      <c r="K39" s="54"/>
      <c r="L39" s="54"/>
      <c r="M39" s="54"/>
      <c r="N39" s="54"/>
      <c r="O39" s="54"/>
      <c r="P39" s="54"/>
      <c r="Q39" s="54"/>
      <c r="R39" s="54"/>
      <c r="S39" s="54"/>
    </row>
    <row r="40" spans="1:19" x14ac:dyDescent="0.2">
      <c r="A40" s="16" t="s">
        <v>50</v>
      </c>
      <c r="B40" s="192">
        <v>2060</v>
      </c>
      <c r="C40" s="192">
        <v>4.2</v>
      </c>
      <c r="D40" s="192">
        <v>0</v>
      </c>
      <c r="E40" s="192">
        <f t="shared" si="1"/>
        <v>0</v>
      </c>
      <c r="F40" s="192">
        <f t="shared" si="2"/>
        <v>2060</v>
      </c>
      <c r="G40" s="150">
        <v>0</v>
      </c>
      <c r="H40" s="25"/>
      <c r="I40" s="54"/>
      <c r="J40" s="54"/>
      <c r="K40" s="54"/>
      <c r="L40" s="54"/>
      <c r="M40" s="54"/>
      <c r="N40" s="54"/>
      <c r="O40" s="54"/>
      <c r="P40" s="54"/>
      <c r="Q40" s="54"/>
      <c r="R40" s="54"/>
      <c r="S40" s="54"/>
    </row>
    <row r="41" spans="1:19" x14ac:dyDescent="0.2">
      <c r="A41" s="191" t="s">
        <v>155</v>
      </c>
      <c r="B41" s="191"/>
      <c r="C41" s="191"/>
      <c r="D41" s="191"/>
      <c r="E41" s="191"/>
      <c r="F41" s="191"/>
      <c r="G41" s="191"/>
      <c r="H41" s="107"/>
      <c r="I41" s="107"/>
      <c r="J41" s="69"/>
      <c r="K41" s="212"/>
    </row>
    <row r="42" spans="1:19" x14ac:dyDescent="0.2">
      <c r="A42" s="17"/>
      <c r="B42" s="27"/>
      <c r="C42" s="27"/>
      <c r="D42" s="27"/>
      <c r="E42" s="27"/>
      <c r="F42" s="32"/>
      <c r="G42" s="53"/>
      <c r="H42" s="54"/>
      <c r="I42" s="54"/>
      <c r="J42" s="535"/>
      <c r="K42" s="535"/>
      <c r="L42" s="350"/>
    </row>
    <row r="43" spans="1:19" ht="15.75" x14ac:dyDescent="0.25">
      <c r="A43" s="536" t="s">
        <v>51</v>
      </c>
      <c r="B43" s="537"/>
      <c r="C43" s="210" t="s">
        <v>24</v>
      </c>
      <c r="D43" s="210"/>
      <c r="E43" s="210"/>
      <c r="F43" s="197"/>
      <c r="G43" s="213" t="s">
        <v>24</v>
      </c>
      <c r="H43" s="54"/>
      <c r="I43" s="54"/>
      <c r="J43" s="305"/>
      <c r="K43" s="305"/>
      <c r="L43" s="350"/>
    </row>
    <row r="44" spans="1:19" ht="60" customHeight="1" x14ac:dyDescent="0.2">
      <c r="A44" s="167" t="s">
        <v>3</v>
      </c>
      <c r="B44" s="224" t="s">
        <v>133</v>
      </c>
      <c r="C44" s="149" t="s">
        <v>144</v>
      </c>
      <c r="D44" s="149" t="s">
        <v>139</v>
      </c>
      <c r="E44" s="167" t="s">
        <v>145</v>
      </c>
      <c r="F44" s="207"/>
      <c r="G44" s="207"/>
      <c r="H44" s="207"/>
      <c r="I44" s="207"/>
      <c r="J44" s="207"/>
    </row>
    <row r="45" spans="1:19" x14ac:dyDescent="0.2">
      <c r="A45" s="166" t="s">
        <v>44</v>
      </c>
      <c r="B45" s="225">
        <f>B26-B27-B34-B36-B39-B40</f>
        <v>45137.399999999987</v>
      </c>
      <c r="C45" s="40">
        <f>E26-E27-E34-E36-E39-E40</f>
        <v>226.59999999999997</v>
      </c>
      <c r="D45" s="41">
        <f>B45+C45</f>
        <v>45363.999999999985</v>
      </c>
      <c r="E45" s="214">
        <f>D45*D5</f>
        <v>1311926.8799999997</v>
      </c>
      <c r="F45" s="47"/>
      <c r="G45" s="216"/>
      <c r="H45" s="216"/>
      <c r="I45" s="216"/>
      <c r="J45" s="29"/>
      <c r="K45" s="386" t="s">
        <v>24</v>
      </c>
    </row>
    <row r="46" spans="1:19" x14ac:dyDescent="0.2">
      <c r="A46" s="166" t="s">
        <v>47</v>
      </c>
      <c r="B46" s="225">
        <f>B27-B28-B29-B38</f>
        <v>14999.499999999996</v>
      </c>
      <c r="C46" s="40">
        <f>E27-E28-E29-E38</f>
        <v>52.7</v>
      </c>
      <c r="D46" s="41">
        <f>B46+C46</f>
        <v>15052.199999999997</v>
      </c>
      <c r="E46" s="214">
        <f>D46*D6</f>
        <v>744933.37799999991</v>
      </c>
      <c r="F46" s="47" t="s">
        <v>24</v>
      </c>
      <c r="G46" s="216"/>
      <c r="H46" s="216"/>
      <c r="I46" s="216"/>
      <c r="J46" s="29"/>
      <c r="K46" s="386" t="s">
        <v>24</v>
      </c>
    </row>
    <row r="47" spans="1:19" x14ac:dyDescent="0.2">
      <c r="A47" s="166" t="s">
        <v>46</v>
      </c>
      <c r="B47" s="225">
        <f>B28-B30-B32</f>
        <v>23120.7</v>
      </c>
      <c r="C47" s="40">
        <f>E28-E30-E32</f>
        <v>0</v>
      </c>
      <c r="D47" s="41">
        <f>B47+C47</f>
        <v>23120.7</v>
      </c>
      <c r="E47" s="214">
        <f t="shared" ref="E47:E59" si="3">D47*D7</f>
        <v>1239269.52</v>
      </c>
      <c r="F47" s="47" t="s">
        <v>24</v>
      </c>
      <c r="G47" s="216"/>
      <c r="H47" s="216"/>
      <c r="I47" s="216"/>
      <c r="J47" s="29"/>
      <c r="K47" s="386" t="s">
        <v>24</v>
      </c>
    </row>
    <row r="48" spans="1:19" x14ac:dyDescent="0.2">
      <c r="A48" s="166" t="s">
        <v>45</v>
      </c>
      <c r="B48" s="225">
        <f>B29-B33-B37</f>
        <v>2379.9</v>
      </c>
      <c r="C48" s="40">
        <f>E29-E33-E37</f>
        <v>0</v>
      </c>
      <c r="D48" s="41">
        <f t="shared" ref="D48:D59" si="4">B48+C48</f>
        <v>2379.9</v>
      </c>
      <c r="E48" s="214">
        <f t="shared" si="3"/>
        <v>117781.251</v>
      </c>
      <c r="F48" s="47"/>
      <c r="G48" s="216"/>
      <c r="H48" s="216"/>
      <c r="I48" s="216"/>
      <c r="J48" s="29"/>
      <c r="K48" s="386" t="s">
        <v>24</v>
      </c>
    </row>
    <row r="49" spans="1:13" x14ac:dyDescent="0.2">
      <c r="A49" s="166" t="s">
        <v>37</v>
      </c>
      <c r="B49" s="225">
        <f>B30-B31</f>
        <v>2641</v>
      </c>
      <c r="C49" s="40">
        <f>E30-E31</f>
        <v>0</v>
      </c>
      <c r="D49" s="41">
        <f t="shared" si="4"/>
        <v>2641</v>
      </c>
      <c r="E49" s="214">
        <f t="shared" si="3"/>
        <v>141557.6</v>
      </c>
      <c r="F49" s="47"/>
      <c r="G49" s="216"/>
      <c r="H49" s="216"/>
      <c r="I49" s="216"/>
      <c r="J49" s="29"/>
      <c r="K49" s="386" t="s">
        <v>24</v>
      </c>
    </row>
    <row r="50" spans="1:13" x14ac:dyDescent="0.2">
      <c r="A50" s="166" t="s">
        <v>34</v>
      </c>
      <c r="B50" s="225">
        <f t="shared" ref="B50:B52" si="5">B31</f>
        <v>3470.8</v>
      </c>
      <c r="C50" s="40">
        <f>E31</f>
        <v>0</v>
      </c>
      <c r="D50" s="41">
        <f t="shared" si="4"/>
        <v>3470.8</v>
      </c>
      <c r="E50" s="214">
        <f t="shared" si="3"/>
        <v>186034.88</v>
      </c>
      <c r="F50" s="47"/>
      <c r="G50" s="216"/>
      <c r="H50" s="216"/>
      <c r="I50" s="216"/>
      <c r="J50" s="29"/>
      <c r="K50" s="386" t="s">
        <v>24</v>
      </c>
    </row>
    <row r="51" spans="1:13" x14ac:dyDescent="0.2">
      <c r="A51" s="166" t="s">
        <v>35</v>
      </c>
      <c r="B51" s="225">
        <f>B32</f>
        <v>1448.5</v>
      </c>
      <c r="C51" s="40">
        <f>E32</f>
        <v>0</v>
      </c>
      <c r="D51" s="41">
        <f t="shared" si="4"/>
        <v>1448.5</v>
      </c>
      <c r="E51" s="214">
        <f t="shared" si="3"/>
        <v>617307.245</v>
      </c>
      <c r="F51" s="216"/>
      <c r="G51" s="216"/>
      <c r="H51" s="216"/>
      <c r="I51" s="216"/>
      <c r="J51" s="29"/>
      <c r="K51" s="386" t="s">
        <v>24</v>
      </c>
    </row>
    <row r="52" spans="1:13" x14ac:dyDescent="0.2">
      <c r="A52" s="166" t="s">
        <v>15</v>
      </c>
      <c r="B52" s="225">
        <f t="shared" si="5"/>
        <v>3416.9</v>
      </c>
      <c r="C52" s="40">
        <f>E33</f>
        <v>0</v>
      </c>
      <c r="D52" s="41">
        <f t="shared" si="4"/>
        <v>3416.9</v>
      </c>
      <c r="E52" s="214">
        <f t="shared" si="3"/>
        <v>169102.38100000002</v>
      </c>
      <c r="F52" s="47"/>
      <c r="G52" s="216"/>
      <c r="H52" s="216"/>
      <c r="I52" s="216"/>
      <c r="J52" s="29"/>
      <c r="K52" s="386" t="s">
        <v>24</v>
      </c>
    </row>
    <row r="53" spans="1:13" x14ac:dyDescent="0.2">
      <c r="A53" s="166" t="s">
        <v>99</v>
      </c>
      <c r="B53" s="225">
        <f>B34-B35</f>
        <v>7831.5000000000009</v>
      </c>
      <c r="C53" s="40">
        <f>E34-E35</f>
        <v>0</v>
      </c>
      <c r="D53" s="41">
        <f t="shared" si="4"/>
        <v>7831.5000000000009</v>
      </c>
      <c r="E53" s="214">
        <f t="shared" si="3"/>
        <v>226486.98000000004</v>
      </c>
      <c r="F53" s="47"/>
      <c r="G53" s="216"/>
      <c r="H53" s="216"/>
      <c r="I53" s="216"/>
      <c r="J53" s="29"/>
      <c r="K53" s="386" t="s">
        <v>24</v>
      </c>
    </row>
    <row r="54" spans="1:13" x14ac:dyDescent="0.2">
      <c r="A54" s="16" t="s">
        <v>98</v>
      </c>
      <c r="B54" s="225">
        <f t="shared" ref="B54:B59" si="6">B35</f>
        <v>1885.2</v>
      </c>
      <c r="C54" s="40">
        <f t="shared" ref="C54:C56" si="7">E35</f>
        <v>0</v>
      </c>
      <c r="D54" s="41">
        <f t="shared" si="4"/>
        <v>1885.2</v>
      </c>
      <c r="E54" s="214">
        <f t="shared" si="3"/>
        <v>54519.984000000004</v>
      </c>
      <c r="F54" s="47"/>
      <c r="G54" s="216" t="s">
        <v>24</v>
      </c>
      <c r="H54" s="216"/>
      <c r="I54" s="216"/>
      <c r="J54" s="29"/>
      <c r="K54" s="386" t="s">
        <v>24</v>
      </c>
    </row>
    <row r="55" spans="1:13" x14ac:dyDescent="0.2">
      <c r="A55" s="16" t="s">
        <v>20</v>
      </c>
      <c r="B55" s="225">
        <f t="shared" si="6"/>
        <v>24825.7</v>
      </c>
      <c r="C55" s="40">
        <f>E36</f>
        <v>326.3</v>
      </c>
      <c r="D55" s="41">
        <f t="shared" si="4"/>
        <v>25152</v>
      </c>
      <c r="E55" s="214">
        <f t="shared" si="3"/>
        <v>727395.84000000008</v>
      </c>
      <c r="F55" s="47"/>
      <c r="G55" s="216"/>
      <c r="H55" s="216"/>
      <c r="I55" s="216"/>
      <c r="J55" s="29"/>
      <c r="K55" s="386" t="s">
        <v>24</v>
      </c>
    </row>
    <row r="56" spans="1:13" x14ac:dyDescent="0.2">
      <c r="A56" s="16" t="s">
        <v>11</v>
      </c>
      <c r="B56" s="225">
        <f t="shared" si="6"/>
        <v>2671.6</v>
      </c>
      <c r="C56" s="40">
        <f t="shared" si="7"/>
        <v>0</v>
      </c>
      <c r="D56" s="41">
        <f t="shared" si="4"/>
        <v>2671.6</v>
      </c>
      <c r="E56" s="214">
        <f t="shared" si="3"/>
        <v>195026.8</v>
      </c>
      <c r="F56" s="47"/>
      <c r="G56" s="216"/>
      <c r="H56" s="216"/>
      <c r="I56" s="216"/>
      <c r="J56" s="29"/>
      <c r="K56" s="386" t="s">
        <v>24</v>
      </c>
    </row>
    <row r="57" spans="1:13" x14ac:dyDescent="0.2">
      <c r="A57" s="16" t="s">
        <v>10</v>
      </c>
      <c r="B57" s="225">
        <f t="shared" si="6"/>
        <v>9997.7000000000007</v>
      </c>
      <c r="C57" s="40">
        <f>E38</f>
        <v>0</v>
      </c>
      <c r="D57" s="41">
        <f t="shared" si="4"/>
        <v>9997.7000000000007</v>
      </c>
      <c r="E57" s="214">
        <f t="shared" si="3"/>
        <v>494786.17300000007</v>
      </c>
      <c r="F57" s="47"/>
      <c r="G57" s="216"/>
      <c r="H57" s="216"/>
      <c r="I57" s="216"/>
      <c r="J57" s="29"/>
      <c r="K57" s="386" t="s">
        <v>24</v>
      </c>
    </row>
    <row r="58" spans="1:13" x14ac:dyDescent="0.2">
      <c r="A58" s="16" t="s">
        <v>21</v>
      </c>
      <c r="B58" s="225">
        <f t="shared" si="6"/>
        <v>985.4</v>
      </c>
      <c r="C58" s="40">
        <f>E39</f>
        <v>0</v>
      </c>
      <c r="D58" s="41">
        <f t="shared" si="4"/>
        <v>985.4</v>
      </c>
      <c r="E58" s="214">
        <f t="shared" si="3"/>
        <v>28497.768</v>
      </c>
      <c r="F58" s="47"/>
      <c r="G58" s="216"/>
      <c r="H58" s="216"/>
      <c r="I58" s="216"/>
      <c r="J58" s="29"/>
      <c r="K58" s="386" t="s">
        <v>24</v>
      </c>
    </row>
    <row r="59" spans="1:13" x14ac:dyDescent="0.2">
      <c r="A59" s="16" t="s">
        <v>50</v>
      </c>
      <c r="B59" s="225">
        <f t="shared" si="6"/>
        <v>2060</v>
      </c>
      <c r="C59" s="40">
        <f>E40</f>
        <v>0</v>
      </c>
      <c r="D59" s="41">
        <f t="shared" si="4"/>
        <v>2060</v>
      </c>
      <c r="E59" s="214">
        <f t="shared" si="3"/>
        <v>198254.4</v>
      </c>
      <c r="F59" s="47"/>
      <c r="G59" s="216"/>
      <c r="H59" s="216"/>
      <c r="I59" s="216"/>
      <c r="J59" s="29"/>
      <c r="K59" s="386" t="s">
        <v>24</v>
      </c>
    </row>
    <row r="60" spans="1:13" x14ac:dyDescent="0.2">
      <c r="A60" s="196" t="s">
        <v>48</v>
      </c>
      <c r="B60" s="226">
        <f t="shared" ref="B60" si="8">SUM(B45:B59)</f>
        <v>146871.79999999999</v>
      </c>
      <c r="C60" s="46">
        <f>SUM(C45:C59)</f>
        <v>605.59999999999991</v>
      </c>
      <c r="D60" s="46">
        <f>SUM(D45:D59)</f>
        <v>147477.39999999997</v>
      </c>
      <c r="E60" s="215">
        <f>SUM(E45:E59)</f>
        <v>6452881.080000001</v>
      </c>
      <c r="F60" s="199"/>
      <c r="G60" s="54" t="s">
        <v>24</v>
      </c>
      <c r="H60" s="54"/>
      <c r="I60" s="54"/>
      <c r="J60" s="217"/>
      <c r="K60" s="386" t="s">
        <v>24</v>
      </c>
      <c r="L60" s="386" t="s">
        <v>24</v>
      </c>
    </row>
    <row r="61" spans="1:13" x14ac:dyDescent="0.2">
      <c r="A61" s="198"/>
      <c r="B61" s="199"/>
      <c r="C61" s="199"/>
      <c r="D61" s="199" t="s">
        <v>24</v>
      </c>
      <c r="E61" s="199"/>
      <c r="F61" s="199"/>
      <c r="G61" s="199"/>
      <c r="H61" s="54"/>
      <c r="I61" s="54"/>
      <c r="J61" s="54"/>
      <c r="K61" s="33"/>
      <c r="L61" s="33"/>
      <c r="M61" s="33"/>
    </row>
    <row r="62" spans="1:13" x14ac:dyDescent="0.2">
      <c r="A62" s="25"/>
      <c r="B62" s="47"/>
      <c r="C62" s="47"/>
      <c r="D62" s="538"/>
      <c r="E62" s="538"/>
      <c r="F62" s="30" t="s">
        <v>24</v>
      </c>
      <c r="G62" s="29"/>
      <c r="H62" s="47"/>
    </row>
    <row r="63" spans="1:13" ht="15.75" x14ac:dyDescent="0.25">
      <c r="A63" s="539" t="s">
        <v>108</v>
      </c>
      <c r="B63" s="540"/>
      <c r="C63" s="27"/>
      <c r="D63" s="388"/>
      <c r="E63" s="305" t="s">
        <v>24</v>
      </c>
      <c r="F63" s="29"/>
    </row>
    <row r="64" spans="1:13" ht="60" customHeight="1" x14ac:dyDescent="0.2">
      <c r="A64" s="167" t="s">
        <v>3</v>
      </c>
      <c r="B64" s="149" t="s">
        <v>134</v>
      </c>
      <c r="C64" s="168" t="s">
        <v>135</v>
      </c>
      <c r="D64" s="168" t="s">
        <v>136</v>
      </c>
      <c r="E64" s="168" t="s">
        <v>137</v>
      </c>
      <c r="F64" s="169" t="s">
        <v>112</v>
      </c>
      <c r="G64" s="167" t="s">
        <v>140</v>
      </c>
      <c r="H64" s="223" t="s">
        <v>24</v>
      </c>
      <c r="I64" s="350"/>
    </row>
    <row r="65" spans="1:8" x14ac:dyDescent="0.2">
      <c r="A65" s="166" t="s">
        <v>44</v>
      </c>
      <c r="B65" s="40">
        <f>G26-G27-G34-G36</f>
        <v>0</v>
      </c>
      <c r="C65" s="24">
        <f>B65*D5</f>
        <v>0</v>
      </c>
      <c r="D65" s="24">
        <v>0</v>
      </c>
      <c r="E65" s="28">
        <v>0</v>
      </c>
      <c r="F65" s="24">
        <v>0</v>
      </c>
      <c r="G65" s="42">
        <v>0</v>
      </c>
      <c r="H65" s="12" t="s">
        <v>24</v>
      </c>
    </row>
    <row r="66" spans="1:8" x14ac:dyDescent="0.2">
      <c r="A66" s="166" t="s">
        <v>47</v>
      </c>
      <c r="B66" s="40">
        <f>G27-G28-G29-G38</f>
        <v>0</v>
      </c>
      <c r="C66" s="24">
        <f t="shared" ref="C66:C77" si="9">B66*D6</f>
        <v>0</v>
      </c>
      <c r="D66" s="24">
        <v>0</v>
      </c>
      <c r="E66" s="28">
        <v>0</v>
      </c>
      <c r="F66" s="24">
        <v>0</v>
      </c>
      <c r="G66" s="42">
        <v>0</v>
      </c>
    </row>
    <row r="67" spans="1:8" x14ac:dyDescent="0.2">
      <c r="A67" s="166" t="s">
        <v>46</v>
      </c>
      <c r="B67" s="40">
        <f>G28-G30-G32</f>
        <v>0</v>
      </c>
      <c r="C67" s="24">
        <f t="shared" si="9"/>
        <v>0</v>
      </c>
      <c r="D67" s="24">
        <v>0</v>
      </c>
      <c r="E67" s="28">
        <v>0</v>
      </c>
      <c r="F67" s="24">
        <v>0</v>
      </c>
      <c r="G67" s="42">
        <v>0</v>
      </c>
    </row>
    <row r="68" spans="1:8" x14ac:dyDescent="0.2">
      <c r="A68" s="166" t="s">
        <v>45</v>
      </c>
      <c r="B68" s="40">
        <f>G29-G33-G37</f>
        <v>0</v>
      </c>
      <c r="C68" s="24">
        <f t="shared" si="9"/>
        <v>0</v>
      </c>
      <c r="D68" s="24">
        <v>0</v>
      </c>
      <c r="E68" s="28">
        <v>0</v>
      </c>
      <c r="F68" s="24">
        <v>0</v>
      </c>
      <c r="G68" s="42">
        <v>0</v>
      </c>
    </row>
    <row r="69" spans="1:8" x14ac:dyDescent="0.2">
      <c r="A69" s="166" t="s">
        <v>37</v>
      </c>
      <c r="B69" s="40">
        <f>G30-G31</f>
        <v>0</v>
      </c>
      <c r="C69" s="24">
        <f t="shared" si="9"/>
        <v>0</v>
      </c>
      <c r="D69" s="24">
        <v>0</v>
      </c>
      <c r="E69" s="28">
        <v>0</v>
      </c>
      <c r="F69" s="24">
        <v>0</v>
      </c>
      <c r="G69" s="42">
        <v>0</v>
      </c>
    </row>
    <row r="70" spans="1:8" x14ac:dyDescent="0.2">
      <c r="A70" s="166" t="s">
        <v>34</v>
      </c>
      <c r="B70" s="40">
        <f>G31</f>
        <v>0</v>
      </c>
      <c r="C70" s="24">
        <f t="shared" si="9"/>
        <v>0</v>
      </c>
      <c r="D70" s="24">
        <v>0</v>
      </c>
      <c r="E70" s="28">
        <v>0</v>
      </c>
      <c r="F70" s="24">
        <v>0</v>
      </c>
      <c r="G70" s="42">
        <v>0</v>
      </c>
    </row>
    <row r="71" spans="1:8" x14ac:dyDescent="0.2">
      <c r="A71" s="166" t="s">
        <v>35</v>
      </c>
      <c r="B71" s="40">
        <f>G32</f>
        <v>0</v>
      </c>
      <c r="C71" s="24">
        <f>B71*D11</f>
        <v>0</v>
      </c>
      <c r="D71" s="24">
        <v>0</v>
      </c>
      <c r="E71" s="28">
        <v>0</v>
      </c>
      <c r="F71" s="24">
        <v>0</v>
      </c>
      <c r="G71" s="42">
        <v>0</v>
      </c>
    </row>
    <row r="72" spans="1:8" x14ac:dyDescent="0.2">
      <c r="A72" s="166" t="s">
        <v>15</v>
      </c>
      <c r="B72" s="40">
        <f>G33</f>
        <v>0</v>
      </c>
      <c r="C72" s="24">
        <f t="shared" si="9"/>
        <v>0</v>
      </c>
      <c r="D72" s="24">
        <v>0</v>
      </c>
      <c r="E72" s="28">
        <v>0</v>
      </c>
      <c r="F72" s="24">
        <v>0</v>
      </c>
      <c r="G72" s="42">
        <v>0</v>
      </c>
    </row>
    <row r="73" spans="1:8" x14ac:dyDescent="0.2">
      <c r="A73" s="166" t="s">
        <v>99</v>
      </c>
      <c r="B73" s="40">
        <f>G34-G35</f>
        <v>0</v>
      </c>
      <c r="C73" s="24">
        <f t="shared" si="9"/>
        <v>0</v>
      </c>
      <c r="D73" s="24">
        <v>0</v>
      </c>
      <c r="E73" s="28">
        <v>0</v>
      </c>
      <c r="F73" s="24">
        <v>0</v>
      </c>
      <c r="G73" s="42">
        <v>0</v>
      </c>
    </row>
    <row r="74" spans="1:8" x14ac:dyDescent="0.2">
      <c r="A74" s="166" t="s">
        <v>98</v>
      </c>
      <c r="B74" s="40">
        <f t="shared" ref="B74:B79" si="10">G35</f>
        <v>0</v>
      </c>
      <c r="C74" s="24">
        <f t="shared" si="9"/>
        <v>0</v>
      </c>
      <c r="D74" s="24">
        <v>0</v>
      </c>
      <c r="E74" s="28">
        <v>0</v>
      </c>
      <c r="F74" s="24">
        <v>0</v>
      </c>
      <c r="G74" s="42">
        <v>0</v>
      </c>
    </row>
    <row r="75" spans="1:8" x14ac:dyDescent="0.2">
      <c r="A75" s="16" t="s">
        <v>20</v>
      </c>
      <c r="B75" s="40">
        <f t="shared" si="10"/>
        <v>0</v>
      </c>
      <c r="C75" s="24">
        <f>B75*D15</f>
        <v>0</v>
      </c>
      <c r="D75" s="24">
        <v>0</v>
      </c>
      <c r="E75" s="28">
        <v>0</v>
      </c>
      <c r="F75" s="24">
        <v>0</v>
      </c>
      <c r="G75" s="42">
        <v>0</v>
      </c>
    </row>
    <row r="76" spans="1:8" x14ac:dyDescent="0.2">
      <c r="A76" s="16" t="s">
        <v>11</v>
      </c>
      <c r="B76" s="40">
        <f t="shared" si="10"/>
        <v>4.0999999999999996</v>
      </c>
      <c r="C76" s="24">
        <f t="shared" si="9"/>
        <v>299.29999999999995</v>
      </c>
      <c r="D76" s="24">
        <v>0</v>
      </c>
      <c r="E76" s="28">
        <v>0</v>
      </c>
      <c r="F76" s="24">
        <v>0</v>
      </c>
      <c r="G76" s="42">
        <v>299.29999999999995</v>
      </c>
    </row>
    <row r="77" spans="1:8" x14ac:dyDescent="0.2">
      <c r="A77" s="16" t="s">
        <v>10</v>
      </c>
      <c r="B77" s="40">
        <f t="shared" si="10"/>
        <v>0</v>
      </c>
      <c r="C77" s="24">
        <f t="shared" si="9"/>
        <v>0</v>
      </c>
      <c r="D77" s="24">
        <v>0</v>
      </c>
      <c r="E77" s="28">
        <v>0</v>
      </c>
      <c r="F77" s="24">
        <v>0</v>
      </c>
      <c r="G77" s="42">
        <v>0</v>
      </c>
    </row>
    <row r="78" spans="1:8" x14ac:dyDescent="0.2">
      <c r="A78" s="16" t="s">
        <v>21</v>
      </c>
      <c r="B78" s="40">
        <f t="shared" si="10"/>
        <v>0</v>
      </c>
      <c r="C78" s="24">
        <v>0</v>
      </c>
      <c r="D78" s="24">
        <v>0</v>
      </c>
      <c r="E78" s="28">
        <v>0</v>
      </c>
      <c r="F78" s="24">
        <v>0</v>
      </c>
      <c r="G78" s="42">
        <v>0</v>
      </c>
    </row>
    <row r="79" spans="1:8" x14ac:dyDescent="0.2">
      <c r="A79" s="16" t="s">
        <v>50</v>
      </c>
      <c r="B79" s="40">
        <f t="shared" si="10"/>
        <v>0</v>
      </c>
      <c r="C79" s="24">
        <v>0</v>
      </c>
      <c r="D79" s="24">
        <v>0</v>
      </c>
      <c r="E79" s="28">
        <v>0</v>
      </c>
      <c r="F79" s="24">
        <v>0</v>
      </c>
      <c r="G79" s="42">
        <v>0</v>
      </c>
    </row>
    <row r="80" spans="1:8" x14ac:dyDescent="0.2">
      <c r="A80" s="196" t="s">
        <v>48</v>
      </c>
      <c r="B80" s="46">
        <f t="shared" ref="B80:G80" si="11">SUM(B65:B79)</f>
        <v>4.0999999999999996</v>
      </c>
      <c r="C80" s="35">
        <f t="shared" si="11"/>
        <v>299.29999999999995</v>
      </c>
      <c r="D80" s="35">
        <f t="shared" si="11"/>
        <v>0</v>
      </c>
      <c r="E80" s="35">
        <f t="shared" si="11"/>
        <v>0</v>
      </c>
      <c r="F80" s="35">
        <f t="shared" si="11"/>
        <v>0</v>
      </c>
      <c r="G80" s="35">
        <f t="shared" si="11"/>
        <v>299.29999999999995</v>
      </c>
      <c r="H80" s="386" t="s">
        <v>24</v>
      </c>
    </row>
    <row r="81" spans="1:10" x14ac:dyDescent="0.2">
      <c r="A81" s="25"/>
      <c r="B81" s="47"/>
      <c r="C81" s="47"/>
      <c r="D81" s="47"/>
      <c r="E81" s="49"/>
      <c r="F81" s="27"/>
      <c r="G81" s="27"/>
      <c r="H81" s="27"/>
      <c r="I81" s="29"/>
      <c r="J81" s="47"/>
    </row>
    <row r="82" spans="1:10" ht="15.75" x14ac:dyDescent="0.25">
      <c r="A82" s="532" t="s">
        <v>109</v>
      </c>
      <c r="B82" s="532"/>
      <c r="C82" s="532"/>
      <c r="D82" s="532"/>
      <c r="E82" s="15"/>
      <c r="F82" s="15"/>
      <c r="G82" s="15"/>
      <c r="H82" s="15"/>
      <c r="I82" s="15"/>
      <c r="J82" s="15"/>
    </row>
    <row r="83" spans="1:10" ht="80.099999999999994" customHeight="1" x14ac:dyDescent="0.2">
      <c r="A83" s="20" t="s">
        <v>58</v>
      </c>
      <c r="B83" s="20" t="s">
        <v>110</v>
      </c>
      <c r="C83" s="20" t="s">
        <v>156</v>
      </c>
      <c r="D83" s="20" t="s">
        <v>59</v>
      </c>
      <c r="E83" s="15"/>
      <c r="F83" s="15"/>
      <c r="G83" s="15"/>
      <c r="H83" s="15"/>
      <c r="I83" s="15"/>
      <c r="J83" s="15"/>
    </row>
    <row r="84" spans="1:10" x14ac:dyDescent="0.2">
      <c r="A84" s="166" t="s">
        <v>28</v>
      </c>
      <c r="B84" s="166">
        <v>0</v>
      </c>
      <c r="C84" s="42">
        <f t="shared" ref="C84:C96" si="12">C6</f>
        <v>20.57</v>
      </c>
      <c r="D84" s="42">
        <f t="shared" ref="D84:D97" si="13">B84*C84</f>
        <v>0</v>
      </c>
      <c r="E84" s="15"/>
      <c r="F84" s="15"/>
      <c r="G84" s="15"/>
      <c r="H84" s="15"/>
      <c r="I84" s="15"/>
      <c r="J84" s="15"/>
    </row>
    <row r="85" spans="1:10" x14ac:dyDescent="0.2">
      <c r="A85" s="166" t="s">
        <v>33</v>
      </c>
      <c r="B85" s="166">
        <v>0</v>
      </c>
      <c r="C85" s="42">
        <f t="shared" si="12"/>
        <v>4.1099999999999994</v>
      </c>
      <c r="D85" s="42">
        <f t="shared" si="13"/>
        <v>0</v>
      </c>
      <c r="E85" s="15"/>
      <c r="F85" s="15"/>
      <c r="G85" s="15"/>
      <c r="H85" s="15"/>
      <c r="I85" s="15"/>
      <c r="J85" s="15"/>
    </row>
    <row r="86" spans="1:10" x14ac:dyDescent="0.2">
      <c r="A86" s="166" t="s">
        <v>5</v>
      </c>
      <c r="B86" s="166">
        <v>0</v>
      </c>
      <c r="C86" s="42">
        <f t="shared" si="12"/>
        <v>0</v>
      </c>
      <c r="D86" s="42">
        <f t="shared" si="13"/>
        <v>0</v>
      </c>
      <c r="E86" s="15"/>
      <c r="F86" s="15"/>
      <c r="G86" s="15"/>
      <c r="H86" s="15"/>
      <c r="I86" s="15"/>
      <c r="J86" s="15"/>
    </row>
    <row r="87" spans="1:10" x14ac:dyDescent="0.2">
      <c r="A87" s="166" t="s">
        <v>8</v>
      </c>
      <c r="B87" s="166">
        <v>0</v>
      </c>
      <c r="C87" s="42">
        <f t="shared" si="12"/>
        <v>0</v>
      </c>
      <c r="D87" s="42">
        <f t="shared" si="13"/>
        <v>0</v>
      </c>
      <c r="E87" s="15"/>
      <c r="F87" s="15" t="s">
        <v>24</v>
      </c>
      <c r="G87" s="15"/>
      <c r="H87" s="15"/>
      <c r="I87" s="15"/>
      <c r="J87" s="15"/>
    </row>
    <row r="88" spans="1:10" x14ac:dyDescent="0.2">
      <c r="A88" s="166" t="s">
        <v>34</v>
      </c>
      <c r="B88" s="166">
        <v>0</v>
      </c>
      <c r="C88" s="42">
        <f t="shared" si="12"/>
        <v>0</v>
      </c>
      <c r="D88" s="42">
        <f t="shared" si="13"/>
        <v>0</v>
      </c>
      <c r="E88" s="15"/>
      <c r="F88" s="15"/>
      <c r="G88" s="15"/>
      <c r="H88" s="15"/>
      <c r="I88" s="15"/>
      <c r="J88" s="15"/>
    </row>
    <row r="89" spans="1:10" x14ac:dyDescent="0.2">
      <c r="A89" s="166" t="s">
        <v>35</v>
      </c>
      <c r="B89" s="166">
        <v>0</v>
      </c>
      <c r="C89" s="42">
        <f t="shared" si="12"/>
        <v>372.57</v>
      </c>
      <c r="D89" s="42">
        <f t="shared" si="13"/>
        <v>0</v>
      </c>
      <c r="E89" s="15"/>
      <c r="F89" s="15"/>
      <c r="G89" s="15"/>
      <c r="H89" s="15"/>
      <c r="I89" s="15"/>
      <c r="J89" s="15"/>
    </row>
    <row r="90" spans="1:10" x14ac:dyDescent="0.2">
      <c r="A90" s="16" t="s">
        <v>15</v>
      </c>
      <c r="B90" s="166">
        <v>0</v>
      </c>
      <c r="C90" s="42">
        <f t="shared" si="12"/>
        <v>0</v>
      </c>
      <c r="D90" s="42">
        <f t="shared" si="13"/>
        <v>0</v>
      </c>
      <c r="E90" s="15"/>
      <c r="F90" s="15"/>
      <c r="G90" s="15"/>
      <c r="H90" s="15"/>
      <c r="I90" s="15"/>
      <c r="J90" s="15"/>
    </row>
    <row r="91" spans="1:10" x14ac:dyDescent="0.2">
      <c r="A91" s="16" t="s">
        <v>43</v>
      </c>
      <c r="B91" s="166">
        <v>0</v>
      </c>
      <c r="C91" s="42">
        <f t="shared" si="12"/>
        <v>0</v>
      </c>
      <c r="D91" s="42">
        <f t="shared" si="13"/>
        <v>0</v>
      </c>
      <c r="E91" s="15"/>
      <c r="F91" s="15"/>
      <c r="G91" s="15"/>
      <c r="H91" s="15"/>
      <c r="I91" s="15"/>
      <c r="J91" s="15"/>
    </row>
    <row r="92" spans="1:10" x14ac:dyDescent="0.2">
      <c r="A92" s="16" t="s">
        <v>98</v>
      </c>
      <c r="B92" s="166">
        <v>0</v>
      </c>
      <c r="C92" s="42">
        <f t="shared" si="12"/>
        <v>0</v>
      </c>
      <c r="D92" s="42">
        <f t="shared" si="13"/>
        <v>0</v>
      </c>
      <c r="E92" s="15"/>
      <c r="F92" s="15"/>
      <c r="G92" s="15"/>
      <c r="H92" s="15"/>
      <c r="I92" s="15"/>
      <c r="J92" s="15"/>
    </row>
    <row r="93" spans="1:10" x14ac:dyDescent="0.2">
      <c r="A93" s="16" t="s">
        <v>20</v>
      </c>
      <c r="B93" s="166">
        <v>0</v>
      </c>
      <c r="C93" s="42">
        <f>C15</f>
        <v>0</v>
      </c>
      <c r="D93" s="42">
        <f t="shared" si="13"/>
        <v>0</v>
      </c>
      <c r="E93" s="15"/>
      <c r="F93" s="15"/>
      <c r="G93" s="15"/>
      <c r="H93" s="15"/>
      <c r="I93" s="15"/>
      <c r="J93" s="15"/>
    </row>
    <row r="94" spans="1:10" x14ac:dyDescent="0.2">
      <c r="A94" s="16" t="s">
        <v>11</v>
      </c>
      <c r="B94" s="166">
        <v>0</v>
      </c>
      <c r="C94" s="42">
        <f t="shared" si="12"/>
        <v>23.509999999999998</v>
      </c>
      <c r="D94" s="42">
        <f t="shared" si="13"/>
        <v>0</v>
      </c>
      <c r="E94" s="15"/>
      <c r="F94" s="15"/>
      <c r="G94" s="15"/>
      <c r="H94" s="15"/>
      <c r="I94" s="15"/>
      <c r="J94" s="15"/>
    </row>
    <row r="95" spans="1:10" x14ac:dyDescent="0.2">
      <c r="A95" s="16" t="s">
        <v>10</v>
      </c>
      <c r="B95" s="166">
        <v>0</v>
      </c>
      <c r="C95" s="42">
        <f t="shared" si="12"/>
        <v>0</v>
      </c>
      <c r="D95" s="42">
        <f t="shared" si="13"/>
        <v>0</v>
      </c>
      <c r="E95" s="15"/>
      <c r="F95" s="15"/>
      <c r="G95" s="15"/>
      <c r="H95" s="15"/>
      <c r="I95" s="15"/>
      <c r="J95" s="15"/>
    </row>
    <row r="96" spans="1:10" x14ac:dyDescent="0.2">
      <c r="A96" s="193" t="s">
        <v>21</v>
      </c>
      <c r="B96" s="166">
        <v>0</v>
      </c>
      <c r="C96" s="42">
        <f t="shared" si="12"/>
        <v>0</v>
      </c>
      <c r="D96" s="42">
        <f t="shared" si="13"/>
        <v>0</v>
      </c>
      <c r="E96" s="15"/>
      <c r="F96" s="15"/>
      <c r="G96" s="15"/>
      <c r="H96" s="15"/>
      <c r="I96" s="15"/>
      <c r="J96" s="15"/>
    </row>
    <row r="97" spans="1:10" x14ac:dyDescent="0.2">
      <c r="A97" s="193" t="s">
        <v>50</v>
      </c>
      <c r="B97" s="166">
        <v>0</v>
      </c>
      <c r="C97" s="42">
        <f>C19</f>
        <v>67.319999999999993</v>
      </c>
      <c r="D97" s="42">
        <f t="shared" si="13"/>
        <v>0</v>
      </c>
      <c r="E97" s="15"/>
      <c r="F97" s="15"/>
      <c r="G97" s="15"/>
      <c r="H97" s="15"/>
      <c r="I97" s="15"/>
      <c r="J97" s="15"/>
    </row>
    <row r="98" spans="1:10" x14ac:dyDescent="0.2">
      <c r="A98" s="152" t="s">
        <v>48</v>
      </c>
      <c r="B98" s="166" t="s">
        <v>24</v>
      </c>
      <c r="C98" s="166"/>
      <c r="D98" s="59">
        <f>SUM(D84:D95)</f>
        <v>0</v>
      </c>
      <c r="E98" s="15"/>
      <c r="F98" s="15"/>
      <c r="G98" s="15"/>
      <c r="H98" s="15"/>
      <c r="I98" s="15"/>
      <c r="J98" s="15"/>
    </row>
    <row r="99" spans="1:10" x14ac:dyDescent="0.2">
      <c r="A99" s="17" t="s">
        <v>157</v>
      </c>
      <c r="B99" s="15"/>
      <c r="C99" s="15"/>
      <c r="D99" s="15"/>
      <c r="E99" s="15"/>
      <c r="F99" s="15"/>
      <c r="G99" s="15"/>
      <c r="H99" s="15"/>
      <c r="I99" s="15"/>
      <c r="J99" s="15"/>
    </row>
    <row r="100" spans="1:10" x14ac:dyDescent="0.2">
      <c r="A100" s="15"/>
      <c r="B100" s="15" t="s">
        <v>24</v>
      </c>
      <c r="C100" s="15"/>
      <c r="D100" s="15"/>
      <c r="E100" s="15"/>
      <c r="F100" s="15"/>
      <c r="G100" s="15"/>
      <c r="H100" s="15"/>
      <c r="I100" s="15"/>
      <c r="J100" s="15"/>
    </row>
    <row r="101" spans="1:10" x14ac:dyDescent="0.2">
      <c r="B101" s="285" t="s">
        <v>24</v>
      </c>
    </row>
    <row r="102" spans="1:10" x14ac:dyDescent="0.2">
      <c r="B102" s="285" t="s">
        <v>24</v>
      </c>
    </row>
  </sheetData>
  <mergeCells count="7">
    <mergeCell ref="A82:D82"/>
    <mergeCell ref="A3:B3"/>
    <mergeCell ref="A24:B24"/>
    <mergeCell ref="J42:K42"/>
    <mergeCell ref="A43:B43"/>
    <mergeCell ref="D62:E62"/>
    <mergeCell ref="A63:B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83"/>
  <sheetViews>
    <sheetView workbookViewId="0"/>
  </sheetViews>
  <sheetFormatPr defaultColWidth="9.140625" defaultRowHeight="12.75" x14ac:dyDescent="0.2"/>
  <cols>
    <col min="1" max="1" width="31" style="285" customWidth="1"/>
    <col min="2" max="2" width="12.85546875" style="285" customWidth="1"/>
    <col min="3" max="3" width="14.42578125" style="285" customWidth="1"/>
    <col min="4" max="4" width="15.5703125" style="285" customWidth="1"/>
    <col min="5" max="5" width="17.140625" style="285" customWidth="1"/>
    <col min="6" max="6" width="17.5703125" style="285" customWidth="1"/>
    <col min="7" max="7" width="20" style="285" customWidth="1"/>
    <col min="8" max="8" width="18.42578125" style="285" customWidth="1"/>
    <col min="9" max="9" width="18.140625" style="285" customWidth="1"/>
    <col min="10" max="10" width="18.42578125" style="285" customWidth="1"/>
    <col min="11" max="12" width="16.7109375" style="285" customWidth="1"/>
    <col min="13" max="13" width="12.7109375" style="285" customWidth="1"/>
    <col min="14" max="14" width="16.7109375" style="285" customWidth="1"/>
    <col min="15" max="15" width="15.7109375" style="285" customWidth="1"/>
    <col min="16" max="16" width="12.7109375" style="285" customWidth="1"/>
    <col min="17" max="16384" width="9.140625" style="285"/>
  </cols>
  <sheetData>
    <row r="1" spans="1:16" ht="18.75" x14ac:dyDescent="0.3">
      <c r="A1" s="92" t="s">
        <v>315</v>
      </c>
      <c r="E1" s="353" t="s">
        <v>24</v>
      </c>
      <c r="F1" s="353" t="s">
        <v>24</v>
      </c>
      <c r="G1" s="353" t="s">
        <v>24</v>
      </c>
    </row>
    <row r="2" spans="1:16" x14ac:dyDescent="0.2">
      <c r="A2" s="13"/>
    </row>
    <row r="3" spans="1:16" ht="15.75" x14ac:dyDescent="0.25">
      <c r="A3" s="153" t="s">
        <v>0</v>
      </c>
      <c r="B3" s="15"/>
      <c r="C3" s="15"/>
      <c r="D3" s="89" t="s">
        <v>24</v>
      </c>
      <c r="E3" s="15"/>
      <c r="F3" s="15"/>
      <c r="G3" s="15"/>
      <c r="H3" s="15"/>
      <c r="I3" s="15"/>
      <c r="J3" s="15"/>
      <c r="K3" s="15"/>
      <c r="L3" s="15"/>
      <c r="M3" s="15"/>
      <c r="N3" s="15"/>
      <c r="O3" s="15"/>
      <c r="P3" s="15"/>
    </row>
    <row r="4" spans="1:16" ht="12.75" customHeight="1" x14ac:dyDescent="0.2">
      <c r="A4" s="166" t="s">
        <v>1</v>
      </c>
      <c r="B4" s="155">
        <v>0.14699999999999999</v>
      </c>
      <c r="C4" s="15"/>
      <c r="D4" s="61" t="s">
        <v>24</v>
      </c>
      <c r="E4" s="22" t="s">
        <v>24</v>
      </c>
      <c r="F4" s="22" t="s">
        <v>24</v>
      </c>
      <c r="G4" s="22" t="s">
        <v>24</v>
      </c>
      <c r="H4" s="22" t="s">
        <v>24</v>
      </c>
      <c r="I4" s="22" t="s">
        <v>24</v>
      </c>
      <c r="J4" s="22" t="s">
        <v>24</v>
      </c>
      <c r="K4" s="15"/>
      <c r="L4" s="15"/>
      <c r="M4" s="15"/>
      <c r="N4" s="15"/>
      <c r="O4" s="22" t="s">
        <v>24</v>
      </c>
      <c r="P4" s="15"/>
    </row>
    <row r="5" spans="1:16" ht="12.75" customHeight="1" x14ac:dyDescent="0.2">
      <c r="A5" s="154" t="s">
        <v>2</v>
      </c>
      <c r="B5" s="128">
        <v>5.0200000000000002E-2</v>
      </c>
      <c r="C5" s="15"/>
      <c r="D5" s="25" t="s">
        <v>24</v>
      </c>
      <c r="E5" s="60" t="s">
        <v>24</v>
      </c>
      <c r="F5" s="62" t="s">
        <v>24</v>
      </c>
      <c r="G5" s="62" t="s">
        <v>24</v>
      </c>
      <c r="H5" s="62" t="s">
        <v>24</v>
      </c>
      <c r="I5" s="62" t="s">
        <v>24</v>
      </c>
      <c r="J5" s="22" t="s">
        <v>24</v>
      </c>
      <c r="K5" s="22" t="s">
        <v>24</v>
      </c>
      <c r="L5" s="22"/>
      <c r="M5" s="22"/>
      <c r="N5" s="22"/>
      <c r="O5" s="60" t="s">
        <v>24</v>
      </c>
      <c r="P5" s="15"/>
    </row>
    <row r="6" spans="1:16" ht="12.75" customHeight="1" x14ac:dyDescent="0.2">
      <c r="A6" s="166" t="s">
        <v>4</v>
      </c>
      <c r="B6" s="156">
        <v>1.0893999999999999</v>
      </c>
      <c r="C6" s="15"/>
      <c r="D6" s="25" t="s">
        <v>24</v>
      </c>
      <c r="E6" s="63" t="s">
        <v>24</v>
      </c>
      <c r="F6" s="57" t="s">
        <v>24</v>
      </c>
      <c r="G6" s="64" t="s">
        <v>24</v>
      </c>
      <c r="H6" s="65" t="s">
        <v>24</v>
      </c>
      <c r="I6" s="65" t="s">
        <v>24</v>
      </c>
      <c r="J6" s="65" t="s">
        <v>24</v>
      </c>
      <c r="K6" s="66" t="s">
        <v>24</v>
      </c>
      <c r="L6" s="66"/>
      <c r="M6" s="66"/>
      <c r="N6" s="66"/>
      <c r="O6" s="67" t="s">
        <v>24</v>
      </c>
      <c r="P6" s="15"/>
    </row>
    <row r="7" spans="1:16" ht="12.75" customHeight="1" x14ac:dyDescent="0.2">
      <c r="A7" s="166" t="s">
        <v>146</v>
      </c>
      <c r="B7" s="192">
        <v>139390.6</v>
      </c>
      <c r="C7" s="284" t="s">
        <v>24</v>
      </c>
      <c r="E7" s="60" t="s">
        <v>24</v>
      </c>
      <c r="F7" s="68" t="s">
        <v>24</v>
      </c>
      <c r="G7" s="57" t="s">
        <v>24</v>
      </c>
      <c r="H7" s="306" t="s">
        <v>24</v>
      </c>
      <c r="I7" s="57" t="s">
        <v>24</v>
      </c>
      <c r="J7" s="64" t="s">
        <v>24</v>
      </c>
      <c r="K7" s="65"/>
      <c r="L7" s="65"/>
      <c r="M7" s="65"/>
      <c r="N7" s="65"/>
      <c r="O7" s="60" t="s">
        <v>24</v>
      </c>
      <c r="P7" s="15"/>
    </row>
    <row r="8" spans="1:16" ht="12.75" customHeight="1" x14ac:dyDescent="0.2">
      <c r="A8" s="166" t="s">
        <v>23</v>
      </c>
      <c r="B8" s="157">
        <v>1.1167822226260498</v>
      </c>
      <c r="C8" s="25" t="s">
        <v>24</v>
      </c>
      <c r="D8" s="69" t="s">
        <v>24</v>
      </c>
      <c r="E8" s="60" t="s">
        <v>24</v>
      </c>
      <c r="F8" s="68" t="s">
        <v>24</v>
      </c>
      <c r="G8" s="64" t="s">
        <v>24</v>
      </c>
      <c r="H8" s="64" t="s">
        <v>24</v>
      </c>
      <c r="I8" s="64" t="s">
        <v>24</v>
      </c>
      <c r="J8" s="64" t="s">
        <v>24</v>
      </c>
      <c r="K8" s="65" t="s">
        <v>24</v>
      </c>
      <c r="L8" s="65"/>
      <c r="M8" s="65"/>
      <c r="N8" s="65"/>
      <c r="O8" s="60" t="s">
        <v>24</v>
      </c>
      <c r="P8" s="15"/>
    </row>
    <row r="9" spans="1:16" x14ac:dyDescent="0.2">
      <c r="A9" s="15" t="s">
        <v>147</v>
      </c>
      <c r="B9" s="15"/>
      <c r="C9" s="15"/>
      <c r="D9" s="17" t="s">
        <v>24</v>
      </c>
      <c r="E9" s="70"/>
      <c r="F9" s="51"/>
      <c r="G9" s="70"/>
      <c r="H9" s="71" t="s">
        <v>24</v>
      </c>
      <c r="I9" s="15"/>
      <c r="J9" s="15"/>
      <c r="K9" s="15"/>
      <c r="L9" s="15"/>
      <c r="M9" s="15"/>
      <c r="N9" s="15"/>
      <c r="O9" s="15" t="s">
        <v>24</v>
      </c>
      <c r="P9" s="15"/>
    </row>
    <row r="10" spans="1:16" x14ac:dyDescent="0.2">
      <c r="A10" s="17"/>
      <c r="B10" s="27"/>
      <c r="C10" s="27"/>
      <c r="D10" s="27"/>
      <c r="E10" s="31" t="s">
        <v>24</v>
      </c>
      <c r="F10" s="32"/>
      <c r="G10" s="32"/>
      <c r="H10" s="32"/>
      <c r="I10" s="33"/>
      <c r="J10" s="33"/>
      <c r="K10" s="33"/>
      <c r="L10" s="33"/>
      <c r="M10" s="33"/>
      <c r="N10" s="33"/>
      <c r="O10" s="34"/>
      <c r="P10" s="15"/>
    </row>
    <row r="11" spans="1:16" ht="15.75" x14ac:dyDescent="0.25">
      <c r="A11" s="145" t="s">
        <v>114</v>
      </c>
      <c r="B11" s="27"/>
      <c r="C11" s="27"/>
      <c r="D11" s="27"/>
      <c r="E11" s="33"/>
      <c r="F11" s="34"/>
      <c r="G11" s="15"/>
    </row>
    <row r="12" spans="1:16" ht="69.95" customHeight="1" x14ac:dyDescent="0.2">
      <c r="A12" s="167" t="s">
        <v>3</v>
      </c>
      <c r="B12" s="167" t="s">
        <v>55</v>
      </c>
      <c r="C12" s="167" t="s">
        <v>118</v>
      </c>
      <c r="D12" s="167" t="s">
        <v>158</v>
      </c>
      <c r="E12" s="167" t="s">
        <v>119</v>
      </c>
      <c r="F12" s="167" t="s">
        <v>77</v>
      </c>
      <c r="G12" s="15"/>
    </row>
    <row r="13" spans="1:16" x14ac:dyDescent="0.2">
      <c r="A13" s="166" t="s">
        <v>6</v>
      </c>
      <c r="B13" s="37">
        <f>J61</f>
        <v>147477.4</v>
      </c>
      <c r="C13" s="139">
        <f>'BRA Resource Clearing Results'!B5</f>
        <v>28.92</v>
      </c>
      <c r="D13" s="139">
        <f>'BRA Resource Clearing Results'!C5</f>
        <v>0</v>
      </c>
      <c r="E13" s="281">
        <f>'BRA Resource Clearing Results'!G65/B13</f>
        <v>0</v>
      </c>
      <c r="F13" s="140">
        <f t="shared" ref="F13:F22" si="0">C13+D13+E13</f>
        <v>28.92</v>
      </c>
      <c r="G13" s="15"/>
    </row>
    <row r="14" spans="1:16" x14ac:dyDescent="0.2">
      <c r="A14" s="166" t="s">
        <v>28</v>
      </c>
      <c r="B14" s="37">
        <f>J40+J44+J50+J52+J53+J55+J56+J57+J58+J59+J60</f>
        <v>65797.380929129169</v>
      </c>
      <c r="C14" s="139">
        <f>'BRA Resource Clearing Results'!B6</f>
        <v>28.92</v>
      </c>
      <c r="D14" s="139">
        <f>'BRA Resource Clearing Results'!C6</f>
        <v>20.57</v>
      </c>
      <c r="E14" s="281">
        <f>E13+'BRA Resource Clearing Results'!G66/B14</f>
        <v>0</v>
      </c>
      <c r="F14" s="140">
        <f t="shared" si="0"/>
        <v>49.49</v>
      </c>
      <c r="G14" s="15"/>
    </row>
    <row r="15" spans="1:16" x14ac:dyDescent="0.2">
      <c r="A15" s="166" t="s">
        <v>33</v>
      </c>
      <c r="B15" s="37">
        <f>J40+J50+J52+J55+J59+J60</f>
        <v>35939.030225333307</v>
      </c>
      <c r="C15" s="139">
        <f>'BRA Resource Clearing Results'!B7</f>
        <v>28.92</v>
      </c>
      <c r="D15" s="139">
        <f>'BRA Resource Clearing Results'!C6+'BRA Resource Clearing Results'!C7</f>
        <v>24.68</v>
      </c>
      <c r="E15" s="281">
        <f>E14+'BRA Resource Clearing Results'!G67/B15</f>
        <v>0</v>
      </c>
      <c r="F15" s="140">
        <f>C15+D15+E15</f>
        <v>53.6</v>
      </c>
      <c r="G15" s="15"/>
    </row>
    <row r="16" spans="1:16" x14ac:dyDescent="0.2">
      <c r="A16" s="166" t="s">
        <v>5</v>
      </c>
      <c r="B16" s="37">
        <f>J44+J57</f>
        <v>14532.556399512738</v>
      </c>
      <c r="C16" s="139">
        <f>'BRA Resource Clearing Results'!B8</f>
        <v>28.92</v>
      </c>
      <c r="D16" s="139">
        <f>'BRA Resource Clearing Results'!C6+'BRA Resource Clearing Results'!C8</f>
        <v>20.57</v>
      </c>
      <c r="E16" s="281">
        <f>E14+'BRA Resource Clearing Results'!G68/B16</f>
        <v>0</v>
      </c>
      <c r="F16" s="140">
        <f t="shared" si="0"/>
        <v>49.49</v>
      </c>
      <c r="G16" s="15"/>
    </row>
    <row r="17" spans="1:16" x14ac:dyDescent="0.2">
      <c r="A17" s="166" t="s">
        <v>15</v>
      </c>
      <c r="B17" s="37">
        <f>J57</f>
        <v>6976.1137207874453</v>
      </c>
      <c r="C17" s="139">
        <f>'BRA Resource Clearing Results'!B12</f>
        <v>28.92</v>
      </c>
      <c r="D17" s="139">
        <f>'BRA Resource Clearing Results'!C6+'BRA Resource Clearing Results'!C8+'BRA Resource Clearing Results'!C12</f>
        <v>20.57</v>
      </c>
      <c r="E17" s="281">
        <f>E16+'BRA Resource Clearing Results'!G72/B17</f>
        <v>0</v>
      </c>
      <c r="F17" s="140">
        <f>C17+D17+E17</f>
        <v>49.49</v>
      </c>
      <c r="G17" s="15"/>
    </row>
    <row r="18" spans="1:16" x14ac:dyDescent="0.2">
      <c r="A18" s="16" t="s">
        <v>20</v>
      </c>
      <c r="B18" s="37">
        <f>J45</f>
        <v>24121.975364850485</v>
      </c>
      <c r="C18" s="139">
        <f>'BRA Resource Clearing Results'!B15</f>
        <v>28.92</v>
      </c>
      <c r="D18" s="139">
        <f>'BRA Resource Clearing Results'!C15</f>
        <v>0</v>
      </c>
      <c r="E18" s="281">
        <f>E13+'BRA Resource Clearing Results'!G75/B18</f>
        <v>0</v>
      </c>
      <c r="F18" s="140">
        <f>C18+D18+E18</f>
        <v>28.92</v>
      </c>
      <c r="G18" s="15"/>
    </row>
    <row r="19" spans="1:16" x14ac:dyDescent="0.2">
      <c r="A19" s="16" t="s">
        <v>11</v>
      </c>
      <c r="B19" s="37">
        <f>J44</f>
        <v>7556.4426787252924</v>
      </c>
      <c r="C19" s="139">
        <f>'BRA Resource Clearing Results'!B16</f>
        <v>28.92</v>
      </c>
      <c r="D19" s="139">
        <f>'BRA Resource Clearing Results'!C6+'BRA Resource Clearing Results'!C8+'BRA Resource Clearing Results'!C16</f>
        <v>44.08</v>
      </c>
      <c r="E19" s="139">
        <f>E16+'BRA Resource Clearing Results'!G76/B19</f>
        <v>3.9608584717073424E-2</v>
      </c>
      <c r="F19" s="140">
        <f t="shared" si="0"/>
        <v>73.039608584717072</v>
      </c>
      <c r="G19" s="15"/>
    </row>
    <row r="20" spans="1:16" x14ac:dyDescent="0.2">
      <c r="A20" s="16" t="s">
        <v>10</v>
      </c>
      <c r="B20" s="37">
        <f>J58</f>
        <v>8552.8565499015931</v>
      </c>
      <c r="C20" s="139">
        <f>'BRA Resource Clearing Results'!B17</f>
        <v>28.92</v>
      </c>
      <c r="D20" s="139">
        <f>'BRA Resource Clearing Results'!C6+'BRA Resource Clearing Results'!C17</f>
        <v>20.57</v>
      </c>
      <c r="E20" s="281">
        <f>E14+'BRA Resource Clearing Results'!G77/B20</f>
        <v>0</v>
      </c>
      <c r="F20" s="140">
        <f t="shared" si="0"/>
        <v>49.49</v>
      </c>
      <c r="G20" s="15"/>
      <c r="I20" s="285" t="s">
        <v>24</v>
      </c>
    </row>
    <row r="21" spans="1:16" x14ac:dyDescent="0.2">
      <c r="A21" s="16" t="s">
        <v>21</v>
      </c>
      <c r="B21" s="37">
        <f>J46</f>
        <v>3831.1444204324498</v>
      </c>
      <c r="C21" s="139">
        <f>'BRA Resource Clearing Results'!B18</f>
        <v>28.92</v>
      </c>
      <c r="D21" s="139">
        <f>'BRA Resource Clearing Results'!C18</f>
        <v>0</v>
      </c>
      <c r="E21" s="281">
        <f>E13+'BRA Resource Clearing Results'!G78/B21</f>
        <v>0</v>
      </c>
      <c r="F21" s="140">
        <f t="shared" si="0"/>
        <v>28.92</v>
      </c>
      <c r="G21" s="15"/>
      <c r="I21" s="285" t="s">
        <v>24</v>
      </c>
    </row>
    <row r="22" spans="1:16" x14ac:dyDescent="0.2">
      <c r="A22" s="16" t="s">
        <v>50</v>
      </c>
      <c r="B22" s="37">
        <f>J47</f>
        <v>5230.3524446039564</v>
      </c>
      <c r="C22" s="139">
        <f>'BRA Resource Clearing Results'!B19</f>
        <v>28.92</v>
      </c>
      <c r="D22" s="139">
        <f>'BRA Resource Clearing Results'!C19</f>
        <v>67.319999999999993</v>
      </c>
      <c r="E22" s="281">
        <f>E13+'BRA Resource Clearing Results'!G79/B22</f>
        <v>0</v>
      </c>
      <c r="F22" s="140">
        <f t="shared" si="0"/>
        <v>96.24</v>
      </c>
      <c r="G22" s="15"/>
    </row>
    <row r="23" spans="1:16" s="350" customFormat="1" x14ac:dyDescent="0.2">
      <c r="A23" s="17" t="s">
        <v>159</v>
      </c>
      <c r="B23" s="27"/>
      <c r="C23" s="47"/>
      <c r="D23" s="47"/>
      <c r="E23" s="47"/>
      <c r="F23" s="49"/>
      <c r="G23" s="93"/>
      <c r="H23" s="27"/>
      <c r="I23" s="27"/>
      <c r="J23" s="47"/>
      <c r="K23" s="27"/>
      <c r="L23" s="27"/>
      <c r="M23" s="27"/>
      <c r="N23" s="27"/>
      <c r="O23" s="57"/>
      <c r="P23" s="25"/>
    </row>
    <row r="24" spans="1:16" s="350" customFormat="1" x14ac:dyDescent="0.2">
      <c r="A24" s="17"/>
      <c r="B24" s="27"/>
      <c r="C24" s="47"/>
      <c r="D24" s="72" t="s">
        <v>24</v>
      </c>
      <c r="E24" s="72" t="s">
        <v>24</v>
      </c>
      <c r="F24" s="49"/>
      <c r="G24" s="25"/>
      <c r="H24" s="27"/>
      <c r="I24" s="27"/>
      <c r="J24" s="47"/>
      <c r="K24" s="27"/>
      <c r="L24" s="27"/>
      <c r="M24" s="27"/>
      <c r="N24" s="27"/>
      <c r="O24" s="57"/>
      <c r="P24" s="25"/>
    </row>
    <row r="25" spans="1:16" ht="31.5" x14ac:dyDescent="0.25">
      <c r="A25" s="158" t="s">
        <v>103</v>
      </c>
      <c r="B25" s="15"/>
      <c r="C25" s="181" t="s">
        <v>24</v>
      </c>
      <c r="D25" s="15"/>
      <c r="E25" s="51" t="s">
        <v>24</v>
      </c>
      <c r="F25" s="231" t="s">
        <v>24</v>
      </c>
      <c r="G25" s="231"/>
      <c r="H25" s="237" t="s">
        <v>148</v>
      </c>
      <c r="I25" s="15"/>
      <c r="J25" s="181" t="s">
        <v>24</v>
      </c>
      <c r="K25" s="15"/>
      <c r="L25" s="51" t="s">
        <v>24</v>
      </c>
      <c r="M25" s="231" t="s">
        <v>24</v>
      </c>
      <c r="N25" s="73"/>
      <c r="O25" s="15"/>
      <c r="P25" s="15"/>
    </row>
    <row r="26" spans="1:16" ht="80.099999999999994" customHeight="1" x14ac:dyDescent="0.2">
      <c r="A26" s="170" t="s">
        <v>54</v>
      </c>
      <c r="B26" s="167" t="s">
        <v>160</v>
      </c>
      <c r="C26" s="149" t="s">
        <v>72</v>
      </c>
      <c r="D26" s="149" t="s">
        <v>104</v>
      </c>
      <c r="E26" s="149" t="s">
        <v>116</v>
      </c>
      <c r="F26" s="149" t="s">
        <v>113</v>
      </c>
      <c r="G26" s="15"/>
      <c r="H26" s="175" t="s">
        <v>7</v>
      </c>
      <c r="I26" s="174" t="s">
        <v>149</v>
      </c>
      <c r="J26" s="174" t="s">
        <v>150</v>
      </c>
      <c r="K26" s="207"/>
      <c r="L26" s="207"/>
      <c r="M26" s="207"/>
    </row>
    <row r="27" spans="1:16" x14ac:dyDescent="0.2">
      <c r="A27" s="166" t="s">
        <v>37</v>
      </c>
      <c r="B27" s="166"/>
      <c r="C27" s="40">
        <f>'BRA Resource Clearing Results'!D49</f>
        <v>2641</v>
      </c>
      <c r="D27" s="24">
        <f>'BRA Resource Clearing Results'!C9</f>
        <v>0</v>
      </c>
      <c r="E27" s="166"/>
      <c r="F27" s="166"/>
      <c r="G27" s="15"/>
      <c r="H27" s="16" t="s">
        <v>11</v>
      </c>
      <c r="I27" s="235">
        <v>160</v>
      </c>
      <c r="J27" s="28">
        <f>I27*VLOOKUP(H27,$A$40:$L$60,9,0)*$B$6*VLOOKUP(H27,$A$40:$L$60,12,0)</f>
        <v>14452.045164177316</v>
      </c>
      <c r="K27" s="278"/>
      <c r="L27" s="216"/>
      <c r="M27" s="25"/>
    </row>
    <row r="28" spans="1:16" x14ac:dyDescent="0.2">
      <c r="A28" s="166" t="s">
        <v>34</v>
      </c>
      <c r="B28" s="166"/>
      <c r="C28" s="40">
        <f>'BRA Resource Clearing Results'!D50</f>
        <v>3470.8</v>
      </c>
      <c r="D28" s="24">
        <f>'BRA Resource Clearing Results'!C9+'BRA Resource Clearing Results'!C10</f>
        <v>0</v>
      </c>
      <c r="E28" s="166"/>
      <c r="F28" s="166"/>
      <c r="G28" s="15"/>
      <c r="H28" s="16" t="s">
        <v>17</v>
      </c>
      <c r="I28" s="235">
        <v>35</v>
      </c>
      <c r="J28" s="28">
        <f t="shared" ref="J28:J29" si="1">I28*VLOOKUP(H28,$A$40:$L$60,9,0)*$B$6*VLOOKUP(H28,$A$40:$L$60,12,0)</f>
        <v>7102.8160835630297</v>
      </c>
      <c r="K28" s="278"/>
      <c r="L28" s="216"/>
      <c r="M28" s="25"/>
    </row>
    <row r="29" spans="1:16" x14ac:dyDescent="0.2">
      <c r="A29" s="58" t="s">
        <v>8</v>
      </c>
      <c r="B29" s="138">
        <f>F15</f>
        <v>53.6</v>
      </c>
      <c r="C29" s="40">
        <f>C28+C27</f>
        <v>6111.8</v>
      </c>
      <c r="D29" s="141">
        <f>(C28*D28+C27*D27)/C29</f>
        <v>0</v>
      </c>
      <c r="E29" s="142">
        <f>('BRA Resource Clearing Results'!G69+'BRA Resource Clearing Results'!G70)/J59</f>
        <v>0</v>
      </c>
      <c r="F29" s="143">
        <f>B29+D29+E29</f>
        <v>53.6</v>
      </c>
      <c r="G29" s="15"/>
      <c r="H29" s="16" t="s">
        <v>15</v>
      </c>
      <c r="I29" s="235">
        <v>110</v>
      </c>
      <c r="J29" s="28">
        <f t="shared" si="1"/>
        <v>6629.9599218959247</v>
      </c>
      <c r="K29" s="232"/>
      <c r="L29" s="233"/>
      <c r="M29" s="25"/>
    </row>
    <row r="30" spans="1:16" x14ac:dyDescent="0.2">
      <c r="A30" s="166" t="s">
        <v>36</v>
      </c>
      <c r="B30" s="166"/>
      <c r="C30" s="40">
        <v>3423.4999999999986</v>
      </c>
      <c r="D30" s="24">
        <v>0</v>
      </c>
      <c r="E30" s="166"/>
      <c r="F30" s="166"/>
      <c r="G30" s="209" t="s">
        <v>24</v>
      </c>
      <c r="H30" s="162" t="s">
        <v>151</v>
      </c>
      <c r="I30" s="236">
        <f>SUM(I27:I29)</f>
        <v>305</v>
      </c>
      <c r="J30" s="215">
        <f>SUM(J27:J29)</f>
        <v>28184.82116963627</v>
      </c>
      <c r="L30" s="29"/>
      <c r="M30" s="25"/>
    </row>
    <row r="31" spans="1:16" x14ac:dyDescent="0.2">
      <c r="A31" s="166" t="s">
        <v>35</v>
      </c>
      <c r="B31" s="166"/>
      <c r="C31" s="40">
        <f>'BRA Resource Clearing Results'!D51</f>
        <v>1448.5</v>
      </c>
      <c r="D31" s="74">
        <f>'BRA Resource Clearing Results'!C11</f>
        <v>372.57</v>
      </c>
      <c r="E31" s="166"/>
      <c r="F31" s="166"/>
      <c r="G31" s="15"/>
      <c r="H31" s="15"/>
      <c r="L31" s="29"/>
      <c r="M31" s="25"/>
    </row>
    <row r="32" spans="1:16" x14ac:dyDescent="0.2">
      <c r="A32" s="58" t="s">
        <v>17</v>
      </c>
      <c r="B32" s="138">
        <f>F15</f>
        <v>53.6</v>
      </c>
      <c r="C32" s="36">
        <f>C30+C31</f>
        <v>4871.9999999999982</v>
      </c>
      <c r="D32" s="141">
        <f>(C31*D31+C30*D30)/C32</f>
        <v>110.76922105911335</v>
      </c>
      <c r="E32" s="142">
        <f>'BRA Resource Clearing Results'!G71/'BRA Load Pricing Results'!J50</f>
        <v>0</v>
      </c>
      <c r="F32" s="143">
        <f>B32+D32+E32</f>
        <v>164.36922105911336</v>
      </c>
      <c r="G32" s="15"/>
      <c r="H32" s="15"/>
      <c r="L32" s="29"/>
      <c r="M32" s="25"/>
    </row>
    <row r="33" spans="1:16" x14ac:dyDescent="0.2">
      <c r="A33" s="166" t="s">
        <v>99</v>
      </c>
      <c r="B33" s="166"/>
      <c r="C33" s="36">
        <f>'BRA Resource Clearing Results'!D53</f>
        <v>7831.5000000000009</v>
      </c>
      <c r="D33" s="24">
        <f>'BRA Resource Clearing Results'!C13</f>
        <v>0</v>
      </c>
      <c r="E33" s="166"/>
      <c r="F33" s="166"/>
      <c r="G33" s="15"/>
      <c r="H33" s="216"/>
      <c r="L33" s="29"/>
      <c r="M33" s="25"/>
    </row>
    <row r="34" spans="1:16" x14ac:dyDescent="0.2">
      <c r="A34" s="166" t="s">
        <v>98</v>
      </c>
      <c r="B34" s="166"/>
      <c r="C34" s="40">
        <f>'BRA Resource Clearing Results'!D54</f>
        <v>1885.2</v>
      </c>
      <c r="D34" s="24">
        <f>'BRA Resource Clearing Results'!C13+'BRA Resource Clearing Results'!C14</f>
        <v>0</v>
      </c>
      <c r="E34" s="166"/>
      <c r="F34" s="166"/>
      <c r="G34" s="15"/>
      <c r="H34" s="15"/>
      <c r="L34" s="285" t="s">
        <v>24</v>
      </c>
    </row>
    <row r="35" spans="1:16" x14ac:dyDescent="0.2">
      <c r="A35" s="58" t="s">
        <v>43</v>
      </c>
      <c r="B35" s="138">
        <f>F13</f>
        <v>28.92</v>
      </c>
      <c r="C35" s="40">
        <f>C34+C33</f>
        <v>9716.7000000000007</v>
      </c>
      <c r="D35" s="141">
        <f>(C34*D34+C33*D33)/C35</f>
        <v>0</v>
      </c>
      <c r="E35" s="142">
        <f>('BRA Resource Clearing Results'!G73+'BRA Resource Clearing Results'!G74)/'BRA Load Pricing Results'!J43</f>
        <v>0</v>
      </c>
      <c r="F35" s="143">
        <f>B35+D35+E35</f>
        <v>28.92</v>
      </c>
      <c r="G35" s="15"/>
      <c r="H35" s="15"/>
    </row>
    <row r="36" spans="1:16" ht="12.75" customHeight="1" x14ac:dyDescent="0.2">
      <c r="A36" s="96" t="s">
        <v>161</v>
      </c>
      <c r="B36" s="96"/>
      <c r="C36" s="75"/>
      <c r="D36" s="75"/>
      <c r="E36" s="75"/>
      <c r="F36" s="75"/>
      <c r="G36" s="94"/>
      <c r="H36" s="15"/>
      <c r="I36" s="15"/>
      <c r="J36" s="15"/>
      <c r="K36" s="15"/>
      <c r="L36" s="15"/>
      <c r="M36" s="15"/>
      <c r="N36" s="15"/>
      <c r="O36" s="15"/>
      <c r="P36" s="15"/>
    </row>
    <row r="37" spans="1:16" x14ac:dyDescent="0.2">
      <c r="A37" s="25"/>
      <c r="B37" s="29"/>
      <c r="C37" s="29"/>
      <c r="D37" s="29" t="s">
        <v>24</v>
      </c>
      <c r="E37" s="38"/>
      <c r="F37" s="76" t="s">
        <v>24</v>
      </c>
      <c r="G37" s="313" t="s">
        <v>24</v>
      </c>
      <c r="H37" s="69"/>
      <c r="I37" s="69"/>
      <c r="J37" s="69"/>
      <c r="K37" s="69"/>
      <c r="L37" s="69"/>
      <c r="M37" s="69" t="s">
        <v>24</v>
      </c>
      <c r="N37" s="69"/>
      <c r="O37" s="77"/>
      <c r="P37" s="15"/>
    </row>
    <row r="38" spans="1:16" s="2" customFormat="1" ht="26.25" x14ac:dyDescent="0.25">
      <c r="A38" s="165" t="s">
        <v>39</v>
      </c>
      <c r="B38" s="90"/>
      <c r="C38" s="15"/>
      <c r="D38" s="15"/>
      <c r="E38" s="78"/>
      <c r="F38" s="78"/>
      <c r="G38" s="78"/>
      <c r="H38" s="78"/>
      <c r="I38" s="78"/>
      <c r="J38" s="78"/>
      <c r="K38" s="78"/>
      <c r="L38" s="78" t="s">
        <v>168</v>
      </c>
      <c r="M38" s="78"/>
      <c r="O38" s="91"/>
      <c r="P38" s="15"/>
    </row>
    <row r="39" spans="1:16" ht="54.95" customHeight="1" x14ac:dyDescent="0.2">
      <c r="A39" s="147" t="s">
        <v>7</v>
      </c>
      <c r="B39" s="147" t="s">
        <v>27</v>
      </c>
      <c r="C39" s="147" t="s">
        <v>26</v>
      </c>
      <c r="D39" s="147" t="s">
        <v>31</v>
      </c>
      <c r="E39" s="147" t="s">
        <v>239</v>
      </c>
      <c r="F39" s="147" t="s">
        <v>22</v>
      </c>
      <c r="G39" s="147" t="s">
        <v>316</v>
      </c>
      <c r="H39" s="159" t="s">
        <v>23</v>
      </c>
      <c r="I39" s="159" t="s">
        <v>25</v>
      </c>
      <c r="J39" s="147" t="s">
        <v>167</v>
      </c>
      <c r="K39" s="221" t="s">
        <v>32</v>
      </c>
      <c r="L39" s="221" t="s">
        <v>169</v>
      </c>
      <c r="M39" s="147" t="s">
        <v>7</v>
      </c>
    </row>
    <row r="40" spans="1:16" x14ac:dyDescent="0.2">
      <c r="A40" s="166" t="s">
        <v>16</v>
      </c>
      <c r="B40" s="82" t="s">
        <v>28</v>
      </c>
      <c r="C40" s="82" t="s">
        <v>33</v>
      </c>
      <c r="D40" s="82"/>
      <c r="E40" s="160">
        <v>2430</v>
      </c>
      <c r="F40" s="493">
        <v>0.98724279835390949</v>
      </c>
      <c r="G40" s="160">
        <v>2399</v>
      </c>
      <c r="H40" s="84">
        <f>$B$8</f>
        <v>1.1167822226260498</v>
      </c>
      <c r="I40" s="84">
        <f>H40*F40</f>
        <v>1.10253520661724</v>
      </c>
      <c r="J40" s="85">
        <f>E40*I40*$B$6</f>
        <v>2918.6775054358359</v>
      </c>
      <c r="K40" s="222">
        <f>F15</f>
        <v>53.6</v>
      </c>
      <c r="L40" s="302">
        <v>53.790942356899457</v>
      </c>
      <c r="M40" s="166" t="s">
        <v>16</v>
      </c>
      <c r="O40" s="433"/>
      <c r="P40" s="434"/>
    </row>
    <row r="41" spans="1:16" x14ac:dyDescent="0.2">
      <c r="A41" s="16" t="s">
        <v>162</v>
      </c>
      <c r="B41" s="82"/>
      <c r="C41" s="82"/>
      <c r="D41" s="82"/>
      <c r="E41" s="160">
        <v>10867</v>
      </c>
      <c r="F41" s="493">
        <v>1.0166492210492717</v>
      </c>
      <c r="G41" s="160">
        <v>11047.927085142435</v>
      </c>
      <c r="H41" s="84">
        <f t="shared" ref="H41:H60" si="2">$B$8</f>
        <v>1.1167822226260498</v>
      </c>
      <c r="I41" s="84">
        <f>H41*F41</f>
        <v>1.1353757767144479</v>
      </c>
      <c r="J41" s="85">
        <f t="shared" ref="J41:J59" si="3">E41*I41*$B$6</f>
        <v>13441.157259316604</v>
      </c>
      <c r="K41" s="222">
        <f>F13</f>
        <v>28.92</v>
      </c>
      <c r="L41" s="302">
        <v>28.992949552103212</v>
      </c>
      <c r="M41" s="166" t="s">
        <v>162</v>
      </c>
      <c r="O41" s="433"/>
      <c r="P41" s="434"/>
    </row>
    <row r="42" spans="1:16" x14ac:dyDescent="0.2">
      <c r="A42" s="166" t="s">
        <v>19</v>
      </c>
      <c r="B42" s="82" t="s">
        <v>24</v>
      </c>
      <c r="C42" s="82"/>
      <c r="D42" s="82"/>
      <c r="E42" s="160">
        <v>8440</v>
      </c>
      <c r="F42" s="493">
        <v>1.011255924170616</v>
      </c>
      <c r="G42" s="160">
        <v>8535</v>
      </c>
      <c r="H42" s="84">
        <f t="shared" si="2"/>
        <v>1.1167822226260498</v>
      </c>
      <c r="I42" s="84">
        <f>H42*F42</f>
        <v>1.1293526386390207</v>
      </c>
      <c r="J42" s="85">
        <f t="shared" si="3"/>
        <v>10383.873492661467</v>
      </c>
      <c r="K42" s="222">
        <f>F13</f>
        <v>28.92</v>
      </c>
      <c r="L42" s="302">
        <v>28.992949552103212</v>
      </c>
      <c r="M42" s="166" t="s">
        <v>19</v>
      </c>
      <c r="O42" s="433"/>
      <c r="P42" s="434"/>
    </row>
    <row r="43" spans="1:16" x14ac:dyDescent="0.2">
      <c r="A43" s="166" t="s">
        <v>43</v>
      </c>
      <c r="B43" s="82"/>
      <c r="C43" s="82"/>
      <c r="D43" s="82" t="s">
        <v>43</v>
      </c>
      <c r="E43" s="160">
        <v>11860</v>
      </c>
      <c r="F43" s="493">
        <v>1.0129848229342326</v>
      </c>
      <c r="G43" s="160">
        <v>12014</v>
      </c>
      <c r="H43" s="84">
        <f t="shared" si="2"/>
        <v>1.1167822226260498</v>
      </c>
      <c r="I43" s="84">
        <f>H43*F43</f>
        <v>1.1312834420429478</v>
      </c>
      <c r="J43" s="85">
        <f t="shared" si="3"/>
        <v>14616.503355692425</v>
      </c>
      <c r="K43" s="222">
        <f>F35</f>
        <v>28.92</v>
      </c>
      <c r="L43" s="302">
        <v>28.992949552103212</v>
      </c>
      <c r="M43" s="166" t="s">
        <v>43</v>
      </c>
      <c r="O43" s="433"/>
      <c r="P43" s="434"/>
    </row>
    <row r="44" spans="1:16" x14ac:dyDescent="0.2">
      <c r="A44" s="166" t="s">
        <v>11</v>
      </c>
      <c r="B44" s="82" t="s">
        <v>28</v>
      </c>
      <c r="C44" s="82" t="s">
        <v>5</v>
      </c>
      <c r="D44" s="82" t="s">
        <v>11</v>
      </c>
      <c r="E44" s="160">
        <v>6180</v>
      </c>
      <c r="F44" s="493">
        <v>1.0050161812297735</v>
      </c>
      <c r="G44" s="160">
        <v>6211</v>
      </c>
      <c r="H44" s="84">
        <f t="shared" si="2"/>
        <v>1.1167822226260498</v>
      </c>
      <c r="I44" s="84">
        <f>H44*F44</f>
        <v>1.1223842046489314</v>
      </c>
      <c r="J44" s="85">
        <f>E44*I44*$B$6</f>
        <v>7556.4426787252924</v>
      </c>
      <c r="K44" s="222">
        <f>F19</f>
        <v>73.039608584717072</v>
      </c>
      <c r="L44" s="302">
        <v>73.872094079130122</v>
      </c>
      <c r="M44" s="166" t="s">
        <v>11</v>
      </c>
      <c r="O44" s="433"/>
      <c r="P44" s="434"/>
    </row>
    <row r="45" spans="1:16" x14ac:dyDescent="0.2">
      <c r="A45" s="166" t="s">
        <v>20</v>
      </c>
      <c r="B45" s="82"/>
      <c r="C45" s="82"/>
      <c r="D45" s="82" t="s">
        <v>20</v>
      </c>
      <c r="E45" s="160">
        <v>20290</v>
      </c>
      <c r="F45" s="493">
        <v>0.97718087727944802</v>
      </c>
      <c r="G45" s="160">
        <v>19827</v>
      </c>
      <c r="H45" s="84">
        <f t="shared" si="2"/>
        <v>1.1167822226260498</v>
      </c>
      <c r="I45" s="84">
        <f t="shared" ref="I45:I59" si="4">H45*F45</f>
        <v>1.0912982320358151</v>
      </c>
      <c r="J45" s="85">
        <f t="shared" si="3"/>
        <v>24121.975364850485</v>
      </c>
      <c r="K45" s="222">
        <f>F18</f>
        <v>28.92</v>
      </c>
      <c r="L45" s="302">
        <v>28.992949552103212</v>
      </c>
      <c r="M45" s="166" t="s">
        <v>20</v>
      </c>
      <c r="O45" s="433"/>
      <c r="P45" s="434"/>
    </row>
    <row r="46" spans="1:16" x14ac:dyDescent="0.2">
      <c r="A46" s="166" t="s">
        <v>21</v>
      </c>
      <c r="B46" s="82"/>
      <c r="C46" s="82"/>
      <c r="D46" s="82" t="s">
        <v>21</v>
      </c>
      <c r="E46" s="160">
        <v>3150</v>
      </c>
      <c r="F46" s="493">
        <v>0.99968253968253973</v>
      </c>
      <c r="G46" s="160">
        <v>3149</v>
      </c>
      <c r="H46" s="84">
        <f t="shared" si="2"/>
        <v>1.1167822226260498</v>
      </c>
      <c r="I46" s="84">
        <f t="shared" si="4"/>
        <v>1.1164276885871209</v>
      </c>
      <c r="J46" s="85">
        <f t="shared" si="3"/>
        <v>3831.1444204324498</v>
      </c>
      <c r="K46" s="222">
        <f>F21</f>
        <v>28.92</v>
      </c>
      <c r="L46" s="302">
        <v>28.992949552103212</v>
      </c>
      <c r="M46" s="166" t="s">
        <v>21</v>
      </c>
      <c r="O46" s="435"/>
      <c r="P46" s="436"/>
    </row>
    <row r="47" spans="1:16" x14ac:dyDescent="0.2">
      <c r="A47" s="166" t="s">
        <v>163</v>
      </c>
      <c r="B47" s="82"/>
      <c r="C47" s="82"/>
      <c r="D47" s="82" t="s">
        <v>50</v>
      </c>
      <c r="E47" s="160">
        <v>4217.1000000000004</v>
      </c>
      <c r="F47" s="493">
        <v>1.019438877755511</v>
      </c>
      <c r="G47" s="160">
        <v>4299.0756913827654</v>
      </c>
      <c r="H47" s="84">
        <f t="shared" si="2"/>
        <v>1.1167822226260498</v>
      </c>
      <c r="I47" s="84">
        <f t="shared" si="4"/>
        <v>1.1384912157312055</v>
      </c>
      <c r="J47" s="85">
        <f t="shared" si="3"/>
        <v>5230.3524446039564</v>
      </c>
      <c r="K47" s="222">
        <f>F22</f>
        <v>96.24</v>
      </c>
      <c r="L47" s="302">
        <v>96.312949552103206</v>
      </c>
      <c r="M47" s="166" t="s">
        <v>163</v>
      </c>
      <c r="O47" s="435"/>
      <c r="P47" s="436"/>
    </row>
    <row r="48" spans="1:16" x14ac:dyDescent="0.2">
      <c r="A48" s="166" t="s">
        <v>42</v>
      </c>
      <c r="B48" s="82"/>
      <c r="C48" s="82"/>
      <c r="D48" s="82"/>
      <c r="E48" s="160">
        <v>2660</v>
      </c>
      <c r="F48" s="493">
        <v>1.006766917293233</v>
      </c>
      <c r="G48" s="160">
        <v>2678</v>
      </c>
      <c r="H48" s="84">
        <f t="shared" si="2"/>
        <v>1.1167822226260498</v>
      </c>
      <c r="I48" s="84">
        <f t="shared" si="4"/>
        <v>1.1243393955611132</v>
      </c>
      <c r="J48" s="85">
        <f t="shared" si="3"/>
        <v>3258.1151978145758</v>
      </c>
      <c r="K48" s="222">
        <f>F13</f>
        <v>28.92</v>
      </c>
      <c r="L48" s="302">
        <v>28.992949552103212</v>
      </c>
      <c r="M48" s="166" t="s">
        <v>42</v>
      </c>
      <c r="O48" s="435"/>
      <c r="P48" s="436"/>
    </row>
    <row r="49" spans="1:16" x14ac:dyDescent="0.2">
      <c r="A49" s="166" t="s">
        <v>181</v>
      </c>
      <c r="B49" s="82"/>
      <c r="C49" s="82"/>
      <c r="D49" s="82"/>
      <c r="E49" s="160">
        <v>2879.2</v>
      </c>
      <c r="F49" s="493">
        <v>1.0863897901572919</v>
      </c>
      <c r="G49" s="160">
        <v>3127.9334838208779</v>
      </c>
      <c r="H49" s="84">
        <f t="shared" si="2"/>
        <v>1.1167822226260498</v>
      </c>
      <c r="I49" s="84">
        <f t="shared" si="4"/>
        <v>1.2132608044901083</v>
      </c>
      <c r="J49" s="85">
        <f t="shared" si="3"/>
        <v>3805.5144217288594</v>
      </c>
      <c r="K49" s="222">
        <f>F13</f>
        <v>28.92</v>
      </c>
      <c r="L49" s="302">
        <v>28.992949552103212</v>
      </c>
      <c r="M49" s="166" t="s">
        <v>30</v>
      </c>
      <c r="O49" s="435"/>
      <c r="P49" s="436"/>
    </row>
    <row r="50" spans="1:16" x14ac:dyDescent="0.2">
      <c r="A50" s="166" t="s">
        <v>17</v>
      </c>
      <c r="B50" s="82" t="s">
        <v>28</v>
      </c>
      <c r="C50" s="82" t="s">
        <v>33</v>
      </c>
      <c r="D50" s="82" t="s">
        <v>17</v>
      </c>
      <c r="E50" s="160">
        <v>3760</v>
      </c>
      <c r="F50" s="493">
        <v>1.0071808510638298</v>
      </c>
      <c r="G50" s="160">
        <v>3787</v>
      </c>
      <c r="H50" s="84">
        <f>$B$8</f>
        <v>1.1167822226260498</v>
      </c>
      <c r="I50" s="84">
        <f>H50*F50</f>
        <v>1.1248016694374603</v>
      </c>
      <c r="J50" s="85">
        <f>E50*I50*$B$6</f>
        <v>4607.3496094562361</v>
      </c>
      <c r="K50" s="222">
        <f>F32</f>
        <v>164.36922105911336</v>
      </c>
      <c r="L50" s="302">
        <v>165.61482189477528</v>
      </c>
      <c r="M50" s="166" t="s">
        <v>17</v>
      </c>
      <c r="O50" s="435"/>
      <c r="P50" s="436"/>
    </row>
    <row r="51" spans="1:16" x14ac:dyDescent="0.2">
      <c r="A51" s="166" t="s">
        <v>164</v>
      </c>
      <c r="B51" s="82"/>
      <c r="C51" s="82"/>
      <c r="D51" s="82"/>
      <c r="E51" s="160">
        <v>2287.6</v>
      </c>
      <c r="F51" s="493">
        <v>1.044221105527638</v>
      </c>
      <c r="G51" s="160">
        <v>2388.7602010050246</v>
      </c>
      <c r="H51" s="84">
        <f t="shared" si="2"/>
        <v>1.1167822226260498</v>
      </c>
      <c r="I51" s="84">
        <f t="shared" si="4"/>
        <v>1.1661675671441865</v>
      </c>
      <c r="J51" s="85">
        <f t="shared" si="3"/>
        <v>2906.2195350369948</v>
      </c>
      <c r="K51" s="222">
        <f>F13</f>
        <v>28.92</v>
      </c>
      <c r="L51" s="302">
        <v>28.992949552103212</v>
      </c>
      <c r="M51" s="166" t="s">
        <v>164</v>
      </c>
      <c r="O51" s="435"/>
      <c r="P51" s="436"/>
    </row>
    <row r="52" spans="1:16" x14ac:dyDescent="0.2">
      <c r="A52" s="166" t="s">
        <v>12</v>
      </c>
      <c r="B52" s="82" t="s">
        <v>28</v>
      </c>
      <c r="C52" s="82" t="s">
        <v>33</v>
      </c>
      <c r="D52" s="82"/>
      <c r="E52" s="160">
        <v>5700</v>
      </c>
      <c r="F52" s="493">
        <v>0.97982456140350882</v>
      </c>
      <c r="G52" s="160">
        <v>5585</v>
      </c>
      <c r="H52" s="84">
        <f t="shared" si="2"/>
        <v>1.1167822226260498</v>
      </c>
      <c r="I52" s="84">
        <f t="shared" si="4"/>
        <v>1.094250651467805</v>
      </c>
      <c r="J52" s="85">
        <f t="shared" si="3"/>
        <v>6794.8369603414521</v>
      </c>
      <c r="K52" s="222">
        <f>F15</f>
        <v>53.6</v>
      </c>
      <c r="L52" s="302">
        <v>53.790942356899457</v>
      </c>
      <c r="M52" s="166" t="s">
        <v>12</v>
      </c>
      <c r="O52" s="435"/>
      <c r="P52" s="436"/>
    </row>
    <row r="53" spans="1:16" x14ac:dyDescent="0.2">
      <c r="A53" s="166" t="s">
        <v>13</v>
      </c>
      <c r="B53" s="82" t="s">
        <v>28</v>
      </c>
      <c r="C53" s="82"/>
      <c r="D53" s="82"/>
      <c r="E53" s="160">
        <v>2890</v>
      </c>
      <c r="F53" s="493">
        <v>0.98927335640138403</v>
      </c>
      <c r="G53" s="160">
        <v>2859</v>
      </c>
      <c r="H53" s="84">
        <f t="shared" si="2"/>
        <v>1.1167822226260498</v>
      </c>
      <c r="I53" s="84">
        <f t="shared" si="4"/>
        <v>1.10480289774667</v>
      </c>
      <c r="J53" s="85">
        <f t="shared" si="3"/>
        <v>3478.3238799670917</v>
      </c>
      <c r="K53" s="222">
        <f>F14</f>
        <v>49.49</v>
      </c>
      <c r="L53" s="302">
        <v>49.678961768309357</v>
      </c>
      <c r="M53" s="166" t="s">
        <v>13</v>
      </c>
      <c r="O53" s="435"/>
      <c r="P53" s="436"/>
    </row>
    <row r="54" spans="1:16" x14ac:dyDescent="0.2">
      <c r="A54" s="166" t="s">
        <v>182</v>
      </c>
      <c r="B54" s="82"/>
      <c r="C54" s="82"/>
      <c r="D54" s="82"/>
      <c r="E54" s="160">
        <v>70</v>
      </c>
      <c r="F54" s="493">
        <v>1</v>
      </c>
      <c r="G54" s="160">
        <v>70</v>
      </c>
      <c r="H54" s="84">
        <f t="shared" si="2"/>
        <v>1.1167822226260498</v>
      </c>
      <c r="I54" s="84">
        <f t="shared" si="4"/>
        <v>1.1167822226260498</v>
      </c>
      <c r="J54" s="85">
        <f t="shared" si="3"/>
        <v>85.163578733017303</v>
      </c>
      <c r="K54" s="222">
        <f>F13</f>
        <v>28.92</v>
      </c>
      <c r="L54" s="302">
        <v>28.992949552103212</v>
      </c>
      <c r="M54" s="166" t="s">
        <v>182</v>
      </c>
      <c r="O54" s="435"/>
      <c r="P54" s="436"/>
    </row>
    <row r="55" spans="1:16" x14ac:dyDescent="0.2">
      <c r="A55" s="166" t="s">
        <v>9</v>
      </c>
      <c r="B55" s="82" t="s">
        <v>28</v>
      </c>
      <c r="C55" s="82" t="s">
        <v>33</v>
      </c>
      <c r="D55" s="82"/>
      <c r="E55" s="160">
        <v>8140</v>
      </c>
      <c r="F55" s="493">
        <v>0.99889434889434892</v>
      </c>
      <c r="G55" s="160">
        <v>8131</v>
      </c>
      <c r="H55" s="84">
        <f t="shared" si="2"/>
        <v>1.1167822226260498</v>
      </c>
      <c r="I55" s="84">
        <f t="shared" si="4"/>
        <v>1.1155474511268317</v>
      </c>
      <c r="J55" s="85">
        <f t="shared" si="3"/>
        <v>9892.3579811166219</v>
      </c>
      <c r="K55" s="222">
        <f>F15</f>
        <v>53.6</v>
      </c>
      <c r="L55" s="302">
        <v>53.790942356899457</v>
      </c>
      <c r="M55" s="166" t="s">
        <v>9</v>
      </c>
      <c r="O55" s="435"/>
      <c r="P55" s="436"/>
    </row>
    <row r="56" spans="1:16" x14ac:dyDescent="0.2">
      <c r="A56" s="166" t="s">
        <v>14</v>
      </c>
      <c r="B56" s="82" t="s">
        <v>28</v>
      </c>
      <c r="C56" s="82"/>
      <c r="D56" s="82"/>
      <c r="E56" s="160">
        <v>2780</v>
      </c>
      <c r="F56" s="493">
        <v>0.97410071942446042</v>
      </c>
      <c r="G56" s="160">
        <v>2708</v>
      </c>
      <c r="H56" s="84">
        <f t="shared" si="2"/>
        <v>1.1167822226260498</v>
      </c>
      <c r="I56" s="84">
        <f t="shared" si="4"/>
        <v>1.0878583665004831</v>
      </c>
      <c r="J56" s="85">
        <f t="shared" si="3"/>
        <v>3294.6138744144405</v>
      </c>
      <c r="K56" s="222">
        <f>F14</f>
        <v>49.49</v>
      </c>
      <c r="L56" s="302">
        <v>49.678961768309357</v>
      </c>
      <c r="M56" s="166" t="s">
        <v>14</v>
      </c>
      <c r="O56" s="435"/>
      <c r="P56" s="436"/>
    </row>
    <row r="57" spans="1:16" x14ac:dyDescent="0.2">
      <c r="A57" s="166" t="s">
        <v>15</v>
      </c>
      <c r="B57" s="82" t="s">
        <v>28</v>
      </c>
      <c r="C57" s="82" t="s">
        <v>5</v>
      </c>
      <c r="D57" s="82" t="s">
        <v>15</v>
      </c>
      <c r="E57" s="160">
        <v>5750</v>
      </c>
      <c r="F57" s="493">
        <v>0.99721739130434783</v>
      </c>
      <c r="G57" s="160">
        <v>5734</v>
      </c>
      <c r="H57" s="84">
        <f t="shared" si="2"/>
        <v>1.1167822226260498</v>
      </c>
      <c r="I57" s="84">
        <f t="shared" si="4"/>
        <v>1.1136746547022207</v>
      </c>
      <c r="J57" s="85">
        <f t="shared" si="3"/>
        <v>6976.1137207874453</v>
      </c>
      <c r="K57" s="222">
        <f>F17</f>
        <v>49.49</v>
      </c>
      <c r="L57" s="302">
        <v>49.678961768309357</v>
      </c>
      <c r="M57" s="166" t="s">
        <v>15</v>
      </c>
      <c r="O57" s="435"/>
      <c r="P57" s="436"/>
    </row>
    <row r="58" spans="1:16" x14ac:dyDescent="0.2">
      <c r="A58" s="166" t="s">
        <v>10</v>
      </c>
      <c r="B58" s="82" t="s">
        <v>28</v>
      </c>
      <c r="C58" s="82"/>
      <c r="D58" s="82" t="s">
        <v>10</v>
      </c>
      <c r="E58" s="160">
        <v>7080</v>
      </c>
      <c r="F58" s="493">
        <v>0.99293785310734461</v>
      </c>
      <c r="G58" s="160">
        <v>7030</v>
      </c>
      <c r="H58" s="84">
        <f t="shared" si="2"/>
        <v>1.1167822226260498</v>
      </c>
      <c r="I58" s="84">
        <f t="shared" si="4"/>
        <v>1.1088953425227583</v>
      </c>
      <c r="J58" s="85">
        <f t="shared" si="3"/>
        <v>8552.8565499015931</v>
      </c>
      <c r="K58" s="222">
        <f>F20</f>
        <v>49.49</v>
      </c>
      <c r="L58" s="302">
        <v>49.678961768309357</v>
      </c>
      <c r="M58" s="166" t="s">
        <v>10</v>
      </c>
      <c r="O58" s="435"/>
      <c r="P58" s="436"/>
    </row>
    <row r="59" spans="1:16" x14ac:dyDescent="0.2">
      <c r="A59" s="166" t="s">
        <v>8</v>
      </c>
      <c r="B59" s="82" t="s">
        <v>28</v>
      </c>
      <c r="C59" s="82" t="s">
        <v>33</v>
      </c>
      <c r="D59" s="82" t="s">
        <v>8</v>
      </c>
      <c r="E59" s="160">
        <v>9270</v>
      </c>
      <c r="F59" s="493">
        <v>0.9993527508090615</v>
      </c>
      <c r="G59" s="160">
        <v>9264</v>
      </c>
      <c r="H59" s="84">
        <f t="shared" si="2"/>
        <v>1.1167822226260498</v>
      </c>
      <c r="I59" s="84">
        <f t="shared" si="4"/>
        <v>1.1160593862360007</v>
      </c>
      <c r="J59" s="85">
        <f t="shared" si="3"/>
        <v>11270.791334038175</v>
      </c>
      <c r="K59" s="222">
        <f>F29</f>
        <v>53.6</v>
      </c>
      <c r="L59" s="302">
        <v>53.790942356899457</v>
      </c>
      <c r="M59" s="166" t="s">
        <v>8</v>
      </c>
      <c r="O59" s="435"/>
      <c r="P59" s="436"/>
    </row>
    <row r="60" spans="1:16" x14ac:dyDescent="0.2">
      <c r="A60" s="166" t="s">
        <v>18</v>
      </c>
      <c r="B60" s="82" t="s">
        <v>28</v>
      </c>
      <c r="C60" s="82" t="s">
        <v>33</v>
      </c>
      <c r="D60" s="82"/>
      <c r="E60" s="160">
        <v>380</v>
      </c>
      <c r="F60" s="493">
        <v>0.98421052631578942</v>
      </c>
      <c r="G60" s="160">
        <v>374</v>
      </c>
      <c r="H60" s="84">
        <f t="shared" si="2"/>
        <v>1.1167822226260498</v>
      </c>
      <c r="I60" s="84">
        <f>H60*F60</f>
        <v>1.0991488191109016</v>
      </c>
      <c r="J60" s="85">
        <f>E60*I60*$B$6</f>
        <v>455.01683494497809</v>
      </c>
      <c r="K60" s="222">
        <f>F15</f>
        <v>53.6</v>
      </c>
      <c r="L60" s="302">
        <v>53.790942356899457</v>
      </c>
      <c r="M60" s="166" t="s">
        <v>18</v>
      </c>
      <c r="O60" s="435"/>
      <c r="P60" s="436"/>
    </row>
    <row r="61" spans="1:16" ht="12.75" customHeight="1" x14ac:dyDescent="0.2">
      <c r="A61" s="88" t="s">
        <v>65</v>
      </c>
      <c r="B61" s="17"/>
      <c r="C61" s="25"/>
      <c r="D61" s="25"/>
      <c r="E61" s="161">
        <f>SUM(E40:E60)</f>
        <v>121080.90000000001</v>
      </c>
      <c r="F61" s="162"/>
      <c r="G61" s="163">
        <f>SUM(G40:G60)</f>
        <v>121218.69646135109</v>
      </c>
      <c r="H61" s="58"/>
      <c r="I61" s="58"/>
      <c r="J61" s="164">
        <f>SUM(J40:J60)</f>
        <v>147477.4</v>
      </c>
      <c r="K61" s="234"/>
      <c r="L61" s="307" t="s">
        <v>24</v>
      </c>
      <c r="M61" s="307"/>
      <c r="O61" s="436"/>
    </row>
    <row r="62" spans="1:16" x14ac:dyDescent="0.2">
      <c r="A62" s="88" t="s">
        <v>165</v>
      </c>
      <c r="B62" s="25"/>
      <c r="C62" s="25"/>
      <c r="D62" s="25"/>
      <c r="E62" s="25"/>
      <c r="F62" s="25"/>
      <c r="G62" s="95" t="s">
        <v>24</v>
      </c>
      <c r="H62" s="25"/>
      <c r="I62" s="25"/>
      <c r="J62" s="25"/>
      <c r="K62" s="25"/>
      <c r="L62" s="308"/>
      <c r="M62" s="308"/>
      <c r="N62" s="25"/>
      <c r="O62" s="25"/>
      <c r="P62" s="15"/>
    </row>
    <row r="63" spans="1:16" ht="12.75" customHeight="1" x14ac:dyDescent="0.2">
      <c r="A63" s="263" t="s">
        <v>166</v>
      </c>
      <c r="B63" s="200"/>
      <c r="C63" s="200"/>
      <c r="D63" s="200"/>
      <c r="E63" s="200"/>
      <c r="F63" s="200"/>
      <c r="G63" s="200"/>
      <c r="H63" s="200"/>
      <c r="I63" s="200"/>
      <c r="J63" s="200"/>
      <c r="K63" s="200"/>
      <c r="L63" s="308"/>
      <c r="M63" s="308"/>
      <c r="N63" s="200"/>
      <c r="O63" s="200"/>
      <c r="P63" s="15"/>
    </row>
    <row r="64" spans="1:16" x14ac:dyDescent="0.2">
      <c r="A64" s="365"/>
      <c r="C64" s="300"/>
      <c r="D64" s="300"/>
      <c r="E64" s="437"/>
      <c r="F64" s="300"/>
      <c r="G64" s="300"/>
      <c r="I64" s="300"/>
      <c r="J64" s="300"/>
      <c r="M64" s="438" t="s">
        <v>24</v>
      </c>
    </row>
    <row r="65" spans="1:14" x14ac:dyDescent="0.2">
      <c r="A65" s="365"/>
      <c r="C65" s="300"/>
      <c r="D65" s="300"/>
      <c r="E65" s="437"/>
      <c r="F65" s="300"/>
      <c r="G65" s="300"/>
      <c r="H65" s="439"/>
      <c r="I65" s="300"/>
      <c r="J65" s="300"/>
      <c r="K65" s="440"/>
      <c r="L65" s="440"/>
      <c r="M65" s="441" t="s">
        <v>24</v>
      </c>
      <c r="N65" s="440"/>
    </row>
    <row r="66" spans="1:14" x14ac:dyDescent="0.2">
      <c r="G66" s="440"/>
      <c r="H66" s="439"/>
      <c r="M66" s="442" t="s">
        <v>24</v>
      </c>
    </row>
    <row r="67" spans="1:14" ht="15" x14ac:dyDescent="0.25">
      <c r="A67" s="11"/>
      <c r="E67" s="439"/>
      <c r="H67" s="439"/>
    </row>
    <row r="68" spans="1:14" x14ac:dyDescent="0.2">
      <c r="E68" s="439"/>
      <c r="F68" s="439"/>
      <c r="G68" s="439"/>
      <c r="H68" s="439"/>
    </row>
    <row r="69" spans="1:14" x14ac:dyDescent="0.2">
      <c r="E69" s="439"/>
      <c r="F69" s="439"/>
      <c r="G69" s="439"/>
    </row>
    <row r="78" spans="1:14" x14ac:dyDescent="0.2">
      <c r="B78" s="285" t="s">
        <v>24</v>
      </c>
    </row>
    <row r="79" spans="1:14" x14ac:dyDescent="0.2">
      <c r="B79" s="285" t="s">
        <v>24</v>
      </c>
    </row>
    <row r="80" spans="1:14" x14ac:dyDescent="0.2">
      <c r="B80" s="285" t="s">
        <v>24</v>
      </c>
      <c r="C80" s="285" t="s">
        <v>24</v>
      </c>
      <c r="D80" s="285" t="s">
        <v>24</v>
      </c>
    </row>
    <row r="81" spans="2:2" x14ac:dyDescent="0.2">
      <c r="B81" s="285" t="s">
        <v>24</v>
      </c>
    </row>
    <row r="82" spans="2:2" x14ac:dyDescent="0.2">
      <c r="B82" s="285" t="s">
        <v>24</v>
      </c>
    </row>
    <row r="83" spans="2:2" x14ac:dyDescent="0.2">
      <c r="B83" s="285" t="s">
        <v>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K51"/>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97" t="s">
        <v>311</v>
      </c>
      <c r="B1" s="4"/>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9" t="s">
        <v>24</v>
      </c>
      <c r="E2" s="5" t="s">
        <v>24</v>
      </c>
      <c r="F2" s="4"/>
      <c r="G2" s="4"/>
      <c r="H2" s="4"/>
      <c r="I2" s="4"/>
      <c r="J2" s="4"/>
      <c r="K2" s="4"/>
      <c r="L2" s="4"/>
      <c r="M2" s="4"/>
      <c r="N2" s="4"/>
      <c r="O2" s="4"/>
      <c r="P2" s="4"/>
      <c r="Q2" s="4"/>
      <c r="R2" s="4"/>
      <c r="S2" s="4"/>
      <c r="T2" s="4"/>
      <c r="U2" s="4"/>
      <c r="V2" s="4"/>
      <c r="W2" s="4"/>
      <c r="X2" s="4"/>
      <c r="Y2" s="4"/>
    </row>
    <row r="3" spans="1:28" ht="16.5" thickBot="1" x14ac:dyDescent="0.3">
      <c r="A3" s="146" t="s">
        <v>60</v>
      </c>
      <c r="B3" s="89"/>
      <c r="C3" s="89"/>
      <c r="D3" s="182"/>
      <c r="E3" s="182"/>
      <c r="F3" s="183"/>
      <c r="G3" s="15"/>
      <c r="H3" s="98" t="s">
        <v>24</v>
      </c>
      <c r="I3" s="99"/>
      <c r="J3" s="179" t="s">
        <v>24</v>
      </c>
      <c r="K3" s="98"/>
      <c r="L3" s="98"/>
      <c r="M3" s="15"/>
      <c r="N3" s="15"/>
      <c r="O3" s="15"/>
      <c r="P3" s="15"/>
      <c r="Q3" s="15"/>
      <c r="R3" s="15"/>
      <c r="S3" s="15"/>
      <c r="T3" s="15"/>
      <c r="U3" s="15"/>
      <c r="V3" s="15"/>
      <c r="W3" s="15"/>
      <c r="X3" s="15"/>
      <c r="Y3" s="98"/>
      <c r="Z3" s="15"/>
      <c r="AA3" s="15"/>
      <c r="AB3" s="15"/>
    </row>
    <row r="4" spans="1:28" ht="114.75" x14ac:dyDescent="0.2">
      <c r="A4" s="176" t="s">
        <v>3</v>
      </c>
      <c r="B4" s="177" t="s">
        <v>61</v>
      </c>
      <c r="C4" s="177" t="s">
        <v>62</v>
      </c>
      <c r="D4" s="177" t="s">
        <v>78</v>
      </c>
      <c r="E4" s="100" t="s">
        <v>63</v>
      </c>
      <c r="F4" s="100" t="s">
        <v>89</v>
      </c>
      <c r="G4" s="100" t="s">
        <v>69</v>
      </c>
      <c r="H4" s="100" t="s">
        <v>90</v>
      </c>
      <c r="I4" s="249" t="s">
        <v>92</v>
      </c>
      <c r="J4" s="22"/>
      <c r="K4" s="15"/>
      <c r="L4" s="70"/>
      <c r="M4" s="22"/>
      <c r="N4" s="15"/>
      <c r="O4" s="15"/>
      <c r="P4" s="15"/>
      <c r="Q4" s="15"/>
      <c r="R4" s="15"/>
      <c r="S4" s="15"/>
      <c r="T4" s="15"/>
      <c r="U4" s="15"/>
      <c r="V4" s="15"/>
      <c r="W4" s="15"/>
      <c r="X4" s="15"/>
      <c r="Y4" s="15"/>
      <c r="Z4" s="15"/>
      <c r="AA4" s="15"/>
    </row>
    <row r="5" spans="1:28" x14ac:dyDescent="0.2">
      <c r="A5" s="101" t="s">
        <v>28</v>
      </c>
      <c r="B5" s="105">
        <f>'BRA Load Pricing Results'!B14</f>
        <v>65797.380929129169</v>
      </c>
      <c r="C5" s="105">
        <f>'BRA Resource Clearing Results'!F27</f>
        <v>64199.299999999996</v>
      </c>
      <c r="D5" s="303">
        <v>1513.3809291291734</v>
      </c>
      <c r="E5" s="102">
        <f>'BRA Resource Clearing Results'!B84</f>
        <v>0</v>
      </c>
      <c r="F5" s="40">
        <f>D5-E5</f>
        <v>1513.3809291291734</v>
      </c>
      <c r="G5" s="40">
        <f>'BRA ICTRs'!C46</f>
        <v>1026.7251009386157</v>
      </c>
      <c r="H5" s="40">
        <f>'BRA ICTRs'!C13+'BRA ICTRs'!C32</f>
        <v>486.65582819055771</v>
      </c>
      <c r="I5" s="250">
        <f>F5-G5-H5</f>
        <v>0</v>
      </c>
      <c r="J5" s="218" t="s">
        <v>24</v>
      </c>
      <c r="K5" s="279"/>
      <c r="L5" s="15"/>
      <c r="M5" s="283"/>
      <c r="N5" s="15"/>
      <c r="O5" s="15"/>
      <c r="P5" s="15"/>
      <c r="Q5" s="15"/>
      <c r="R5" s="15"/>
      <c r="S5" s="15"/>
      <c r="T5" s="15"/>
      <c r="U5" s="15"/>
      <c r="V5" s="15"/>
      <c r="W5" s="15"/>
      <c r="X5" s="15"/>
      <c r="Y5" s="15"/>
      <c r="Z5" s="15"/>
      <c r="AA5" s="15"/>
    </row>
    <row r="6" spans="1:28" x14ac:dyDescent="0.2">
      <c r="A6" s="101" t="s">
        <v>33</v>
      </c>
      <c r="B6" s="105">
        <f>'BRA Load Pricing Results'!B15</f>
        <v>35939.030225333307</v>
      </c>
      <c r="C6" s="105">
        <f>'BRA Resource Clearing Results'!F28</f>
        <v>30681</v>
      </c>
      <c r="D6" s="303">
        <v>5225.9302253333062</v>
      </c>
      <c r="E6" s="102">
        <f>'BRA Resource Clearing Results'!B85</f>
        <v>0</v>
      </c>
      <c r="F6" s="40">
        <f>D6-E6</f>
        <v>5225.9302253333062</v>
      </c>
      <c r="G6" s="40">
        <f>'BRA ICTRs'!D46</f>
        <v>40</v>
      </c>
      <c r="H6" s="40">
        <f>'BRA ICTRs'!D13+'BRA ICTRs'!D32</f>
        <v>948</v>
      </c>
      <c r="I6" s="250">
        <f>F6-G6-H6</f>
        <v>4237.9302253333062</v>
      </c>
      <c r="J6" s="151"/>
      <c r="K6" s="279"/>
      <c r="L6" s="15"/>
      <c r="M6" s="283"/>
      <c r="N6" s="15"/>
      <c r="O6" s="15"/>
      <c r="P6" s="15"/>
      <c r="Q6" s="15"/>
      <c r="R6" s="15"/>
      <c r="S6" s="15"/>
      <c r="T6" s="15"/>
      <c r="U6" s="15"/>
      <c r="V6" s="15"/>
      <c r="W6" s="15"/>
      <c r="X6" s="15"/>
      <c r="Y6" s="15"/>
      <c r="Z6" s="15"/>
      <c r="AA6" s="15"/>
    </row>
    <row r="7" spans="1:28" x14ac:dyDescent="0.2">
      <c r="A7" s="101" t="s">
        <v>5</v>
      </c>
      <c r="B7" s="105">
        <f>'BRA Load Pricing Results'!B16</f>
        <v>14532.556399512738</v>
      </c>
      <c r="C7" s="105">
        <f>'BRA Resource Clearing Results'!F29</f>
        <v>8468.4</v>
      </c>
      <c r="D7" s="303">
        <f>B7-C7</f>
        <v>6064.1563995127381</v>
      </c>
      <c r="E7" s="102">
        <f>'BRA Resource Clearing Results'!B86</f>
        <v>0</v>
      </c>
      <c r="F7" s="40">
        <f t="shared" ref="F7:F16" si="0">D7-E7</f>
        <v>6064.1563995127381</v>
      </c>
      <c r="G7" s="102">
        <f>'BRA ICTRs'!E46</f>
        <v>0</v>
      </c>
      <c r="H7" s="40">
        <f>'BRA ICTRs'!E13+'BRA ICTRs'!E32</f>
        <v>493</v>
      </c>
      <c r="I7" s="250">
        <f>F7-G7-H7</f>
        <v>5571.1563995127381</v>
      </c>
      <c r="J7" s="151"/>
      <c r="K7" s="29"/>
      <c r="L7" s="29"/>
      <c r="M7" s="29"/>
      <c r="N7" s="15"/>
      <c r="O7" s="15"/>
      <c r="P7" s="15"/>
      <c r="Q7" s="15"/>
      <c r="R7" s="15"/>
      <c r="S7" s="15"/>
      <c r="T7" s="15"/>
      <c r="U7" s="15"/>
      <c r="V7" s="15"/>
      <c r="W7" s="15"/>
      <c r="X7" s="15"/>
      <c r="Y7" s="15"/>
      <c r="Z7" s="15"/>
      <c r="AA7" s="15"/>
    </row>
    <row r="8" spans="1:28" x14ac:dyDescent="0.2">
      <c r="A8" s="101" t="s">
        <v>40</v>
      </c>
      <c r="B8" s="105">
        <f>'BRA Load Pricing Results'!J59</f>
        <v>11270.791334038175</v>
      </c>
      <c r="C8" s="105">
        <f>'BRA Load Pricing Results'!C29</f>
        <v>6111.8</v>
      </c>
      <c r="D8" s="303">
        <v>5158.9913340381745</v>
      </c>
      <c r="E8" s="102">
        <f>IF('BRA Resource Clearing Results'!D87+'BRA Resource Clearing Results'!D88=0,0,('BRA Resource Clearing Results'!D87+'BRA Resource Clearing Results'!D88)/'BRA Load Pricing Results'!D29)</f>
        <v>0</v>
      </c>
      <c r="F8" s="40">
        <f t="shared" si="0"/>
        <v>5158.9913340381745</v>
      </c>
      <c r="G8" s="103">
        <f>IFERROR(('BRA ICTRs'!B92+'BRA ICTRs'!B93)/L21,0)</f>
        <v>0</v>
      </c>
      <c r="H8" s="40">
        <f>IFERROR(('BRA ICTRs'!C92+'BRA ICTRs'!C93)/L21,0)</f>
        <v>0</v>
      </c>
      <c r="I8" s="250">
        <f t="shared" ref="I8:I13" si="1">F8-G8-H8</f>
        <v>5158.9913340381745</v>
      </c>
      <c r="J8" s="301" t="s">
        <v>24</v>
      </c>
      <c r="K8" s="29"/>
      <c r="L8" s="29"/>
      <c r="M8" s="29"/>
      <c r="N8" s="15"/>
      <c r="O8" s="15"/>
      <c r="P8" s="15"/>
      <c r="Q8" s="15"/>
      <c r="R8" s="15"/>
      <c r="S8" s="15"/>
      <c r="T8" s="15"/>
      <c r="U8" s="15"/>
      <c r="V8" s="15"/>
      <c r="W8" s="15"/>
      <c r="X8" s="15"/>
      <c r="Y8" s="15"/>
      <c r="Z8" s="15"/>
      <c r="AA8" s="15"/>
    </row>
    <row r="9" spans="1:28" x14ac:dyDescent="0.2">
      <c r="A9" s="101" t="s">
        <v>38</v>
      </c>
      <c r="B9" s="105">
        <f>'BRA Load Pricing Results'!J50</f>
        <v>4607.3496094562361</v>
      </c>
      <c r="C9" s="105">
        <f>'BRA Load Pricing Results'!C32</f>
        <v>4871.9999999999982</v>
      </c>
      <c r="D9" s="303">
        <f>B9-C9</f>
        <v>-264.65039054376211</v>
      </c>
      <c r="E9" s="102">
        <f>IF('BRA Resource Clearing Results'!D89=0,0,('BRA Resource Clearing Results'!D89/'BRA Load Pricing Results'!D32))</f>
        <v>0</v>
      </c>
      <c r="F9" s="40">
        <f t="shared" si="0"/>
        <v>-264.65039054376211</v>
      </c>
      <c r="G9" s="102">
        <f>'BRA ICTRs'!I46</f>
        <v>0</v>
      </c>
      <c r="H9" s="103">
        <f>'BRA ICTRs'!I13+'BRA ICTRs'!I32</f>
        <v>0</v>
      </c>
      <c r="I9" s="250">
        <f>F9-G9-H9</f>
        <v>-264.65039054376211</v>
      </c>
      <c r="J9" s="151"/>
      <c r="K9" s="29"/>
      <c r="L9" s="29"/>
      <c r="M9" s="29"/>
      <c r="N9" s="15"/>
      <c r="O9" s="15"/>
      <c r="P9" s="15"/>
      <c r="Q9" s="15"/>
      <c r="R9" s="15"/>
      <c r="S9" s="15"/>
      <c r="T9" s="15"/>
      <c r="U9" s="15"/>
      <c r="V9" s="15"/>
      <c r="W9" s="15"/>
      <c r="X9" s="15"/>
      <c r="Y9" s="15"/>
      <c r="Z9" s="15"/>
      <c r="AA9" s="15"/>
    </row>
    <row r="10" spans="1:28" x14ac:dyDescent="0.2">
      <c r="A10" s="101" t="s">
        <v>15</v>
      </c>
      <c r="B10" s="105">
        <f>'BRA Load Pricing Results'!J57</f>
        <v>6976.1137207874453</v>
      </c>
      <c r="C10" s="105">
        <f>'BRA Resource Clearing Results'!F33</f>
        <v>3416.9</v>
      </c>
      <c r="D10" s="303">
        <f t="shared" ref="D10:D12" si="2">B10-C10</f>
        <v>3559.2137207874453</v>
      </c>
      <c r="E10" s="102">
        <f>'BRA Resource Clearing Results'!B90</f>
        <v>0</v>
      </c>
      <c r="F10" s="40">
        <f t="shared" si="0"/>
        <v>3559.2137207874453</v>
      </c>
      <c r="G10" s="102">
        <f>'BRA ICTRs'!J46</f>
        <v>0</v>
      </c>
      <c r="H10" s="40">
        <f>'BRA ICTRs'!J13+'BRA ICTRs'!J32</f>
        <v>175</v>
      </c>
      <c r="I10" s="250">
        <f t="shared" si="1"/>
        <v>3384.2137207874453</v>
      </c>
      <c r="J10" s="151"/>
      <c r="K10" s="29"/>
      <c r="L10" s="29"/>
      <c r="M10" s="29"/>
      <c r="N10" s="15"/>
      <c r="O10" s="15"/>
      <c r="P10" s="15"/>
      <c r="Q10" s="15"/>
      <c r="R10" s="15"/>
      <c r="S10" s="15"/>
      <c r="T10" s="15"/>
      <c r="U10" s="15"/>
      <c r="V10" s="15"/>
      <c r="W10" s="15"/>
      <c r="X10" s="15"/>
      <c r="Y10" s="15"/>
      <c r="Z10" s="15"/>
      <c r="AA10" s="15"/>
    </row>
    <row r="11" spans="1:28" x14ac:dyDescent="0.2">
      <c r="A11" s="101" t="s">
        <v>100</v>
      </c>
      <c r="B11" s="105">
        <f>'BRA Load Pricing Results'!J43</f>
        <v>14616.503355692425</v>
      </c>
      <c r="C11" s="105">
        <f>'BRA Load Pricing Results'!C35</f>
        <v>9716.7000000000007</v>
      </c>
      <c r="D11" s="303">
        <v>4899.8033556924238</v>
      </c>
      <c r="E11" s="102">
        <f>IF('BRA Resource Clearing Results'!D91+'BRA Resource Clearing Results'!D92=0,0,('BRA Resource Clearing Results'!D91+'BRA Resource Clearing Results'!D92)/'BRA Load Pricing Results'!D35)</f>
        <v>0</v>
      </c>
      <c r="F11" s="40">
        <f t="shared" si="0"/>
        <v>4899.8033556924238</v>
      </c>
      <c r="G11" s="102">
        <v>0</v>
      </c>
      <c r="H11" s="102">
        <v>0</v>
      </c>
      <c r="I11" s="250">
        <f t="shared" si="1"/>
        <v>4899.8033556924238</v>
      </c>
      <c r="J11" s="151"/>
      <c r="K11" s="279"/>
      <c r="L11" s="15"/>
      <c r="M11" s="29"/>
      <c r="N11" s="15"/>
      <c r="O11" s="15"/>
      <c r="P11" s="15"/>
      <c r="Q11" s="15"/>
      <c r="R11" s="15"/>
      <c r="S11" s="15"/>
      <c r="T11" s="15"/>
      <c r="U11" s="15"/>
      <c r="V11" s="15"/>
      <c r="W11" s="15"/>
      <c r="X11" s="15"/>
      <c r="Y11" s="15"/>
      <c r="Z11" s="15"/>
      <c r="AA11" s="15"/>
    </row>
    <row r="12" spans="1:28" x14ac:dyDescent="0.2">
      <c r="A12" s="104" t="s">
        <v>20</v>
      </c>
      <c r="B12" s="105">
        <f>'BRA Load Pricing Results'!J45</f>
        <v>24121.975364850485</v>
      </c>
      <c r="C12" s="105">
        <f>'BRA Resource Clearing Results'!F36</f>
        <v>25152</v>
      </c>
      <c r="D12" s="303">
        <f t="shared" si="2"/>
        <v>-1030.0246351495152</v>
      </c>
      <c r="E12" s="102">
        <f>'BRA Resource Clearing Results'!B93</f>
        <v>0</v>
      </c>
      <c r="F12" s="40">
        <f t="shared" si="0"/>
        <v>-1030.0246351495152</v>
      </c>
      <c r="G12" s="102">
        <f>'BRA ICTRs'!N46</f>
        <v>0</v>
      </c>
      <c r="H12" s="102">
        <f>'BRA ICTRs'!N13+'BRA ICTRs'!N32</f>
        <v>0</v>
      </c>
      <c r="I12" s="250">
        <f>F12-G12-H12</f>
        <v>-1030.0246351495152</v>
      </c>
      <c r="J12" s="151"/>
      <c r="K12" s="279"/>
      <c r="L12" s="15"/>
      <c r="M12" s="29"/>
      <c r="N12" s="15"/>
      <c r="O12" s="15"/>
      <c r="P12" s="15"/>
      <c r="Q12" s="15"/>
      <c r="R12" s="15"/>
      <c r="S12" s="15"/>
      <c r="T12" s="15"/>
      <c r="U12" s="15"/>
      <c r="V12" s="15"/>
      <c r="W12" s="15"/>
      <c r="X12" s="15"/>
      <c r="Y12" s="15"/>
      <c r="Z12" s="15"/>
      <c r="AA12" s="15"/>
    </row>
    <row r="13" spans="1:28" x14ac:dyDescent="0.2">
      <c r="A13" s="104" t="s">
        <v>11</v>
      </c>
      <c r="B13" s="105">
        <f>'BRA Load Pricing Results'!J44</f>
        <v>7556.4426787252924</v>
      </c>
      <c r="C13" s="105">
        <f>'BRA Resource Clearing Results'!F37</f>
        <v>2671.6</v>
      </c>
      <c r="D13" s="303">
        <f>B13-C13</f>
        <v>4884.842678725292</v>
      </c>
      <c r="E13" s="102">
        <f>'BRA Resource Clearing Results'!B94</f>
        <v>0</v>
      </c>
      <c r="F13" s="40">
        <f t="shared" si="0"/>
        <v>4884.842678725292</v>
      </c>
      <c r="G13" s="40">
        <f>'BRA ICTRs'!K46</f>
        <v>65.7</v>
      </c>
      <c r="H13" s="40">
        <f>'BRA ICTRs'!K13+'BRA ICTRs'!K32</f>
        <v>306</v>
      </c>
      <c r="I13" s="250">
        <f t="shared" si="1"/>
        <v>4513.1426787252922</v>
      </c>
      <c r="J13" s="151"/>
      <c r="K13" s="279"/>
      <c r="L13" s="15"/>
      <c r="M13" s="29"/>
      <c r="N13" s="15"/>
      <c r="O13" s="15"/>
      <c r="P13" s="15"/>
      <c r="Q13" s="15"/>
      <c r="R13" s="15"/>
      <c r="S13" s="15"/>
      <c r="T13" s="15"/>
      <c r="U13" s="15"/>
      <c r="V13" s="15"/>
      <c r="W13" s="15"/>
      <c r="X13" s="15"/>
      <c r="Y13" s="15"/>
      <c r="Z13" s="15"/>
      <c r="AA13" s="15"/>
    </row>
    <row r="14" spans="1:28" x14ac:dyDescent="0.2">
      <c r="A14" s="201" t="s">
        <v>10</v>
      </c>
      <c r="B14" s="202">
        <f>'BRA Load Pricing Results'!J58</f>
        <v>8552.8565499015931</v>
      </c>
      <c r="C14" s="202">
        <f>'BRA Resource Clearing Results'!D57</f>
        <v>9997.7000000000007</v>
      </c>
      <c r="D14" s="303">
        <f>B14-C14</f>
        <v>-1444.8434500984076</v>
      </c>
      <c r="E14" s="102">
        <f>'BRA Resource Clearing Results'!B95</f>
        <v>0</v>
      </c>
      <c r="F14" s="348">
        <f t="shared" ref="F14:F15" si="3">D14-E14</f>
        <v>-1444.8434500984076</v>
      </c>
      <c r="G14" s="203">
        <v>0</v>
      </c>
      <c r="H14" s="203">
        <v>0</v>
      </c>
      <c r="I14" s="251">
        <f t="shared" ref="I14:I15" si="4">F14-G14-H14</f>
        <v>-1444.8434500984076</v>
      </c>
      <c r="J14" s="151"/>
      <c r="K14" s="279"/>
      <c r="L14" s="15"/>
      <c r="M14" s="29"/>
      <c r="N14" s="15"/>
      <c r="O14" s="15"/>
      <c r="P14" s="15"/>
      <c r="Q14" s="15"/>
      <c r="R14" s="15"/>
      <c r="S14" s="15"/>
      <c r="T14" s="15"/>
      <c r="U14" s="15"/>
      <c r="V14" s="15"/>
      <c r="W14" s="15"/>
      <c r="X14" s="15"/>
      <c r="Y14" s="15"/>
      <c r="Z14" s="15"/>
      <c r="AA14" s="15"/>
    </row>
    <row r="15" spans="1:28" x14ac:dyDescent="0.2">
      <c r="A15" s="104" t="s">
        <v>21</v>
      </c>
      <c r="B15" s="105">
        <f>'BRA Load Pricing Results'!J46</f>
        <v>3831.1444204324498</v>
      </c>
      <c r="C15" s="105">
        <f>'BRA Resource Clearing Results'!D58</f>
        <v>985.4</v>
      </c>
      <c r="D15" s="303">
        <f>B15-C15</f>
        <v>2845.7444204324497</v>
      </c>
      <c r="E15" s="102">
        <f>'BRA Resource Clearing Results'!B96</f>
        <v>0</v>
      </c>
      <c r="F15" s="40">
        <f t="shared" si="3"/>
        <v>2845.7444204324497</v>
      </c>
      <c r="G15" s="102">
        <v>0</v>
      </c>
      <c r="H15" s="102">
        <v>0</v>
      </c>
      <c r="I15" s="250">
        <f t="shared" si="4"/>
        <v>2845.7444204324497</v>
      </c>
      <c r="J15" s="151"/>
      <c r="K15" s="279" t="s">
        <v>24</v>
      </c>
      <c r="L15" s="15"/>
      <c r="M15" s="29"/>
      <c r="N15" s="15"/>
      <c r="O15" s="15"/>
      <c r="P15" s="15"/>
      <c r="Q15" s="15"/>
      <c r="R15" s="15"/>
      <c r="S15" s="15"/>
      <c r="T15" s="15"/>
      <c r="U15" s="15"/>
      <c r="V15" s="15"/>
      <c r="W15" s="15"/>
      <c r="X15" s="15"/>
      <c r="Y15" s="15"/>
      <c r="Z15" s="15"/>
      <c r="AA15" s="15"/>
    </row>
    <row r="16" spans="1:28" ht="13.5" thickBot="1" x14ac:dyDescent="0.25">
      <c r="A16" s="204" t="s">
        <v>50</v>
      </c>
      <c r="B16" s="205">
        <f>'BRA Load Pricing Results'!J47</f>
        <v>5230.3524446039564</v>
      </c>
      <c r="C16" s="205">
        <f>'BRA Resource Clearing Results'!D59</f>
        <v>2060</v>
      </c>
      <c r="D16" s="304">
        <f>B16-C16</f>
        <v>3170.3524446039564</v>
      </c>
      <c r="E16" s="106">
        <f>'BRA Resource Clearing Results'!B97</f>
        <v>0</v>
      </c>
      <c r="F16" s="206">
        <f t="shared" si="0"/>
        <v>3170.3524446039564</v>
      </c>
      <c r="G16" s="206">
        <f>'BRA ICTRs'!L46</f>
        <v>155</v>
      </c>
      <c r="H16" s="106">
        <f>'BRA ICTRs'!L13+'BRA ICTRs'!L32</f>
        <v>0</v>
      </c>
      <c r="I16" s="252">
        <f>F16-G16-H16</f>
        <v>3015.3524446039564</v>
      </c>
      <c r="J16" s="151"/>
      <c r="K16" s="279"/>
      <c r="L16" s="15"/>
      <c r="M16" s="29"/>
      <c r="N16" s="15"/>
      <c r="O16" s="15"/>
      <c r="P16" s="15"/>
      <c r="Q16" s="15"/>
      <c r="R16" s="15"/>
      <c r="S16" s="15"/>
      <c r="T16" s="15"/>
      <c r="U16" s="15"/>
      <c r="V16" s="15"/>
      <c r="W16" s="15"/>
      <c r="X16" s="15"/>
      <c r="Y16" s="15"/>
      <c r="Z16" s="15"/>
      <c r="AA16" s="15"/>
    </row>
    <row r="17" spans="1:37" x14ac:dyDescent="0.2">
      <c r="A17" s="25" t="s">
        <v>79</v>
      </c>
      <c r="B17" s="25"/>
      <c r="C17" s="25"/>
      <c r="E17" s="25"/>
      <c r="F17" s="47"/>
      <c r="G17" s="48"/>
      <c r="H17" s="65"/>
      <c r="I17" s="48"/>
      <c r="J17" s="32"/>
      <c r="K17" s="108"/>
      <c r="L17" s="280"/>
      <c r="M17" s="15"/>
      <c r="N17" s="29"/>
      <c r="O17" s="15"/>
      <c r="P17" s="15"/>
      <c r="Q17" s="15"/>
      <c r="R17" s="15"/>
      <c r="S17" s="15"/>
      <c r="T17" s="15"/>
      <c r="U17" s="15"/>
      <c r="V17" s="15"/>
      <c r="W17" s="15"/>
      <c r="X17" s="15"/>
      <c r="Y17" s="15"/>
      <c r="Z17" s="15"/>
      <c r="AA17" s="15"/>
      <c r="AB17" s="15"/>
    </row>
    <row r="18" spans="1:37" ht="12.75" customHeight="1" thickBot="1" x14ac:dyDescent="0.25">
      <c r="A18" s="107"/>
      <c r="B18" s="25"/>
      <c r="C18" s="25"/>
      <c r="D18" s="47"/>
      <c r="E18" s="109"/>
      <c r="F18" s="47"/>
      <c r="G18" s="48"/>
      <c r="H18" s="65"/>
      <c r="I18" s="48"/>
      <c r="J18" s="32"/>
      <c r="K18" s="108"/>
      <c r="L18" s="15"/>
      <c r="M18" s="15"/>
      <c r="N18" s="29"/>
      <c r="O18" s="15"/>
      <c r="P18" s="15"/>
      <c r="Q18" s="15"/>
      <c r="R18" s="15"/>
      <c r="S18" s="15"/>
      <c r="T18" s="15"/>
      <c r="U18" s="15"/>
      <c r="V18" s="15"/>
      <c r="W18" s="15"/>
      <c r="X18" s="15"/>
      <c r="Y18" s="15"/>
      <c r="Z18" s="15"/>
      <c r="AA18" s="15"/>
      <c r="AB18" s="15"/>
    </row>
    <row r="19" spans="1:37" ht="15" customHeight="1" thickBot="1" x14ac:dyDescent="0.25">
      <c r="A19" s="541" t="s">
        <v>76</v>
      </c>
      <c r="B19" s="542"/>
      <c r="C19" s="542"/>
      <c r="D19" s="543"/>
      <c r="E19" s="110"/>
      <c r="F19" s="15"/>
      <c r="G19" s="15"/>
      <c r="H19" s="15"/>
      <c r="I19" s="15"/>
      <c r="J19" s="15"/>
      <c r="K19" s="15"/>
      <c r="L19" s="15"/>
      <c r="M19" s="15"/>
      <c r="N19" s="15"/>
      <c r="O19" s="15"/>
      <c r="P19" s="15"/>
      <c r="Q19" s="15"/>
      <c r="R19" s="15"/>
      <c r="S19" s="15"/>
      <c r="T19" s="15"/>
      <c r="U19" s="15"/>
      <c r="V19" s="15"/>
      <c r="W19" s="15"/>
      <c r="X19" s="15"/>
      <c r="Y19" s="15"/>
      <c r="Z19" s="15"/>
      <c r="AA19" s="15"/>
      <c r="AB19" s="15"/>
    </row>
    <row r="20" spans="1:37" x14ac:dyDescent="0.2">
      <c r="A20" s="544"/>
      <c r="B20" s="545"/>
      <c r="C20" s="545"/>
      <c r="D20" s="546"/>
      <c r="E20" s="553" t="s">
        <v>28</v>
      </c>
      <c r="F20" s="554"/>
      <c r="G20" s="553" t="s">
        <v>33</v>
      </c>
      <c r="H20" s="554"/>
      <c r="I20" s="553" t="s">
        <v>5</v>
      </c>
      <c r="J20" s="554"/>
      <c r="K20" s="553" t="s">
        <v>40</v>
      </c>
      <c r="L20" s="554"/>
      <c r="M20" s="553" t="s">
        <v>38</v>
      </c>
      <c r="N20" s="554"/>
      <c r="O20" s="553" t="s">
        <v>15</v>
      </c>
      <c r="P20" s="554"/>
      <c r="Q20" s="553" t="s">
        <v>100</v>
      </c>
      <c r="R20" s="554"/>
      <c r="S20" s="553" t="s">
        <v>20</v>
      </c>
      <c r="T20" s="554"/>
      <c r="U20" s="553" t="s">
        <v>11</v>
      </c>
      <c r="V20" s="554"/>
      <c r="W20" s="553" t="s">
        <v>10</v>
      </c>
      <c r="X20" s="554"/>
      <c r="Y20" s="553" t="s">
        <v>21</v>
      </c>
      <c r="Z20" s="554"/>
      <c r="AA20" s="553" t="s">
        <v>50</v>
      </c>
      <c r="AB20" s="554"/>
      <c r="AC20" s="15"/>
      <c r="AD20" s="15"/>
      <c r="AE20" s="15"/>
      <c r="AF20" s="15"/>
    </row>
    <row r="21" spans="1:37" ht="30.75" customHeight="1" thickBot="1" x14ac:dyDescent="0.25">
      <c r="A21" s="547"/>
      <c r="B21" s="548"/>
      <c r="C21" s="548"/>
      <c r="D21" s="549"/>
      <c r="E21" s="125" t="s">
        <v>41</v>
      </c>
      <c r="F21" s="111">
        <f>'BRA Resource Clearing Results'!C6</f>
        <v>20.57</v>
      </c>
      <c r="G21" s="125" t="s">
        <v>41</v>
      </c>
      <c r="H21" s="111">
        <f>'BRA Resource Clearing Results'!C7</f>
        <v>4.1099999999999994</v>
      </c>
      <c r="I21" s="125" t="s">
        <v>41</v>
      </c>
      <c r="J21" s="111">
        <f>'BRA Resource Clearing Results'!C8</f>
        <v>0</v>
      </c>
      <c r="K21" s="125" t="s">
        <v>41</v>
      </c>
      <c r="L21" s="111">
        <f>'BRA Load Pricing Results'!D29</f>
        <v>0</v>
      </c>
      <c r="M21" s="125" t="s">
        <v>41</v>
      </c>
      <c r="N21" s="126">
        <f>'BRA Load Pricing Results'!D32</f>
        <v>110.76922105911335</v>
      </c>
      <c r="O21" s="125" t="s">
        <v>41</v>
      </c>
      <c r="P21" s="126">
        <f>'BRA Resource Clearing Results'!C12</f>
        <v>0</v>
      </c>
      <c r="Q21" s="125" t="s">
        <v>41</v>
      </c>
      <c r="R21" s="126">
        <f>'BRA Load Pricing Results'!D35</f>
        <v>0</v>
      </c>
      <c r="S21" s="125" t="s">
        <v>41</v>
      </c>
      <c r="T21" s="126">
        <f>'BRA Resource Clearing Results'!C15</f>
        <v>0</v>
      </c>
      <c r="U21" s="125" t="s">
        <v>41</v>
      </c>
      <c r="V21" s="126">
        <f>'BRA Resource Clearing Results'!C16</f>
        <v>23.509999999999998</v>
      </c>
      <c r="W21" s="125" t="s">
        <v>41</v>
      </c>
      <c r="X21" s="126">
        <f>'BRA Resource Clearing Results'!C17</f>
        <v>0</v>
      </c>
      <c r="Y21" s="125" t="s">
        <v>41</v>
      </c>
      <c r="Z21" s="126">
        <f>'BRA Resource Clearing Results'!C18</f>
        <v>0</v>
      </c>
      <c r="AA21" s="125" t="s">
        <v>41</v>
      </c>
      <c r="AB21" s="126">
        <f>'BRA Resource Clearing Results'!C19</f>
        <v>67.319999999999993</v>
      </c>
      <c r="AC21" s="15"/>
      <c r="AD21" s="15"/>
      <c r="AE21" s="15"/>
      <c r="AF21" s="98"/>
    </row>
    <row r="22" spans="1:37" ht="63.75" x14ac:dyDescent="0.2">
      <c r="A22" s="79" t="s">
        <v>7</v>
      </c>
      <c r="B22" s="80" t="s">
        <v>27</v>
      </c>
      <c r="C22" s="80" t="s">
        <v>26</v>
      </c>
      <c r="D22" s="81" t="s">
        <v>31</v>
      </c>
      <c r="E22" s="79" t="s">
        <v>123</v>
      </c>
      <c r="F22" s="81" t="s">
        <v>124</v>
      </c>
      <c r="G22" s="79" t="s">
        <v>123</v>
      </c>
      <c r="H22" s="81" t="s">
        <v>124</v>
      </c>
      <c r="I22" s="79" t="s">
        <v>123</v>
      </c>
      <c r="J22" s="81" t="s">
        <v>124</v>
      </c>
      <c r="K22" s="79" t="s">
        <v>125</v>
      </c>
      <c r="L22" s="81" t="s">
        <v>124</v>
      </c>
      <c r="M22" s="79" t="s">
        <v>123</v>
      </c>
      <c r="N22" s="81" t="s">
        <v>126</v>
      </c>
      <c r="O22" s="79" t="s">
        <v>123</v>
      </c>
      <c r="P22" s="81" t="s">
        <v>126</v>
      </c>
      <c r="Q22" s="79" t="s">
        <v>123</v>
      </c>
      <c r="R22" s="81" t="s">
        <v>126</v>
      </c>
      <c r="S22" s="79" t="s">
        <v>123</v>
      </c>
      <c r="T22" s="81" t="s">
        <v>126</v>
      </c>
      <c r="U22" s="79" t="s">
        <v>123</v>
      </c>
      <c r="V22" s="81" t="s">
        <v>126</v>
      </c>
      <c r="W22" s="79" t="s">
        <v>123</v>
      </c>
      <c r="X22" s="81" t="s">
        <v>124</v>
      </c>
      <c r="Y22" s="79" t="s">
        <v>123</v>
      </c>
      <c r="Z22" s="81" t="s">
        <v>126</v>
      </c>
      <c r="AA22" s="79" t="s">
        <v>123</v>
      </c>
      <c r="AB22" s="81" t="s">
        <v>124</v>
      </c>
      <c r="AC22" s="79" t="s">
        <v>73</v>
      </c>
      <c r="AD22" s="80" t="s">
        <v>127</v>
      </c>
      <c r="AE22" s="244" t="s">
        <v>49</v>
      </c>
      <c r="AF22" s="245" t="s">
        <v>128</v>
      </c>
      <c r="AG22" s="6"/>
    </row>
    <row r="23" spans="1:37" x14ac:dyDescent="0.2">
      <c r="A23" s="45" t="s">
        <v>16</v>
      </c>
      <c r="B23" s="82" t="s">
        <v>28</v>
      </c>
      <c r="C23" s="82" t="s">
        <v>33</v>
      </c>
      <c r="D23" s="83"/>
      <c r="E23" s="112">
        <f>IF(B23="MAAC",$I$5*'BRA Load Pricing Results'!J40/'BRA Load Pricing Results'!$B$14,0)</f>
        <v>0</v>
      </c>
      <c r="F23" s="113">
        <f>E23*$F$21</f>
        <v>0</v>
      </c>
      <c r="G23" s="112">
        <f>IF(C23="EMAAC",$I$6*'BRA Load Pricing Results'!J40/'BRA Load Pricing Results'!$B$15,0)</f>
        <v>344.17043366874071</v>
      </c>
      <c r="H23" s="113">
        <f>G23*$H$21</f>
        <v>1414.5404823785241</v>
      </c>
      <c r="I23" s="112">
        <f>IF(C23="SWMAAC",$I$7*'BRA Load Pricing Results'!J40/'BRA Load Pricing Results'!$B$16,0)</f>
        <v>0</v>
      </c>
      <c r="J23" s="113">
        <f>I23*$J$21</f>
        <v>0</v>
      </c>
      <c r="K23" s="112">
        <f>IF(D23="PS",$I$8*'BRA Load Pricing Results'!J40/'BRA Load Pricing Results'!$J$59,0)</f>
        <v>0</v>
      </c>
      <c r="L23" s="113">
        <f>K23*$L$21</f>
        <v>0</v>
      </c>
      <c r="M23" s="112">
        <f>IF(D23="DPL",$I$9*'BRA Load Pricing Results'!J40/'BRA Load Pricing Results'!$J$50,0)</f>
        <v>0</v>
      </c>
      <c r="N23" s="113">
        <f>M23*$N$21</f>
        <v>0</v>
      </c>
      <c r="O23" s="112">
        <f>IF(D23="PEPCO",$I$10*'BRA Load Pricing Results'!J40/'BRA Load Pricing Results'!$J$57,0)</f>
        <v>0</v>
      </c>
      <c r="P23" s="113">
        <f>O23*$P$21</f>
        <v>0</v>
      </c>
      <c r="Q23" s="112">
        <f>IF(D23="ATSI",$I$11*'BRA Load Pricing Results'!J40/'BRA Load Pricing Results'!$J$43,0)</f>
        <v>0</v>
      </c>
      <c r="R23" s="113">
        <f>Q23*$R$21</f>
        <v>0</v>
      </c>
      <c r="S23" s="112">
        <f>IF(D23="COMED",$I$12*'BRA Load Pricing Results'!J40/'BRA Load Pricing Results'!$J$45,0)</f>
        <v>0</v>
      </c>
      <c r="T23" s="113">
        <f>S23*$T$21</f>
        <v>0</v>
      </c>
      <c r="U23" s="112">
        <f>IF(D23="BGE",$I$13*'BRA Load Pricing Results'!J40/'BRA Load Pricing Results'!$J$44,0)</f>
        <v>0</v>
      </c>
      <c r="V23" s="113">
        <f>U23*$V$21</f>
        <v>0</v>
      </c>
      <c r="W23" s="112">
        <f>IF(D23="PL",$I$14*'BRA Load Pricing Results'!J40/'BRA Load Pricing Results'!$J$58,0)</f>
        <v>0</v>
      </c>
      <c r="X23" s="113">
        <f>W23*$X$21</f>
        <v>0</v>
      </c>
      <c r="Y23" s="112">
        <f>IF(D23="DAYTON",$I$15*'BRA Load Pricing Results'!J40/'BRA Load Pricing Results'!$J$46,0)</f>
        <v>0</v>
      </c>
      <c r="Z23" s="113">
        <f>Y23*$Z$21</f>
        <v>0</v>
      </c>
      <c r="AA23" s="112">
        <f>IF(D23="DEOK",$I$16*'BRA Load Pricing Results'!J40/'BRA Load Pricing Results'!$J$47,0)</f>
        <v>0</v>
      </c>
      <c r="AB23" s="113">
        <f>AA23*$AB$21</f>
        <v>0</v>
      </c>
      <c r="AC23" s="114">
        <f t="shared" ref="AC23:AC24" si="5">MAX(E23,G23,I23,K23,M23,O23,Q23+S23+U23+W23+Y23+AA23)</f>
        <v>344.17043366874071</v>
      </c>
      <c r="AD23" s="24">
        <f>F23+H23+J23+L23+N23+P23+R23+T23+V23+X23+Z23+AB23</f>
        <v>1414.5404823785241</v>
      </c>
      <c r="AE23" s="220">
        <f>AD23/'BRA Load Pricing Results'!J40</f>
        <v>0.48465117497361043</v>
      </c>
      <c r="AF23" s="246">
        <f>IF(AC23=0,0,AD23/AC23)</f>
        <v>4.1099999999999994</v>
      </c>
      <c r="AG23" s="243"/>
      <c r="AH23" s="211"/>
      <c r="AI23" s="241"/>
      <c r="AJ23" s="241"/>
      <c r="AK23" s="242"/>
    </row>
    <row r="24" spans="1:37" x14ac:dyDescent="0.2">
      <c r="A24" s="45" t="s">
        <v>29</v>
      </c>
      <c r="B24" s="82"/>
      <c r="C24" s="82"/>
      <c r="D24" s="83"/>
      <c r="E24" s="112">
        <f>IF(B24="MAAC",$I$5*'BRA Load Pricing Results'!J41/'BRA Load Pricing Results'!$B$14,0)</f>
        <v>0</v>
      </c>
      <c r="F24" s="113">
        <f>E24*$F$21</f>
        <v>0</v>
      </c>
      <c r="G24" s="112">
        <f>IF(C24="EMAAC",$I$6*'BRA Load Pricing Results'!J41/'BRA Load Pricing Results'!$B$15,0)</f>
        <v>0</v>
      </c>
      <c r="H24" s="113">
        <f>G24*$H$21</f>
        <v>0</v>
      </c>
      <c r="I24" s="112">
        <f>IF(C24="SWMAAC",$I$7*'BRA Load Pricing Results'!J41/'BRA Load Pricing Results'!$B$16,0)</f>
        <v>0</v>
      </c>
      <c r="J24" s="113">
        <f>I24*$J$21</f>
        <v>0</v>
      </c>
      <c r="K24" s="112">
        <f>IF(D24="PS",$I$8*'BRA Load Pricing Results'!J41/'BRA Load Pricing Results'!$J$59,0)</f>
        <v>0</v>
      </c>
      <c r="L24" s="113">
        <f>K24*$L$21</f>
        <v>0</v>
      </c>
      <c r="M24" s="112">
        <f>IF(D24="DPL",$I$9*'BRA Load Pricing Results'!J41/'BRA Load Pricing Results'!$J$50,0)</f>
        <v>0</v>
      </c>
      <c r="N24" s="113">
        <f t="shared" ref="N24:N39" si="6">M24*$N$21</f>
        <v>0</v>
      </c>
      <c r="O24" s="112">
        <f>IF(D24="PEPCO",$I$10*'BRA Load Pricing Results'!J41/'BRA Load Pricing Results'!$J$57,0)</f>
        <v>0</v>
      </c>
      <c r="P24" s="113">
        <f>O24*$P$21</f>
        <v>0</v>
      </c>
      <c r="Q24" s="112">
        <f>IF(D24="ATSI",$I$11*'BRA Load Pricing Results'!J41/'BRA Load Pricing Results'!$J$43,0)</f>
        <v>0</v>
      </c>
      <c r="R24" s="113">
        <f t="shared" ref="R24:R43" si="7">Q24*$R$21</f>
        <v>0</v>
      </c>
      <c r="S24" s="112">
        <f>IF(D24="COMED",$I$12*'BRA Load Pricing Results'!J41/'BRA Load Pricing Results'!$J$45,0)</f>
        <v>0</v>
      </c>
      <c r="T24" s="113">
        <f t="shared" ref="T24:T43" si="8">S24*$T$21</f>
        <v>0</v>
      </c>
      <c r="U24" s="112">
        <f>IF(D24="BGE",$I$13*'BRA Load Pricing Results'!J41/'BRA Load Pricing Results'!$J$44,0)</f>
        <v>0</v>
      </c>
      <c r="V24" s="113">
        <f>U24*$V$21</f>
        <v>0</v>
      </c>
      <c r="W24" s="112">
        <f>IF(D24="PL",$I$14*'BRA Load Pricing Results'!J41/'BRA Load Pricing Results'!$J$58,0)</f>
        <v>0</v>
      </c>
      <c r="X24" s="113">
        <f>W24*$X$21</f>
        <v>0</v>
      </c>
      <c r="Y24" s="112">
        <f>IF(D24="DAYTON",$I$15*'BRA Load Pricing Results'!J41/'BRA Load Pricing Results'!$J$46,0)</f>
        <v>0</v>
      </c>
      <c r="Z24" s="113">
        <f t="shared" ref="Z24:Z42" si="9">Y24*$Z$21</f>
        <v>0</v>
      </c>
      <c r="AA24" s="112">
        <f>IF(D24="DEOK",$I$16*'BRA Load Pricing Results'!J41/'BRA Load Pricing Results'!$J$47,0)</f>
        <v>0</v>
      </c>
      <c r="AB24" s="113">
        <f t="shared" ref="AB24:AB40" si="10">AA24*$AB$21</f>
        <v>0</v>
      </c>
      <c r="AC24" s="114">
        <f t="shared" si="5"/>
        <v>0</v>
      </c>
      <c r="AD24" s="24">
        <f t="shared" ref="AD24:AD26" si="11">F24+H24+J24+L24+N24+P24+R24+T24+V24+X24+Z24+AB24</f>
        <v>0</v>
      </c>
      <c r="AE24" s="220">
        <f>AD24/'BRA Load Pricing Results'!J41</f>
        <v>0</v>
      </c>
      <c r="AF24" s="246">
        <f>IF(AC24=0,0,AD24/AC24)</f>
        <v>0</v>
      </c>
      <c r="AG24" s="243"/>
      <c r="AH24" s="211"/>
      <c r="AI24" s="241"/>
      <c r="AJ24" s="241"/>
      <c r="AK24" s="242"/>
    </row>
    <row r="25" spans="1:37" x14ac:dyDescent="0.2">
      <c r="A25" s="45" t="s">
        <v>19</v>
      </c>
      <c r="B25" s="82" t="s">
        <v>24</v>
      </c>
      <c r="C25" s="82"/>
      <c r="D25" s="83"/>
      <c r="E25" s="112">
        <f>IF(B25="MAAC",$I$5*'BRA Load Pricing Results'!J42/'BRA Load Pricing Results'!$B$14,0)</f>
        <v>0</v>
      </c>
      <c r="F25" s="113">
        <f t="shared" ref="F25:F43" si="12">E25*$F$21</f>
        <v>0</v>
      </c>
      <c r="G25" s="112">
        <f>IF(C25="EMAAC",$I$6*'BRA Load Pricing Results'!J42/'BRA Load Pricing Results'!$B$15,0)</f>
        <v>0</v>
      </c>
      <c r="H25" s="113">
        <f>G25*$H$21</f>
        <v>0</v>
      </c>
      <c r="I25" s="112">
        <f>IF(C25="SWMAAC",$I$7*'BRA Load Pricing Results'!J42/'BRA Load Pricing Results'!$B$16,0)</f>
        <v>0</v>
      </c>
      <c r="J25" s="113">
        <f t="shared" ref="J25:J43" si="13">I25*$J$21</f>
        <v>0</v>
      </c>
      <c r="K25" s="112">
        <f>IF(D25="PS",$I$8*'BRA Load Pricing Results'!J42/'BRA Load Pricing Results'!$J$59,0)</f>
        <v>0</v>
      </c>
      <c r="L25" s="113">
        <f>K25*$L$21</f>
        <v>0</v>
      </c>
      <c r="M25" s="112">
        <f>IF(D25="DPL",$I$9*'BRA Load Pricing Results'!J42/'BRA Load Pricing Results'!$J$50,0)</f>
        <v>0</v>
      </c>
      <c r="N25" s="113">
        <f t="shared" si="6"/>
        <v>0</v>
      </c>
      <c r="O25" s="112">
        <f>IF(D25="PEPCO",$I$10*'BRA Load Pricing Results'!J42/'BRA Load Pricing Results'!$J$57,0)</f>
        <v>0</v>
      </c>
      <c r="P25" s="113">
        <f>O25*$P$21</f>
        <v>0</v>
      </c>
      <c r="Q25" s="112">
        <f>IF(D25="ATSI",$I$11*'BRA Load Pricing Results'!J42/'BRA Load Pricing Results'!$J$43,0)</f>
        <v>0</v>
      </c>
      <c r="R25" s="113">
        <f t="shared" si="7"/>
        <v>0</v>
      </c>
      <c r="S25" s="112">
        <f>IF(D25="COMED",$I$12*'BRA Load Pricing Results'!J42/'BRA Load Pricing Results'!$J$45,0)</f>
        <v>0</v>
      </c>
      <c r="T25" s="113">
        <f t="shared" si="8"/>
        <v>0</v>
      </c>
      <c r="U25" s="112">
        <f>IF(D25="BGE",$I$13*'BRA Load Pricing Results'!J42/'BRA Load Pricing Results'!$J$44,0)</f>
        <v>0</v>
      </c>
      <c r="V25" s="113">
        <f>U25*$V$21</f>
        <v>0</v>
      </c>
      <c r="W25" s="112">
        <f>IF(D25="PL",$I$14*'BRA Load Pricing Results'!J42/'BRA Load Pricing Results'!$J$58,0)</f>
        <v>0</v>
      </c>
      <c r="X25" s="113">
        <f>W25*$X$21</f>
        <v>0</v>
      </c>
      <c r="Y25" s="112">
        <f>IF(D25="DAYTON",$I$15*'BRA Load Pricing Results'!J42/'BRA Load Pricing Results'!$J$46,0)</f>
        <v>0</v>
      </c>
      <c r="Z25" s="113">
        <f t="shared" si="9"/>
        <v>0</v>
      </c>
      <c r="AA25" s="112">
        <f>IF(D25="DEOK",$I$16*'BRA Load Pricing Results'!J42/'BRA Load Pricing Results'!$J$47,0)</f>
        <v>0</v>
      </c>
      <c r="AB25" s="113">
        <f t="shared" si="10"/>
        <v>0</v>
      </c>
      <c r="AC25" s="114">
        <f>MAX(E25,G25,I25,K25,M25,O25,Q25+S25+U25+W25+Y25+AA25)</f>
        <v>0</v>
      </c>
      <c r="AD25" s="24">
        <f>F25+H25+J25+L25+N25+P25+R25+T25+V25+X25+Z25+AB25</f>
        <v>0</v>
      </c>
      <c r="AE25" s="220">
        <f>AD25/'BRA Load Pricing Results'!J42</f>
        <v>0</v>
      </c>
      <c r="AF25" s="246">
        <f>IF(AC25=0,0,AD25/AC25)</f>
        <v>0</v>
      </c>
      <c r="AG25" s="243"/>
      <c r="AH25" s="211"/>
      <c r="AI25" s="241"/>
      <c r="AJ25" s="241"/>
      <c r="AK25" s="242"/>
    </row>
    <row r="26" spans="1:37" x14ac:dyDescent="0.2">
      <c r="A26" s="45" t="s">
        <v>43</v>
      </c>
      <c r="B26" s="82"/>
      <c r="C26" s="82"/>
      <c r="D26" s="83" t="s">
        <v>43</v>
      </c>
      <c r="E26" s="112">
        <f>IF(B26="MAAC",$I$5*'BRA Load Pricing Results'!J43/'BRA Load Pricing Results'!$B$14,0)</f>
        <v>0</v>
      </c>
      <c r="F26" s="113">
        <f t="shared" si="12"/>
        <v>0</v>
      </c>
      <c r="G26" s="112">
        <f>IF(C26="EMAAC",$I$6*'BRA Load Pricing Results'!J43/'BRA Load Pricing Results'!$B$15,0)</f>
        <v>0</v>
      </c>
      <c r="H26" s="113">
        <f>G26*$H$21</f>
        <v>0</v>
      </c>
      <c r="I26" s="112">
        <f>IF(C26="SWMAAC",$I$7*'BRA Load Pricing Results'!J43/'BRA Load Pricing Results'!$B$16,0)</f>
        <v>0</v>
      </c>
      <c r="J26" s="113">
        <f t="shared" si="13"/>
        <v>0</v>
      </c>
      <c r="K26" s="112">
        <f>IF(D26="PS",$I$8*'BRA Load Pricing Results'!J43/'BRA Load Pricing Results'!$J$59,0)</f>
        <v>0</v>
      </c>
      <c r="L26" s="113">
        <f t="shared" ref="L26:L43" si="14">K26*$L$21</f>
        <v>0</v>
      </c>
      <c r="M26" s="112">
        <f>IF(D26="DPL",$I$9*'BRA Load Pricing Results'!J43/'BRA Load Pricing Results'!$J$50,0)</f>
        <v>0</v>
      </c>
      <c r="N26" s="113">
        <f t="shared" si="6"/>
        <v>0</v>
      </c>
      <c r="O26" s="112">
        <f>IF(D26="PEPCO",$I$10*'BRA Load Pricing Results'!J43/'BRA Load Pricing Results'!$J$57,0)</f>
        <v>0</v>
      </c>
      <c r="P26" s="113">
        <f t="shared" ref="P26:P39" si="15">O26*$P$21</f>
        <v>0</v>
      </c>
      <c r="Q26" s="112">
        <f>IF(D26="ATSI",$I$11*'BRA Load Pricing Results'!J43/'BRA Load Pricing Results'!$J$43,0)</f>
        <v>4899.8033556924238</v>
      </c>
      <c r="R26" s="113">
        <f>Q26*$R$21</f>
        <v>0</v>
      </c>
      <c r="S26" s="112">
        <f>IF(D26="COMED",$I$12*'BRA Load Pricing Results'!J43/'BRA Load Pricing Results'!$J$45,0)</f>
        <v>0</v>
      </c>
      <c r="T26" s="113">
        <f t="shared" si="8"/>
        <v>0</v>
      </c>
      <c r="U26" s="112">
        <f>IF(D26="BGE",$I$13*'BRA Load Pricing Results'!J43/'BRA Load Pricing Results'!$J$44,0)</f>
        <v>0</v>
      </c>
      <c r="V26" s="113">
        <f>U26*$V$21</f>
        <v>0</v>
      </c>
      <c r="W26" s="112">
        <f>IF(D26="PL",$I$14*'BRA Load Pricing Results'!J43/'BRA Load Pricing Results'!$J$58,0)</f>
        <v>0</v>
      </c>
      <c r="X26" s="113">
        <f>W26*$X$21</f>
        <v>0</v>
      </c>
      <c r="Y26" s="112">
        <f>IF(D26="DAYTON",$I$15*'BRA Load Pricing Results'!J43/'BRA Load Pricing Results'!$J$46,0)</f>
        <v>0</v>
      </c>
      <c r="Z26" s="113">
        <f t="shared" si="9"/>
        <v>0</v>
      </c>
      <c r="AA26" s="112">
        <f>IF(D26="DEOK",$I$16*'BRA Load Pricing Results'!J43/'BRA Load Pricing Results'!$J$47,0)</f>
        <v>0</v>
      </c>
      <c r="AB26" s="113">
        <f t="shared" si="10"/>
        <v>0</v>
      </c>
      <c r="AC26" s="114">
        <f t="shared" ref="AC26:AC42" si="16">MAX(E26,G26,I26,K26,M26,O26,Q26+S26+U26+W26+Y26+AA26)</f>
        <v>4899.8033556924238</v>
      </c>
      <c r="AD26" s="24">
        <f t="shared" si="11"/>
        <v>0</v>
      </c>
      <c r="AE26" s="220">
        <f>AD26/'BRA Load Pricing Results'!J43</f>
        <v>0</v>
      </c>
      <c r="AF26" s="246">
        <f>IF(AC26=0,0,AD26/AC26)</f>
        <v>0</v>
      </c>
      <c r="AG26" s="243"/>
      <c r="AH26" s="211"/>
      <c r="AI26" s="241"/>
      <c r="AJ26" s="241"/>
      <c r="AK26" s="242"/>
    </row>
    <row r="27" spans="1:37" x14ac:dyDescent="0.2">
      <c r="A27" s="45" t="s">
        <v>11</v>
      </c>
      <c r="B27" s="82" t="s">
        <v>28</v>
      </c>
      <c r="C27" s="82" t="s">
        <v>5</v>
      </c>
      <c r="D27" s="83" t="s">
        <v>11</v>
      </c>
      <c r="E27" s="112">
        <f>IF(B27="MAAC",$I$5*'BRA Load Pricing Results'!J44/'BRA Load Pricing Results'!$B$14,0)</f>
        <v>0</v>
      </c>
      <c r="F27" s="113">
        <f>E27*$F$21</f>
        <v>0</v>
      </c>
      <c r="G27" s="112">
        <f>IF(C27="EMAAC",$I$6*'BRA Load Pricing Results'!J44/'BRA Load Pricing Results'!$B$15,0)</f>
        <v>0</v>
      </c>
      <c r="H27" s="113">
        <f t="shared" ref="H27:H41" si="17">G27*$H$21</f>
        <v>0</v>
      </c>
      <c r="I27" s="112">
        <f>IF(C27="SWMAAC",$I$7*'BRA Load Pricing Results'!J44/'BRA Load Pricing Results'!$B$16,0)</f>
        <v>2896.814767465351</v>
      </c>
      <c r="J27" s="113">
        <f>I27*$J$21</f>
        <v>0</v>
      </c>
      <c r="K27" s="112">
        <f>IF(D27="PS",$I$8*'BRA Load Pricing Results'!J44/'BRA Load Pricing Results'!$J$59,0)</f>
        <v>0</v>
      </c>
      <c r="L27" s="113">
        <f t="shared" si="14"/>
        <v>0</v>
      </c>
      <c r="M27" s="112">
        <f>IF(D27="DPL",$I$9*'BRA Load Pricing Results'!J44/'BRA Load Pricing Results'!$J$50,0)</f>
        <v>0</v>
      </c>
      <c r="N27" s="113">
        <f t="shared" si="6"/>
        <v>0</v>
      </c>
      <c r="O27" s="112">
        <f>IF(D27="PEPCO",$I$10*'BRA Load Pricing Results'!J44/'BRA Load Pricing Results'!$J$57,0)</f>
        <v>0</v>
      </c>
      <c r="P27" s="113">
        <f t="shared" si="15"/>
        <v>0</v>
      </c>
      <c r="Q27" s="112">
        <f>IF(D27="ATSI",$I$11*'BRA Load Pricing Results'!J44/'BRA Load Pricing Results'!$J$43,0)</f>
        <v>0</v>
      </c>
      <c r="R27" s="113">
        <f t="shared" si="7"/>
        <v>0</v>
      </c>
      <c r="S27" s="112">
        <f>IF(D27="COMED",$I$12*'BRA Load Pricing Results'!J44/'BRA Load Pricing Results'!$J$45,0)</f>
        <v>0</v>
      </c>
      <c r="T27" s="113">
        <f t="shared" si="8"/>
        <v>0</v>
      </c>
      <c r="U27" s="112">
        <f>IF(D27="BGE",$I$13*'BRA Load Pricing Results'!J44/'BRA Load Pricing Results'!$J$44,0)</f>
        <v>4513.1426787252922</v>
      </c>
      <c r="V27" s="113">
        <f>U27*$V$21</f>
        <v>106103.98437683161</v>
      </c>
      <c r="W27" s="112">
        <f>IF(D27="PL",$I$14*'BRA Load Pricing Results'!J44/'BRA Load Pricing Results'!$J$58,0)</f>
        <v>0</v>
      </c>
      <c r="X27" s="113">
        <f t="shared" ref="X27:X40" si="18">W27*$X$21</f>
        <v>0</v>
      </c>
      <c r="Y27" s="112">
        <f>IF(D27="DAYTON",$I$15*'BRA Load Pricing Results'!J44/'BRA Load Pricing Results'!$J$46,0)</f>
        <v>0</v>
      </c>
      <c r="Z27" s="113">
        <f t="shared" si="9"/>
        <v>0</v>
      </c>
      <c r="AA27" s="112">
        <f>IF(D27="DEOK",$I$16*'BRA Load Pricing Results'!J44/'BRA Load Pricing Results'!$J$47,0)</f>
        <v>0</v>
      </c>
      <c r="AB27" s="113">
        <f t="shared" si="10"/>
        <v>0</v>
      </c>
      <c r="AC27" s="114">
        <f t="shared" si="16"/>
        <v>4513.1426787252922</v>
      </c>
      <c r="AD27" s="24">
        <f>F27+H27+J27+L27+N27+P27+R27+T27+V27+X27+Z27+AB27</f>
        <v>106103.98437683161</v>
      </c>
      <c r="AE27" s="220">
        <f>AD27/'BRA Load Pricing Results'!J44</f>
        <v>14.041525740089442</v>
      </c>
      <c r="AF27" s="246">
        <f>IF(AC27=0,0,AD27/AC27)</f>
        <v>23.509999999999998</v>
      </c>
      <c r="AG27" s="243"/>
      <c r="AH27" s="211"/>
      <c r="AI27" s="241"/>
      <c r="AJ27" s="241"/>
      <c r="AK27" s="242"/>
    </row>
    <row r="28" spans="1:37" x14ac:dyDescent="0.2">
      <c r="A28" s="45" t="s">
        <v>20</v>
      </c>
      <c r="B28" s="82"/>
      <c r="C28" s="82"/>
      <c r="D28" s="83" t="s">
        <v>20</v>
      </c>
      <c r="E28" s="112">
        <f>IF(B28="MAAC",$I$5*'BRA Load Pricing Results'!J45/'BRA Load Pricing Results'!$B$14,0)</f>
        <v>0</v>
      </c>
      <c r="F28" s="113">
        <f t="shared" si="12"/>
        <v>0</v>
      </c>
      <c r="G28" s="112">
        <f>IF(C28="EMAAC",$I$6*'BRA Load Pricing Results'!J45/'BRA Load Pricing Results'!$B$15,0)</f>
        <v>0</v>
      </c>
      <c r="H28" s="113">
        <f t="shared" si="17"/>
        <v>0</v>
      </c>
      <c r="I28" s="112">
        <f>IF(C28="SWMAAC",$I$7*'BRA Load Pricing Results'!J45/'BRA Load Pricing Results'!$B$16,0)</f>
        <v>0</v>
      </c>
      <c r="J28" s="113">
        <f t="shared" si="13"/>
        <v>0</v>
      </c>
      <c r="K28" s="112">
        <f>IF(D28="PS",$I$8*'BRA Load Pricing Results'!J45/'BRA Load Pricing Results'!$J$59,0)</f>
        <v>0</v>
      </c>
      <c r="L28" s="113">
        <f t="shared" si="14"/>
        <v>0</v>
      </c>
      <c r="M28" s="112">
        <f>IF(D28="DPL",$I$9*'BRA Load Pricing Results'!J45/'BRA Load Pricing Results'!$J$50,0)</f>
        <v>0</v>
      </c>
      <c r="N28" s="113">
        <f t="shared" si="6"/>
        <v>0</v>
      </c>
      <c r="O28" s="112">
        <f>IF(D28="PEPCO",$I$10*'BRA Load Pricing Results'!J45/'BRA Load Pricing Results'!$J$57,0)</f>
        <v>0</v>
      </c>
      <c r="P28" s="113">
        <f t="shared" si="15"/>
        <v>0</v>
      </c>
      <c r="Q28" s="112">
        <f>IF(D28="ATSI",$I$11*'BRA Load Pricing Results'!J45/'BRA Load Pricing Results'!$J$43,0)</f>
        <v>0</v>
      </c>
      <c r="R28" s="113">
        <f t="shared" si="7"/>
        <v>0</v>
      </c>
      <c r="S28" s="115">
        <f>IF(D28="COMED",$I$12*'BRA Load Pricing Results'!J45/'BRA Load Pricing Results'!$J$45,0)</f>
        <v>-1030.0246351495152</v>
      </c>
      <c r="T28" s="113">
        <f>S28*$T$21</f>
        <v>0</v>
      </c>
      <c r="U28" s="112">
        <f>IF(D28="BGE",$I$13*'BRA Load Pricing Results'!J45/'BRA Load Pricing Results'!$J$44,0)</f>
        <v>0</v>
      </c>
      <c r="V28" s="113">
        <f t="shared" ref="V28:V43" si="19">U28*$V$21</f>
        <v>0</v>
      </c>
      <c r="W28" s="112">
        <f>IF(D28="PL",$I$14*'BRA Load Pricing Results'!J45/'BRA Load Pricing Results'!$J$58,0)</f>
        <v>0</v>
      </c>
      <c r="X28" s="113">
        <f t="shared" si="18"/>
        <v>0</v>
      </c>
      <c r="Y28" s="112">
        <f>IF(D28="DAYTON",$I$15*'BRA Load Pricing Results'!J45/'BRA Load Pricing Results'!$J$46,0)</f>
        <v>0</v>
      </c>
      <c r="Z28" s="113">
        <f t="shared" si="9"/>
        <v>0</v>
      </c>
      <c r="AA28" s="112">
        <f>IF(D28="DEOK",$I$16*'BRA Load Pricing Results'!J45/'BRA Load Pricing Results'!$J$47,0)</f>
        <v>0</v>
      </c>
      <c r="AB28" s="113">
        <f t="shared" si="10"/>
        <v>0</v>
      </c>
      <c r="AC28" s="114">
        <f t="shared" si="16"/>
        <v>0</v>
      </c>
      <c r="AD28" s="24">
        <f t="shared" ref="AD28:AD42" si="20">F28+H28+J28+L28+N28+P28+R28+T28+V28+X28+Z28+AB28</f>
        <v>0</v>
      </c>
      <c r="AE28" s="220">
        <f>AD28/'BRA Load Pricing Results'!J45</f>
        <v>0</v>
      </c>
      <c r="AF28" s="246">
        <f t="shared" ref="AF28:AF43" si="21">IF(AC28=0,0,AD28/AC28)</f>
        <v>0</v>
      </c>
      <c r="AG28" s="243"/>
      <c r="AH28" s="211"/>
      <c r="AI28" s="241"/>
      <c r="AJ28" s="241"/>
      <c r="AK28" s="242"/>
    </row>
    <row r="29" spans="1:37" x14ac:dyDescent="0.2">
      <c r="A29" s="45" t="s">
        <v>21</v>
      </c>
      <c r="B29" s="82"/>
      <c r="C29" s="82"/>
      <c r="D29" s="83" t="s">
        <v>21</v>
      </c>
      <c r="E29" s="112">
        <f>IF(B29="MAAC",$I$5*'BRA Load Pricing Results'!J46/'BRA Load Pricing Results'!$B$14,0)</f>
        <v>0</v>
      </c>
      <c r="F29" s="113">
        <f t="shared" si="12"/>
        <v>0</v>
      </c>
      <c r="G29" s="112">
        <f>IF(C29="EMAAC",$I$6*'BRA Load Pricing Results'!J46/'BRA Load Pricing Results'!$B$15,0)</f>
        <v>0</v>
      </c>
      <c r="H29" s="113">
        <f>G29*$H$21</f>
        <v>0</v>
      </c>
      <c r="I29" s="112">
        <f>IF(C29="SWMAAC",$I$7*'BRA Load Pricing Results'!J46/'BRA Load Pricing Results'!$B$16,0)</f>
        <v>0</v>
      </c>
      <c r="J29" s="113">
        <f>I29*$J$21</f>
        <v>0</v>
      </c>
      <c r="K29" s="112">
        <f>IF(D29="PS",$I$8*'BRA Load Pricing Results'!J46/'BRA Load Pricing Results'!$J$59,0)</f>
        <v>0</v>
      </c>
      <c r="L29" s="113">
        <f t="shared" si="14"/>
        <v>0</v>
      </c>
      <c r="M29" s="112">
        <f>IF(D29="DPL",$I$9*'BRA Load Pricing Results'!J46/'BRA Load Pricing Results'!$J$50,0)</f>
        <v>0</v>
      </c>
      <c r="N29" s="113">
        <f t="shared" si="6"/>
        <v>0</v>
      </c>
      <c r="O29" s="112">
        <f>IF(D29="PEPCO",$I$10*'BRA Load Pricing Results'!J46/'BRA Load Pricing Results'!$J$57,0)</f>
        <v>0</v>
      </c>
      <c r="P29" s="113">
        <f t="shared" si="15"/>
        <v>0</v>
      </c>
      <c r="Q29" s="112">
        <f>IF(D29="ATSI",$I$11*'BRA Load Pricing Results'!J46/'BRA Load Pricing Results'!$J$43,0)</f>
        <v>0</v>
      </c>
      <c r="R29" s="113">
        <f t="shared" si="7"/>
        <v>0</v>
      </c>
      <c r="S29" s="112">
        <f>IF(D29="COMED",$I$12*'BRA Load Pricing Results'!J46/'BRA Load Pricing Results'!$J$45,0)</f>
        <v>0</v>
      </c>
      <c r="T29" s="113">
        <f t="shared" si="8"/>
        <v>0</v>
      </c>
      <c r="U29" s="112">
        <f>IF(D29="BGE",$I$13*'BRA Load Pricing Results'!J46/'BRA Load Pricing Results'!$J$44,0)</f>
        <v>0</v>
      </c>
      <c r="V29" s="113">
        <f t="shared" si="19"/>
        <v>0</v>
      </c>
      <c r="W29" s="112">
        <f>IF(D29="PL",$I$14*'BRA Load Pricing Results'!J46/'BRA Load Pricing Results'!$J$58,0)</f>
        <v>0</v>
      </c>
      <c r="X29" s="113">
        <f t="shared" si="18"/>
        <v>0</v>
      </c>
      <c r="Y29" s="112">
        <f>IF(D29="DAYTON",$I$15*'BRA Load Pricing Results'!J46/'BRA Load Pricing Results'!$J$46,0)</f>
        <v>2845.7444204324497</v>
      </c>
      <c r="Z29" s="113">
        <f t="shared" si="9"/>
        <v>0</v>
      </c>
      <c r="AA29" s="112">
        <f>IF(D29="DEOK",$I$16*'BRA Load Pricing Results'!J46/'BRA Load Pricing Results'!$J$47,0)</f>
        <v>0</v>
      </c>
      <c r="AB29" s="113">
        <f t="shared" si="10"/>
        <v>0</v>
      </c>
      <c r="AC29" s="114">
        <f t="shared" si="16"/>
        <v>2845.7444204324497</v>
      </c>
      <c r="AD29" s="24">
        <f t="shared" si="20"/>
        <v>0</v>
      </c>
      <c r="AE29" s="220">
        <f>AD29/'BRA Load Pricing Results'!J46</f>
        <v>0</v>
      </c>
      <c r="AF29" s="246">
        <f t="shared" si="21"/>
        <v>0</v>
      </c>
      <c r="AG29" s="243"/>
      <c r="AH29" s="211"/>
      <c r="AI29" s="241"/>
      <c r="AJ29" s="241"/>
      <c r="AK29" s="242"/>
    </row>
    <row r="30" spans="1:37" x14ac:dyDescent="0.2">
      <c r="A30" s="45" t="s">
        <v>50</v>
      </c>
      <c r="B30" s="82"/>
      <c r="C30" s="82"/>
      <c r="D30" s="83" t="s">
        <v>50</v>
      </c>
      <c r="E30" s="112">
        <f>IF(B30="MAAC",$I$5*'BRA Load Pricing Results'!J47/'BRA Load Pricing Results'!$B$14,0)</f>
        <v>0</v>
      </c>
      <c r="F30" s="113">
        <f t="shared" si="12"/>
        <v>0</v>
      </c>
      <c r="G30" s="112">
        <f>IF(C30="EMAAC",$I$6*'BRA Load Pricing Results'!J47/'BRA Load Pricing Results'!$B$15,0)</f>
        <v>0</v>
      </c>
      <c r="H30" s="113">
        <f>G30*$H$21</f>
        <v>0</v>
      </c>
      <c r="I30" s="112">
        <f>IF(C30="SWMAAC",$I$7*'BRA Load Pricing Results'!J47/'BRA Load Pricing Results'!$B$16,0)</f>
        <v>0</v>
      </c>
      <c r="J30" s="113">
        <f>I30*$J$21</f>
        <v>0</v>
      </c>
      <c r="K30" s="112">
        <f>IF(D30="PS",$I$8*'BRA Load Pricing Results'!J47/'BRA Load Pricing Results'!$J$59,0)</f>
        <v>0</v>
      </c>
      <c r="L30" s="113">
        <f>K30*$L$21</f>
        <v>0</v>
      </c>
      <c r="M30" s="112">
        <f>IF(D30="DPL",$I$9*'BRA Load Pricing Results'!J47/'BRA Load Pricing Results'!$J$50,0)</f>
        <v>0</v>
      </c>
      <c r="N30" s="113">
        <f>M30*$N$21</f>
        <v>0</v>
      </c>
      <c r="O30" s="112">
        <f>IF(D30="PEPCO",$I$10*'BRA Load Pricing Results'!J47/'BRA Load Pricing Results'!$J$57,0)</f>
        <v>0</v>
      </c>
      <c r="P30" s="113">
        <f>O30*$P$21</f>
        <v>0</v>
      </c>
      <c r="Q30" s="112">
        <f>IF(D30="ATSI",$I$11*'BRA Load Pricing Results'!J47/'BRA Load Pricing Results'!$J$43,0)</f>
        <v>0</v>
      </c>
      <c r="R30" s="113">
        <f t="shared" si="7"/>
        <v>0</v>
      </c>
      <c r="S30" s="112">
        <f>IF(D30="COMED",$I$12*'BRA Load Pricing Results'!J47/'BRA Load Pricing Results'!$J$45,0)</f>
        <v>0</v>
      </c>
      <c r="T30" s="113">
        <f t="shared" si="8"/>
        <v>0</v>
      </c>
      <c r="U30" s="112">
        <f>IF(D30="BGE",$I$13*'BRA Load Pricing Results'!J47/'BRA Load Pricing Results'!$J$44,0)</f>
        <v>0</v>
      </c>
      <c r="V30" s="113">
        <f t="shared" si="19"/>
        <v>0</v>
      </c>
      <c r="W30" s="112">
        <f>IF(D30="PL",$I$14*'BRA Load Pricing Results'!J47/'BRA Load Pricing Results'!$J$58,0)</f>
        <v>0</v>
      </c>
      <c r="X30" s="113">
        <f t="shared" si="18"/>
        <v>0</v>
      </c>
      <c r="Y30" s="112">
        <f>IF(D30="DAYTON",$I$15*'BRA Load Pricing Results'!J47/'BRA Load Pricing Results'!$J$46,0)</f>
        <v>0</v>
      </c>
      <c r="Z30" s="113">
        <f t="shared" si="9"/>
        <v>0</v>
      </c>
      <c r="AA30" s="112">
        <f>IF(D30="DEOK",$I$16*'BRA Load Pricing Results'!J47/'BRA Load Pricing Results'!$J$47,0)</f>
        <v>3015.3524446039564</v>
      </c>
      <c r="AB30" s="113">
        <f t="shared" si="10"/>
        <v>202993.52657073832</v>
      </c>
      <c r="AC30" s="114">
        <f t="shared" si="16"/>
        <v>3015.3524446039564</v>
      </c>
      <c r="AD30" s="24">
        <f t="shared" si="20"/>
        <v>202993.52657073832</v>
      </c>
      <c r="AE30" s="220">
        <f>AD30/'BRA Load Pricing Results'!J47</f>
        <v>38.810678385576566</v>
      </c>
      <c r="AF30" s="246">
        <f t="shared" si="21"/>
        <v>67.319999999999993</v>
      </c>
      <c r="AG30" s="243"/>
      <c r="AH30" s="211"/>
      <c r="AI30" s="241"/>
      <c r="AJ30" s="241"/>
      <c r="AK30" s="242"/>
    </row>
    <row r="31" spans="1:37" x14ac:dyDescent="0.2">
      <c r="A31" s="45" t="s">
        <v>42</v>
      </c>
      <c r="B31" s="82"/>
      <c r="C31" s="82"/>
      <c r="D31" s="83"/>
      <c r="E31" s="112">
        <f>IF(B31="MAAC",$I$5*'BRA Load Pricing Results'!J48/'BRA Load Pricing Results'!$B$14,0)</f>
        <v>0</v>
      </c>
      <c r="F31" s="113">
        <f t="shared" si="12"/>
        <v>0</v>
      </c>
      <c r="G31" s="112">
        <f>IF(C31="EMAAC",$I$6*'BRA Load Pricing Results'!J48/'BRA Load Pricing Results'!$B$15,0)</f>
        <v>0</v>
      </c>
      <c r="H31" s="113">
        <f>G31*$H$21</f>
        <v>0</v>
      </c>
      <c r="I31" s="112">
        <f>IF(C31="SWMAAC",$I$7*'BRA Load Pricing Results'!J48/'BRA Load Pricing Results'!$B$16,0)</f>
        <v>0</v>
      </c>
      <c r="J31" s="113">
        <f>I31*$J$21</f>
        <v>0</v>
      </c>
      <c r="K31" s="112">
        <f>IF(D31="PS",$I$8*'BRA Load Pricing Results'!J48/'BRA Load Pricing Results'!$J$59,0)</f>
        <v>0</v>
      </c>
      <c r="L31" s="113">
        <f>K31*$L$21</f>
        <v>0</v>
      </c>
      <c r="M31" s="112">
        <f>IF(D31="DPL",$I$9*'BRA Load Pricing Results'!J48/'BRA Load Pricing Results'!$J$50,0)</f>
        <v>0</v>
      </c>
      <c r="N31" s="113">
        <f>M31*$N$21</f>
        <v>0</v>
      </c>
      <c r="O31" s="112">
        <f>IF(D31="PEPCO",$I$10*'BRA Load Pricing Results'!#REF!/'BRA Load Pricing Results'!$J$57,0)</f>
        <v>0</v>
      </c>
      <c r="P31" s="113">
        <f>O31*$P$21</f>
        <v>0</v>
      </c>
      <c r="Q31" s="112">
        <f>IF(D31="ATSI",$I$11*'BRA Load Pricing Results'!J48/'BRA Load Pricing Results'!$J$43,0)</f>
        <v>0</v>
      </c>
      <c r="R31" s="113">
        <f t="shared" si="7"/>
        <v>0</v>
      </c>
      <c r="S31" s="112">
        <f>IF(D31="COMED",$I$12*'BRA Load Pricing Results'!J48/'BRA Load Pricing Results'!$J$45,0)</f>
        <v>0</v>
      </c>
      <c r="T31" s="113">
        <f t="shared" si="8"/>
        <v>0</v>
      </c>
      <c r="U31" s="112">
        <f>IF(D31="BGE",$I$13*'BRA Load Pricing Results'!J48/'BRA Load Pricing Results'!$J$44,0)</f>
        <v>0</v>
      </c>
      <c r="V31" s="113">
        <f t="shared" si="19"/>
        <v>0</v>
      </c>
      <c r="W31" s="112">
        <f>IF(D31="PL",$I$14*'BRA Load Pricing Results'!J48/'BRA Load Pricing Results'!$J$58,0)</f>
        <v>0</v>
      </c>
      <c r="X31" s="113">
        <f t="shared" si="18"/>
        <v>0</v>
      </c>
      <c r="Y31" s="112">
        <f>IF(D31="DAYTON",$I$15*'BRA Load Pricing Results'!J48/'BRA Load Pricing Results'!$J$46,0)</f>
        <v>0</v>
      </c>
      <c r="Z31" s="113">
        <f t="shared" si="9"/>
        <v>0</v>
      </c>
      <c r="AA31" s="112">
        <f>IF(D31="DEOK",$I$16*'BRA Load Pricing Results'!J48/'BRA Load Pricing Results'!$J$47,0)</f>
        <v>0</v>
      </c>
      <c r="AB31" s="113">
        <f t="shared" si="10"/>
        <v>0</v>
      </c>
      <c r="AC31" s="114">
        <f t="shared" si="16"/>
        <v>0</v>
      </c>
      <c r="AD31" s="24">
        <f t="shared" si="20"/>
        <v>0</v>
      </c>
      <c r="AE31" s="220">
        <f>AD31/'BRA Load Pricing Results'!J48</f>
        <v>0</v>
      </c>
      <c r="AF31" s="246">
        <f t="shared" si="21"/>
        <v>0</v>
      </c>
      <c r="AG31" s="243"/>
      <c r="AH31" s="211"/>
      <c r="AI31" s="241"/>
      <c r="AJ31" s="241"/>
      <c r="AK31" s="242"/>
    </row>
    <row r="32" spans="1:37" x14ac:dyDescent="0.2">
      <c r="A32" s="45" t="s">
        <v>30</v>
      </c>
      <c r="B32" s="82"/>
      <c r="C32" s="82"/>
      <c r="D32" s="83"/>
      <c r="E32" s="112">
        <f>IF(B32="MAAC",$I$5*'BRA Load Pricing Results'!J49/'BRA Load Pricing Results'!$B$14,0)</f>
        <v>0</v>
      </c>
      <c r="F32" s="113">
        <f t="shared" si="12"/>
        <v>0</v>
      </c>
      <c r="G32" s="112">
        <f>IF(C32="EMAAC",$I$6*'BRA Load Pricing Results'!J49/'BRA Load Pricing Results'!$B$15,0)</f>
        <v>0</v>
      </c>
      <c r="H32" s="113">
        <f t="shared" si="17"/>
        <v>0</v>
      </c>
      <c r="I32" s="112">
        <f>IF(C32="SWMAAC",$I$7*'BRA Load Pricing Results'!J49/'BRA Load Pricing Results'!$B$16,0)</f>
        <v>0</v>
      </c>
      <c r="J32" s="113">
        <f t="shared" si="13"/>
        <v>0</v>
      </c>
      <c r="K32" s="112">
        <f>IF(D32="PS",$I$8*'BRA Load Pricing Results'!J49/'BRA Load Pricing Results'!$J$59,0)</f>
        <v>0</v>
      </c>
      <c r="L32" s="113">
        <f t="shared" si="14"/>
        <v>0</v>
      </c>
      <c r="M32" s="112">
        <f>IF(D32="DPL",$I$9*'BRA Load Pricing Results'!J49/'BRA Load Pricing Results'!$J$50,0)</f>
        <v>0</v>
      </c>
      <c r="N32" s="113">
        <f t="shared" si="6"/>
        <v>0</v>
      </c>
      <c r="O32" s="112">
        <f>IF(D32="PEPCO",$I$10*'BRA Load Pricing Results'!J49/'BRA Load Pricing Results'!$J$57,0)</f>
        <v>0</v>
      </c>
      <c r="P32" s="113">
        <f t="shared" si="15"/>
        <v>0</v>
      </c>
      <c r="Q32" s="112">
        <f>IF(D32="ATSI",$I$11*'BRA Load Pricing Results'!J49/'BRA Load Pricing Results'!$J$43,0)</f>
        <v>0</v>
      </c>
      <c r="R32" s="113">
        <f t="shared" si="7"/>
        <v>0</v>
      </c>
      <c r="S32" s="112">
        <f>IF(D32="COMED",$I$12*'BRA Load Pricing Results'!J49/'BRA Load Pricing Results'!$J$45,0)</f>
        <v>0</v>
      </c>
      <c r="T32" s="113">
        <f t="shared" si="8"/>
        <v>0</v>
      </c>
      <c r="U32" s="112">
        <f>IF(D32="BGE",$I$13*'BRA Load Pricing Results'!J49/'BRA Load Pricing Results'!$J$44,0)</f>
        <v>0</v>
      </c>
      <c r="V32" s="113">
        <f t="shared" si="19"/>
        <v>0</v>
      </c>
      <c r="W32" s="112">
        <f>IF(D32="PL",$I$14*'BRA Load Pricing Results'!J49/'BRA Load Pricing Results'!$J$58,0)</f>
        <v>0</v>
      </c>
      <c r="X32" s="113">
        <f t="shared" si="18"/>
        <v>0</v>
      </c>
      <c r="Y32" s="112">
        <f>IF(D32="DAYTON",$I$15*'BRA Load Pricing Results'!J49/'BRA Load Pricing Results'!$J$46,0)</f>
        <v>0</v>
      </c>
      <c r="Z32" s="113">
        <f t="shared" si="9"/>
        <v>0</v>
      </c>
      <c r="AA32" s="112">
        <f>IF(D32="DEOK",$I$16*'BRA Load Pricing Results'!J49/'BRA Load Pricing Results'!$J$47,0)</f>
        <v>0</v>
      </c>
      <c r="AB32" s="113">
        <f t="shared" si="10"/>
        <v>0</v>
      </c>
      <c r="AC32" s="114">
        <f t="shared" si="16"/>
        <v>0</v>
      </c>
      <c r="AD32" s="24">
        <f t="shared" si="20"/>
        <v>0</v>
      </c>
      <c r="AE32" s="220">
        <f>AD32/'BRA Load Pricing Results'!J49</f>
        <v>0</v>
      </c>
      <c r="AF32" s="246">
        <f t="shared" si="21"/>
        <v>0</v>
      </c>
      <c r="AG32" s="243"/>
      <c r="AH32" s="211"/>
      <c r="AI32" s="241"/>
      <c r="AJ32" s="241"/>
      <c r="AK32" s="242"/>
    </row>
    <row r="33" spans="1:37" x14ac:dyDescent="0.2">
      <c r="A33" s="45" t="s">
        <v>17</v>
      </c>
      <c r="B33" s="82" t="s">
        <v>28</v>
      </c>
      <c r="C33" s="82" t="s">
        <v>33</v>
      </c>
      <c r="D33" s="83" t="s">
        <v>17</v>
      </c>
      <c r="E33" s="112">
        <f>IF(B33="MAAC",$I$5*'BRA Load Pricing Results'!J50/'BRA Load Pricing Results'!$B$14,0)</f>
        <v>0</v>
      </c>
      <c r="F33" s="113">
        <f t="shared" si="12"/>
        <v>0</v>
      </c>
      <c r="G33" s="112">
        <f>IF(C33="EMAAC",$I$6*'BRA Load Pricing Results'!J50/'BRA Load Pricing Results'!$B$15,0)</f>
        <v>543.29863789225556</v>
      </c>
      <c r="H33" s="113">
        <f>G33*$H$21</f>
        <v>2232.9574017371701</v>
      </c>
      <c r="I33" s="112">
        <f>IF(C33="SWMAAC",$I$7*'BRA Load Pricing Results'!J50/'BRA Load Pricing Results'!$B$16,0)</f>
        <v>0</v>
      </c>
      <c r="J33" s="113">
        <f t="shared" si="13"/>
        <v>0</v>
      </c>
      <c r="K33" s="112">
        <f>IF(D33="PS",$I$8*'BRA Load Pricing Results'!J50/'BRA Load Pricing Results'!$J$59,0)</f>
        <v>0</v>
      </c>
      <c r="L33" s="113">
        <f t="shared" si="14"/>
        <v>0</v>
      </c>
      <c r="M33" s="112">
        <f>IF(D33="DPL",$I$9*'BRA Load Pricing Results'!J50/'BRA Load Pricing Results'!$J$50,0)</f>
        <v>-264.65039054376211</v>
      </c>
      <c r="N33" s="113">
        <f t="shared" si="6"/>
        <v>-29315.117613522667</v>
      </c>
      <c r="O33" s="112">
        <f>IF(D33="PEPCO",$I$10*'BRA Load Pricing Results'!J50/'BRA Load Pricing Results'!$J$57,0)</f>
        <v>0</v>
      </c>
      <c r="P33" s="113">
        <f t="shared" si="15"/>
        <v>0</v>
      </c>
      <c r="Q33" s="112">
        <f>IF(D33="ATSI",$I$11*'BRA Load Pricing Results'!J50/'BRA Load Pricing Results'!$J$43,0)</f>
        <v>0</v>
      </c>
      <c r="R33" s="113">
        <f t="shared" si="7"/>
        <v>0</v>
      </c>
      <c r="S33" s="112">
        <f>IF(D33="COMED",$I$12*'BRA Load Pricing Results'!J50/'BRA Load Pricing Results'!$J$45,0)</f>
        <v>0</v>
      </c>
      <c r="T33" s="113">
        <f t="shared" si="8"/>
        <v>0</v>
      </c>
      <c r="U33" s="112">
        <f>IF(D33="BGE",$I$13*'BRA Load Pricing Results'!J50/'BRA Load Pricing Results'!$J$44,0)</f>
        <v>0</v>
      </c>
      <c r="V33" s="113">
        <f t="shared" si="19"/>
        <v>0</v>
      </c>
      <c r="W33" s="112">
        <f>IF(D33="PL",$I$14*'BRA Load Pricing Results'!J50/'BRA Load Pricing Results'!$J$58,0)</f>
        <v>0</v>
      </c>
      <c r="X33" s="113">
        <f t="shared" si="18"/>
        <v>0</v>
      </c>
      <c r="Y33" s="112">
        <f>IF(D33="DAYTON",$I$15*'BRA Load Pricing Results'!J50/'BRA Load Pricing Results'!$J$46,0)</f>
        <v>0</v>
      </c>
      <c r="Z33" s="113">
        <f t="shared" si="9"/>
        <v>0</v>
      </c>
      <c r="AA33" s="112">
        <f>IF(D33="DEOK",$I$16*'BRA Load Pricing Results'!J50/'BRA Load Pricing Results'!$J$47,0)</f>
        <v>0</v>
      </c>
      <c r="AB33" s="113">
        <f t="shared" si="10"/>
        <v>0</v>
      </c>
      <c r="AC33" s="114">
        <f t="shared" si="16"/>
        <v>543.29863789225556</v>
      </c>
      <c r="AD33" s="24">
        <f t="shared" si="20"/>
        <v>-27082.160211785496</v>
      </c>
      <c r="AE33" s="220">
        <f>AD33/'BRA Load Pricing Results'!J50</f>
        <v>-5.8780345550946285</v>
      </c>
      <c r="AF33" s="246">
        <f t="shared" si="21"/>
        <v>-49.847649750883974</v>
      </c>
      <c r="AG33" s="243"/>
      <c r="AH33" s="211"/>
      <c r="AI33" s="241"/>
      <c r="AJ33" s="241"/>
      <c r="AK33" s="242"/>
    </row>
    <row r="34" spans="1:37" x14ac:dyDescent="0.2">
      <c r="A34" s="45" t="s">
        <v>101</v>
      </c>
      <c r="B34" s="82"/>
      <c r="C34" s="82"/>
      <c r="D34" s="83"/>
      <c r="E34" s="112">
        <f>IF(B34="MAAC",$I$5*'BRA Load Pricing Results'!J51/'BRA Load Pricing Results'!$B$14,0)</f>
        <v>0</v>
      </c>
      <c r="F34" s="113">
        <f t="shared" si="12"/>
        <v>0</v>
      </c>
      <c r="G34" s="112">
        <f>IF(C34="EMAAC",$I$6*'BRA Load Pricing Results'!J51/'BRA Load Pricing Results'!$B$15,0)</f>
        <v>0</v>
      </c>
      <c r="H34" s="113">
        <f>G34*$H$21</f>
        <v>0</v>
      </c>
      <c r="I34" s="112">
        <f>IF(C34="SWMAAC",$I$7*'BRA Load Pricing Results'!J51/'BRA Load Pricing Results'!$B$16,0)</f>
        <v>0</v>
      </c>
      <c r="J34" s="113">
        <f>I34*$J$21</f>
        <v>0</v>
      </c>
      <c r="K34" s="112">
        <f>IF(D34="PS",$I$8*'BRA Load Pricing Results'!J51/'BRA Load Pricing Results'!$J$59,0)</f>
        <v>0</v>
      </c>
      <c r="L34" s="113">
        <f>K34*$L$21</f>
        <v>0</v>
      </c>
      <c r="M34" s="112">
        <f>IF(D34="DPL",$I$9*'BRA Load Pricing Results'!J51/'BRA Load Pricing Results'!$J$50,0)</f>
        <v>0</v>
      </c>
      <c r="N34" s="113">
        <f>M34*$N$21</f>
        <v>0</v>
      </c>
      <c r="O34" s="112">
        <f>IF(D34="PEPCO",$I$10*'BRA Load Pricing Results'!J51/'BRA Load Pricing Results'!$J$57,0)</f>
        <v>0</v>
      </c>
      <c r="P34" s="113">
        <f>O34*$P$21</f>
        <v>0</v>
      </c>
      <c r="Q34" s="112">
        <f>IF(D34="ATSI",$I$11*'BRA Load Pricing Results'!J51/'BRA Load Pricing Results'!$J$43,0)</f>
        <v>0</v>
      </c>
      <c r="R34" s="113">
        <f>Q34*$R$21</f>
        <v>0</v>
      </c>
      <c r="S34" s="112">
        <f>IF(D34="COMED",$I$12*'BRA Load Pricing Results'!J51/'BRA Load Pricing Results'!$J$45,0)</f>
        <v>0</v>
      </c>
      <c r="T34" s="113">
        <f t="shared" si="8"/>
        <v>0</v>
      </c>
      <c r="U34" s="112">
        <f>IF(D34="BGE",$I$13*'BRA Load Pricing Results'!J51/'BRA Load Pricing Results'!$J$44,0)</f>
        <v>0</v>
      </c>
      <c r="V34" s="113">
        <f t="shared" si="19"/>
        <v>0</v>
      </c>
      <c r="W34" s="112">
        <f>IF(D34="PL",$I$14*'BRA Load Pricing Results'!J51/'BRA Load Pricing Results'!$J$58,0)</f>
        <v>0</v>
      </c>
      <c r="X34" s="113">
        <f t="shared" si="18"/>
        <v>0</v>
      </c>
      <c r="Y34" s="112">
        <f>IF(D34="DAYTON",$I$15*'BRA Load Pricing Results'!J51/'BRA Load Pricing Results'!$J$46,0)</f>
        <v>0</v>
      </c>
      <c r="Z34" s="113">
        <f t="shared" si="9"/>
        <v>0</v>
      </c>
      <c r="AA34" s="112">
        <f>IF(D34="DEOK",$I$16*'BRA Load Pricing Results'!J51/'BRA Load Pricing Results'!$J$47,0)</f>
        <v>0</v>
      </c>
      <c r="AB34" s="113">
        <f t="shared" si="10"/>
        <v>0</v>
      </c>
      <c r="AC34" s="114">
        <f t="shared" si="16"/>
        <v>0</v>
      </c>
      <c r="AD34" s="24">
        <f t="shared" si="20"/>
        <v>0</v>
      </c>
      <c r="AE34" s="220">
        <f>AD34/'BRA Load Pricing Results'!J51</f>
        <v>0</v>
      </c>
      <c r="AF34" s="246">
        <f>IF(AC34=0,0,AD34/AC34)</f>
        <v>0</v>
      </c>
      <c r="AG34" s="243"/>
      <c r="AH34" s="211"/>
      <c r="AI34" s="241"/>
      <c r="AJ34" s="241"/>
      <c r="AK34" s="242"/>
    </row>
    <row r="35" spans="1:37" x14ac:dyDescent="0.2">
      <c r="A35" s="45" t="s">
        <v>12</v>
      </c>
      <c r="B35" s="82" t="s">
        <v>28</v>
      </c>
      <c r="C35" s="82" t="s">
        <v>33</v>
      </c>
      <c r="D35" s="83"/>
      <c r="E35" s="112">
        <f>IF(B35="MAAC",$I$5*'BRA Load Pricing Results'!J52/'BRA Load Pricing Results'!$B$14,0)</f>
        <v>0</v>
      </c>
      <c r="F35" s="113">
        <f t="shared" si="12"/>
        <v>0</v>
      </c>
      <c r="G35" s="112">
        <f>IF(C35="EMAAC",$I$6*'BRA Load Pricing Results'!J52/'BRA Load Pricing Results'!$B$15,0)</f>
        <v>801.24713298871075</v>
      </c>
      <c r="H35" s="113">
        <f>G35*$H$21</f>
        <v>3293.1257165836009</v>
      </c>
      <c r="I35" s="112">
        <f>IF(C35="SWMAAC",$I$7*'BRA Load Pricing Results'!J52/'BRA Load Pricing Results'!$B$16,0)</f>
        <v>0</v>
      </c>
      <c r="J35" s="113">
        <f t="shared" si="13"/>
        <v>0</v>
      </c>
      <c r="K35" s="112">
        <f>IF(D35="PS",$I$8*'BRA Load Pricing Results'!J52/'BRA Load Pricing Results'!$J$59,0)</f>
        <v>0</v>
      </c>
      <c r="L35" s="113">
        <f t="shared" si="14"/>
        <v>0</v>
      </c>
      <c r="M35" s="112">
        <f>IF(D35="DPL",$I$9*'BRA Load Pricing Results'!J52/'BRA Load Pricing Results'!$J$50,0)</f>
        <v>0</v>
      </c>
      <c r="N35" s="113">
        <f t="shared" si="6"/>
        <v>0</v>
      </c>
      <c r="O35" s="112">
        <f>IF(D35="PEPCO",$I$10*'BRA Load Pricing Results'!J52/'BRA Load Pricing Results'!$J$57,0)</f>
        <v>0</v>
      </c>
      <c r="P35" s="113">
        <f t="shared" si="15"/>
        <v>0</v>
      </c>
      <c r="Q35" s="112">
        <f>IF(D35="ATSI",$I$11*'BRA Load Pricing Results'!J52/'BRA Load Pricing Results'!$J$43,0)</f>
        <v>0</v>
      </c>
      <c r="R35" s="113">
        <f t="shared" si="7"/>
        <v>0</v>
      </c>
      <c r="S35" s="112">
        <f>IF(D35="COMED",$I$12*'BRA Load Pricing Results'!J52/'BRA Load Pricing Results'!$J$45,0)</f>
        <v>0</v>
      </c>
      <c r="T35" s="113">
        <f t="shared" si="8"/>
        <v>0</v>
      </c>
      <c r="U35" s="112">
        <f>IF(D35="BGE",$I$13*'BRA Load Pricing Results'!J52/'BRA Load Pricing Results'!$J$44,0)</f>
        <v>0</v>
      </c>
      <c r="V35" s="113">
        <f t="shared" si="19"/>
        <v>0</v>
      </c>
      <c r="W35" s="112">
        <f>IF(D35="PL",$I$14*'BRA Load Pricing Results'!J52/'BRA Load Pricing Results'!$J$58,0)</f>
        <v>0</v>
      </c>
      <c r="X35" s="113">
        <f t="shared" si="18"/>
        <v>0</v>
      </c>
      <c r="Y35" s="112">
        <f>IF(D35="DAYTON",$I$15*'BRA Load Pricing Results'!J52/'BRA Load Pricing Results'!$J$46,0)</f>
        <v>0</v>
      </c>
      <c r="Z35" s="113">
        <f t="shared" si="9"/>
        <v>0</v>
      </c>
      <c r="AA35" s="112">
        <f>IF(D35="DEOK",$I$16*'BRA Load Pricing Results'!J52/'BRA Load Pricing Results'!$J$47,0)</f>
        <v>0</v>
      </c>
      <c r="AB35" s="113">
        <f t="shared" si="10"/>
        <v>0</v>
      </c>
      <c r="AC35" s="114">
        <f t="shared" si="16"/>
        <v>801.24713298871075</v>
      </c>
      <c r="AD35" s="24">
        <f t="shared" si="20"/>
        <v>3293.1257165836009</v>
      </c>
      <c r="AE35" s="220">
        <f>AD35/'BRA Load Pricing Results'!J52</f>
        <v>0.48465117497361049</v>
      </c>
      <c r="AF35" s="246">
        <f t="shared" si="21"/>
        <v>4.1099999999999994</v>
      </c>
      <c r="AG35" s="243"/>
      <c r="AH35" s="211"/>
      <c r="AI35" s="241"/>
      <c r="AJ35" s="241"/>
      <c r="AK35" s="242"/>
    </row>
    <row r="36" spans="1:37" x14ac:dyDescent="0.2">
      <c r="A36" s="45" t="s">
        <v>13</v>
      </c>
      <c r="B36" s="82" t="s">
        <v>28</v>
      </c>
      <c r="C36" s="82"/>
      <c r="D36" s="83"/>
      <c r="E36" s="112">
        <f>IF(B36="MAAC",$I$5*'BRA Load Pricing Results'!J53/'BRA Load Pricing Results'!$B$14,0)</f>
        <v>0</v>
      </c>
      <c r="F36" s="113">
        <f t="shared" si="12"/>
        <v>0</v>
      </c>
      <c r="G36" s="112">
        <f>IF(C36="EMAAC",$I$6*'BRA Load Pricing Results'!J53/'BRA Load Pricing Results'!$B$15,0)</f>
        <v>0</v>
      </c>
      <c r="H36" s="113">
        <f t="shared" si="17"/>
        <v>0</v>
      </c>
      <c r="I36" s="112">
        <f>IF(C36="SWMAAC",$I$7*'BRA Load Pricing Results'!J53/'BRA Load Pricing Results'!$B$16,0)</f>
        <v>0</v>
      </c>
      <c r="J36" s="113">
        <f t="shared" si="13"/>
        <v>0</v>
      </c>
      <c r="K36" s="112">
        <f>IF(D36="PS",$I$8*'BRA Load Pricing Results'!J53/'BRA Load Pricing Results'!$J$59,0)</f>
        <v>0</v>
      </c>
      <c r="L36" s="113">
        <f t="shared" si="14"/>
        <v>0</v>
      </c>
      <c r="M36" s="112">
        <f>IF(D36="DPL",$I$9*'BRA Load Pricing Results'!J53/'BRA Load Pricing Results'!$J$50,0)</f>
        <v>0</v>
      </c>
      <c r="N36" s="113">
        <f t="shared" si="6"/>
        <v>0</v>
      </c>
      <c r="O36" s="112">
        <f>IF(D36="PEPCO",$I$10*'BRA Load Pricing Results'!J53/'BRA Load Pricing Results'!$J$57,0)</f>
        <v>0</v>
      </c>
      <c r="P36" s="113">
        <f t="shared" si="15"/>
        <v>0</v>
      </c>
      <c r="Q36" s="112">
        <f>IF(D36="ATSI",$I$11*'BRA Load Pricing Results'!J53/'BRA Load Pricing Results'!$J$43,0)</f>
        <v>0</v>
      </c>
      <c r="R36" s="113">
        <f t="shared" si="7"/>
        <v>0</v>
      </c>
      <c r="S36" s="112">
        <f>IF(D36="COMED",$I$12*'BRA Load Pricing Results'!J53/'BRA Load Pricing Results'!$J$45,0)</f>
        <v>0</v>
      </c>
      <c r="T36" s="113">
        <f t="shared" si="8"/>
        <v>0</v>
      </c>
      <c r="U36" s="112">
        <f>IF(D36="BGE",$I$13*'BRA Load Pricing Results'!J53/'BRA Load Pricing Results'!$J$44,0)</f>
        <v>0</v>
      </c>
      <c r="V36" s="113">
        <f t="shared" si="19"/>
        <v>0</v>
      </c>
      <c r="W36" s="112">
        <f>IF(D36="PL",$I$14*'BRA Load Pricing Results'!J53/'BRA Load Pricing Results'!$J$58,0)</f>
        <v>0</v>
      </c>
      <c r="X36" s="113">
        <f t="shared" si="18"/>
        <v>0</v>
      </c>
      <c r="Y36" s="112">
        <f>IF(D36="DAYTON",$I$15*'BRA Load Pricing Results'!J53/'BRA Load Pricing Results'!$J$46,0)</f>
        <v>0</v>
      </c>
      <c r="Z36" s="113">
        <f t="shared" si="9"/>
        <v>0</v>
      </c>
      <c r="AA36" s="112">
        <f>IF(D36="DEOK",$I$16*'BRA Load Pricing Results'!J53/'BRA Load Pricing Results'!$J$47,0)</f>
        <v>0</v>
      </c>
      <c r="AB36" s="113">
        <f t="shared" si="10"/>
        <v>0</v>
      </c>
      <c r="AC36" s="114">
        <f t="shared" si="16"/>
        <v>0</v>
      </c>
      <c r="AD36" s="24">
        <f t="shared" si="20"/>
        <v>0</v>
      </c>
      <c r="AE36" s="220">
        <f>AD36/'BRA Load Pricing Results'!J53</f>
        <v>0</v>
      </c>
      <c r="AF36" s="246">
        <f t="shared" si="21"/>
        <v>0</v>
      </c>
      <c r="AG36" s="243"/>
      <c r="AH36" s="211"/>
      <c r="AI36" s="241"/>
      <c r="AJ36" s="241"/>
      <c r="AK36" s="242"/>
    </row>
    <row r="37" spans="1:37" x14ac:dyDescent="0.2">
      <c r="A37" s="45" t="s">
        <v>182</v>
      </c>
      <c r="B37" s="82"/>
      <c r="C37" s="82"/>
      <c r="D37" s="83"/>
      <c r="E37" s="112">
        <f>IF(B37="MAAC",$I$5*'BRA Load Pricing Results'!J54/'BRA Load Pricing Results'!$B$14,0)</f>
        <v>0</v>
      </c>
      <c r="F37" s="113">
        <f t="shared" si="12"/>
        <v>0</v>
      </c>
      <c r="G37" s="112">
        <f>IF(C37="EMAAC",$I$6*'BRA Load Pricing Results'!J54/'BRA Load Pricing Results'!$B$15,0)</f>
        <v>0</v>
      </c>
      <c r="H37" s="113">
        <f t="shared" si="17"/>
        <v>0</v>
      </c>
      <c r="I37" s="112">
        <f>IF(C37="SWMAAC",$I$7*'BRA Load Pricing Results'!J54/'BRA Load Pricing Results'!$B$16,0)</f>
        <v>0</v>
      </c>
      <c r="J37" s="113">
        <f t="shared" si="13"/>
        <v>0</v>
      </c>
      <c r="K37" s="112">
        <f>IF(D37="PS",$I$8*'BRA Load Pricing Results'!J54/'BRA Load Pricing Results'!$J$59,0)</f>
        <v>0</v>
      </c>
      <c r="L37" s="113">
        <f t="shared" si="14"/>
        <v>0</v>
      </c>
      <c r="M37" s="112">
        <f>IF(D37="DPL",$I$9*'BRA Load Pricing Results'!J54/'BRA Load Pricing Results'!$J$50,0)</f>
        <v>0</v>
      </c>
      <c r="N37" s="113">
        <f t="shared" si="6"/>
        <v>0</v>
      </c>
      <c r="O37" s="112">
        <f>IF(D37="PEPCO",$I$10*'BRA Load Pricing Results'!J54/'BRA Load Pricing Results'!$J$57,0)</f>
        <v>0</v>
      </c>
      <c r="P37" s="113">
        <f t="shared" si="15"/>
        <v>0</v>
      </c>
      <c r="Q37" s="112">
        <f>IF(D37="ATSI",$I$11*'BRA Load Pricing Results'!J54/'BRA Load Pricing Results'!$J$43,0)</f>
        <v>0</v>
      </c>
      <c r="R37" s="113">
        <f t="shared" si="7"/>
        <v>0</v>
      </c>
      <c r="S37" s="112">
        <f>IF(D37="COMED",$I$12*'BRA Load Pricing Results'!J54/'BRA Load Pricing Results'!$J$45,0)</f>
        <v>0</v>
      </c>
      <c r="T37" s="113">
        <f t="shared" si="8"/>
        <v>0</v>
      </c>
      <c r="U37" s="112">
        <f>IF(D37="BGE",$I$13*'BRA Load Pricing Results'!J54/'BRA Load Pricing Results'!$J$44,0)</f>
        <v>0</v>
      </c>
      <c r="V37" s="113">
        <f t="shared" si="19"/>
        <v>0</v>
      </c>
      <c r="W37" s="112">
        <f>IF(D37="PL",$I$14*'BRA Load Pricing Results'!J54/'BRA Load Pricing Results'!$J$58,0)</f>
        <v>0</v>
      </c>
      <c r="X37" s="113">
        <f t="shared" si="18"/>
        <v>0</v>
      </c>
      <c r="Y37" s="112">
        <f>IF(D37="DAYTON",$I$15*'BRA Load Pricing Results'!J54/'BRA Load Pricing Results'!$J$46,0)</f>
        <v>0</v>
      </c>
      <c r="Z37" s="113">
        <f t="shared" si="9"/>
        <v>0</v>
      </c>
      <c r="AA37" s="112">
        <f>IF(D37="DEOK",$I$16*'BRA Load Pricing Results'!J54/'BRA Load Pricing Results'!$J$47,0)</f>
        <v>0</v>
      </c>
      <c r="AB37" s="113">
        <f t="shared" si="10"/>
        <v>0</v>
      </c>
      <c r="AC37" s="114">
        <f t="shared" si="16"/>
        <v>0</v>
      </c>
      <c r="AD37" s="24">
        <f t="shared" si="20"/>
        <v>0</v>
      </c>
      <c r="AE37" s="220">
        <f>AD37/'BRA Load Pricing Results'!J54</f>
        <v>0</v>
      </c>
      <c r="AF37" s="246">
        <f t="shared" si="21"/>
        <v>0</v>
      </c>
      <c r="AG37" s="243"/>
      <c r="AH37" s="211"/>
      <c r="AI37" s="241"/>
      <c r="AJ37" s="241"/>
      <c r="AK37" s="242"/>
    </row>
    <row r="38" spans="1:37" x14ac:dyDescent="0.2">
      <c r="A38" s="45" t="s">
        <v>9</v>
      </c>
      <c r="B38" s="82" t="s">
        <v>28</v>
      </c>
      <c r="C38" s="82" t="s">
        <v>33</v>
      </c>
      <c r="D38" s="83"/>
      <c r="E38" s="112">
        <f>IF(B38="MAAC",$I$5*'BRA Load Pricing Results'!J55/'BRA Load Pricing Results'!$B$14,0)</f>
        <v>0</v>
      </c>
      <c r="F38" s="113">
        <f t="shared" si="12"/>
        <v>0</v>
      </c>
      <c r="G38" s="112">
        <f>IF(C38="EMAAC",$I$6*'BRA Load Pricing Results'!J55/'BRA Load Pricing Results'!$B$15,0)</f>
        <v>1166.5067928972612</v>
      </c>
      <c r="H38" s="113">
        <f>G38*$H$21</f>
        <v>4794.3429188077425</v>
      </c>
      <c r="I38" s="112">
        <f>IF(C38="SWMAAC",$I$7*'BRA Load Pricing Results'!J55/'BRA Load Pricing Results'!$B$16,0)</f>
        <v>0</v>
      </c>
      <c r="J38" s="113">
        <f t="shared" si="13"/>
        <v>0</v>
      </c>
      <c r="K38" s="112">
        <f>IF(D38="PS",$I$8*'BRA Load Pricing Results'!J55/'BRA Load Pricing Results'!$J$59,0)</f>
        <v>0</v>
      </c>
      <c r="L38" s="113">
        <f t="shared" si="14"/>
        <v>0</v>
      </c>
      <c r="M38" s="112">
        <f>IF(D38="DPL",$I$9*'BRA Load Pricing Results'!J55/'BRA Load Pricing Results'!$J$50,0)</f>
        <v>0</v>
      </c>
      <c r="N38" s="113">
        <f t="shared" si="6"/>
        <v>0</v>
      </c>
      <c r="O38" s="112">
        <f>IF(D38="PEPCO",$I$10*'BRA Load Pricing Results'!J55/'BRA Load Pricing Results'!$J$57,0)</f>
        <v>0</v>
      </c>
      <c r="P38" s="113">
        <f t="shared" si="15"/>
        <v>0</v>
      </c>
      <c r="Q38" s="112">
        <f>IF(D38="ATSI",$I$11*'BRA Load Pricing Results'!J55/'BRA Load Pricing Results'!$J$43,0)</f>
        <v>0</v>
      </c>
      <c r="R38" s="113">
        <f t="shared" si="7"/>
        <v>0</v>
      </c>
      <c r="S38" s="112">
        <f>IF(D38="COMED",$I$12*'BRA Load Pricing Results'!J55/'BRA Load Pricing Results'!$J$45,0)</f>
        <v>0</v>
      </c>
      <c r="T38" s="113">
        <f t="shared" si="8"/>
        <v>0</v>
      </c>
      <c r="U38" s="112">
        <f>IF(D38="BGE",$I$13*'BRA Load Pricing Results'!J55/'BRA Load Pricing Results'!$J$44,0)</f>
        <v>0</v>
      </c>
      <c r="V38" s="113">
        <f t="shared" si="19"/>
        <v>0</v>
      </c>
      <c r="W38" s="112">
        <f>IF(D38="PL",$I$14*'BRA Load Pricing Results'!J55/'BRA Load Pricing Results'!$J$58,0)</f>
        <v>0</v>
      </c>
      <c r="X38" s="113">
        <f t="shared" si="18"/>
        <v>0</v>
      </c>
      <c r="Y38" s="112">
        <f>IF(D38="DAYTON",$I$15*'BRA Load Pricing Results'!J55/'BRA Load Pricing Results'!$J$46,0)</f>
        <v>0</v>
      </c>
      <c r="Z38" s="113">
        <f t="shared" si="9"/>
        <v>0</v>
      </c>
      <c r="AA38" s="112">
        <f>IF(D38="DEOK",$I$16*'BRA Load Pricing Results'!J55/'BRA Load Pricing Results'!$J$47,0)</f>
        <v>0</v>
      </c>
      <c r="AB38" s="113">
        <f t="shared" si="10"/>
        <v>0</v>
      </c>
      <c r="AC38" s="114">
        <f t="shared" si="16"/>
        <v>1166.5067928972612</v>
      </c>
      <c r="AD38" s="24">
        <f t="shared" si="20"/>
        <v>4794.3429188077425</v>
      </c>
      <c r="AE38" s="220">
        <f>AD38/'BRA Load Pricing Results'!J55</f>
        <v>0.48465117497361032</v>
      </c>
      <c r="AF38" s="246">
        <f t="shared" si="21"/>
        <v>4.1099999999999994</v>
      </c>
      <c r="AG38" s="243"/>
      <c r="AH38" s="211"/>
      <c r="AI38" s="241"/>
      <c r="AJ38" s="241"/>
      <c r="AK38" s="242"/>
    </row>
    <row r="39" spans="1:37" x14ac:dyDescent="0.2">
      <c r="A39" s="45" t="s">
        <v>14</v>
      </c>
      <c r="B39" s="82" t="s">
        <v>28</v>
      </c>
      <c r="C39" s="82"/>
      <c r="D39" s="83"/>
      <c r="E39" s="112">
        <f>IF(B39="MAAC",$I$5*'BRA Load Pricing Results'!J56/'BRA Load Pricing Results'!$B$14,0)</f>
        <v>0</v>
      </c>
      <c r="F39" s="113">
        <f t="shared" si="12"/>
        <v>0</v>
      </c>
      <c r="G39" s="112">
        <f>IF(C39="EMAAC",$I$6*'BRA Load Pricing Results'!J56/'BRA Load Pricing Results'!$B$15,0)</f>
        <v>0</v>
      </c>
      <c r="H39" s="113">
        <f t="shared" si="17"/>
        <v>0</v>
      </c>
      <c r="I39" s="112">
        <f>IF(C39="SWMAAC",$I$7*'BRA Load Pricing Results'!J56/'BRA Load Pricing Results'!$B$16,0)</f>
        <v>0</v>
      </c>
      <c r="J39" s="113">
        <f t="shared" si="13"/>
        <v>0</v>
      </c>
      <c r="K39" s="112">
        <f>IF(D39="PS",$I$8*'BRA Load Pricing Results'!J56/'BRA Load Pricing Results'!$J$59,0)</f>
        <v>0</v>
      </c>
      <c r="L39" s="113">
        <f t="shared" si="14"/>
        <v>0</v>
      </c>
      <c r="M39" s="112">
        <f>IF(D39="DPL",$I$9*'BRA Load Pricing Results'!J56/'BRA Load Pricing Results'!$J$50,0)</f>
        <v>0</v>
      </c>
      <c r="N39" s="113">
        <f t="shared" si="6"/>
        <v>0</v>
      </c>
      <c r="O39" s="112">
        <f>IF(D39="PEPCO",$I$10*'BRA Load Pricing Results'!J56/'BRA Load Pricing Results'!$J$57,0)</f>
        <v>0</v>
      </c>
      <c r="P39" s="113">
        <f t="shared" si="15"/>
        <v>0</v>
      </c>
      <c r="Q39" s="112">
        <f>IF(D39="ATSI",$I$11*'BRA Load Pricing Results'!J56/'BRA Load Pricing Results'!$J$43,0)</f>
        <v>0</v>
      </c>
      <c r="R39" s="113">
        <f t="shared" si="7"/>
        <v>0</v>
      </c>
      <c r="S39" s="112">
        <f>IF(D39="COMED",$I$12*'BRA Load Pricing Results'!J56/'BRA Load Pricing Results'!$J$45,0)</f>
        <v>0</v>
      </c>
      <c r="T39" s="113">
        <f t="shared" si="8"/>
        <v>0</v>
      </c>
      <c r="U39" s="112">
        <f>IF(D39="BGE",$I$13*'BRA Load Pricing Results'!J56/'BRA Load Pricing Results'!$J$44,0)</f>
        <v>0</v>
      </c>
      <c r="V39" s="113">
        <f t="shared" si="19"/>
        <v>0</v>
      </c>
      <c r="W39" s="112">
        <f>IF(D39="PL",$I$14*'BRA Load Pricing Results'!J56/'BRA Load Pricing Results'!$J$58,0)</f>
        <v>0</v>
      </c>
      <c r="X39" s="113">
        <f>W39*$X$21</f>
        <v>0</v>
      </c>
      <c r="Y39" s="112">
        <f>IF(D39="DAYTON",$I$15*'BRA Load Pricing Results'!J56/'BRA Load Pricing Results'!$J$46,0)</f>
        <v>0</v>
      </c>
      <c r="Z39" s="113">
        <f t="shared" si="9"/>
        <v>0</v>
      </c>
      <c r="AA39" s="112">
        <f>IF(D39="DEOK",$I$16*'BRA Load Pricing Results'!J56/'BRA Load Pricing Results'!$J$47,0)</f>
        <v>0</v>
      </c>
      <c r="AB39" s="113">
        <f t="shared" si="10"/>
        <v>0</v>
      </c>
      <c r="AC39" s="114">
        <f t="shared" si="16"/>
        <v>0</v>
      </c>
      <c r="AD39" s="24">
        <f t="shared" si="20"/>
        <v>0</v>
      </c>
      <c r="AE39" s="220">
        <f>AD39/'BRA Load Pricing Results'!J56</f>
        <v>0</v>
      </c>
      <c r="AF39" s="246">
        <f t="shared" si="21"/>
        <v>0</v>
      </c>
      <c r="AG39" s="243"/>
      <c r="AH39" s="211"/>
      <c r="AI39" s="241"/>
      <c r="AJ39" s="241"/>
      <c r="AK39" s="242"/>
    </row>
    <row r="40" spans="1:37" x14ac:dyDescent="0.2">
      <c r="A40" s="45" t="s">
        <v>15</v>
      </c>
      <c r="B40" s="82" t="s">
        <v>28</v>
      </c>
      <c r="C40" s="82" t="s">
        <v>5</v>
      </c>
      <c r="D40" s="83" t="s">
        <v>15</v>
      </c>
      <c r="E40" s="112">
        <f>IF(B40="MAAC",$I$5*'BRA Load Pricing Results'!J57/'BRA Load Pricing Results'!$B$14,0)</f>
        <v>0</v>
      </c>
      <c r="F40" s="113">
        <f t="shared" si="12"/>
        <v>0</v>
      </c>
      <c r="G40" s="112">
        <f>IF(C40="EMAAC",$I$6*'BRA Load Pricing Results'!J57/'BRA Load Pricing Results'!$B$15,0)</f>
        <v>0</v>
      </c>
      <c r="H40" s="113">
        <f t="shared" si="17"/>
        <v>0</v>
      </c>
      <c r="I40" s="112">
        <f>IF(C40="SWMAAC",$I$7*'BRA Load Pricing Results'!J57/'BRA Load Pricing Results'!$B$16,0)</f>
        <v>2674.3416320473871</v>
      </c>
      <c r="J40" s="113">
        <f>I40*$J$21</f>
        <v>0</v>
      </c>
      <c r="K40" s="112">
        <f>IF(D40="PS",$I$8*'BRA Load Pricing Results'!J57/'BRA Load Pricing Results'!$J$59,0)</f>
        <v>0</v>
      </c>
      <c r="L40" s="113">
        <f t="shared" si="14"/>
        <v>0</v>
      </c>
      <c r="M40" s="112">
        <f>IF(D40="DPL",$I$9*'BRA Load Pricing Results'!J57/'BRA Load Pricing Results'!$J$50,0)</f>
        <v>0</v>
      </c>
      <c r="N40" s="113">
        <f>M40*N21</f>
        <v>0</v>
      </c>
      <c r="O40" s="112">
        <f>IF(D40="PEPCO",$I$10*'BRA Load Pricing Results'!J57/'BRA Load Pricing Results'!$J$57,0)</f>
        <v>3384.2137207874453</v>
      </c>
      <c r="P40" s="113">
        <f>O40*$P$21</f>
        <v>0</v>
      </c>
      <c r="Q40" s="112">
        <f>IF(D40="ATSI",$I$11*'BRA Load Pricing Results'!J57/'BRA Load Pricing Results'!$J$43,0)</f>
        <v>0</v>
      </c>
      <c r="R40" s="113">
        <f t="shared" si="7"/>
        <v>0</v>
      </c>
      <c r="S40" s="112">
        <f>IF(D40="COMED",$I$12*'BRA Load Pricing Results'!J57/'BRA Load Pricing Results'!$J$45,0)</f>
        <v>0</v>
      </c>
      <c r="T40" s="113">
        <f t="shared" si="8"/>
        <v>0</v>
      </c>
      <c r="U40" s="112">
        <f>IF(D40="BGE",$I$13*'BRA Load Pricing Results'!J57/'BRA Load Pricing Results'!$J$44,0)</f>
        <v>0</v>
      </c>
      <c r="V40" s="113">
        <f t="shared" si="19"/>
        <v>0</v>
      </c>
      <c r="W40" s="112">
        <f>IF(D40="PL",$I$14*'BRA Load Pricing Results'!J57/'BRA Load Pricing Results'!$J$58,0)</f>
        <v>0</v>
      </c>
      <c r="X40" s="113">
        <f t="shared" si="18"/>
        <v>0</v>
      </c>
      <c r="Y40" s="112">
        <f>IF(D40="DAYTON",$I$15*'BRA Load Pricing Results'!J57/'BRA Load Pricing Results'!$J$46,0)</f>
        <v>0</v>
      </c>
      <c r="Z40" s="113">
        <f t="shared" si="9"/>
        <v>0</v>
      </c>
      <c r="AA40" s="112">
        <f>IF(D40="DEOK",$I$16*'BRA Load Pricing Results'!J57/'BRA Load Pricing Results'!$J$47,0)</f>
        <v>0</v>
      </c>
      <c r="AB40" s="113">
        <f t="shared" si="10"/>
        <v>0</v>
      </c>
      <c r="AC40" s="114">
        <f t="shared" si="16"/>
        <v>3384.2137207874453</v>
      </c>
      <c r="AD40" s="24">
        <f t="shared" si="20"/>
        <v>0</v>
      </c>
      <c r="AE40" s="220">
        <f>AD40/'BRA Load Pricing Results'!J57</f>
        <v>0</v>
      </c>
      <c r="AF40" s="246">
        <f t="shared" si="21"/>
        <v>0</v>
      </c>
      <c r="AG40" s="243"/>
      <c r="AH40" s="211"/>
      <c r="AI40" s="241"/>
      <c r="AJ40" s="241"/>
      <c r="AK40" s="242"/>
    </row>
    <row r="41" spans="1:37" x14ac:dyDescent="0.2">
      <c r="A41" s="45" t="s">
        <v>10</v>
      </c>
      <c r="B41" s="82" t="s">
        <v>28</v>
      </c>
      <c r="C41" s="82"/>
      <c r="D41" s="83" t="s">
        <v>10</v>
      </c>
      <c r="E41" s="112">
        <f>IF(B41="MAAC",$I$5*'BRA Load Pricing Results'!J58/'BRA Load Pricing Results'!$B$14,0)</f>
        <v>0</v>
      </c>
      <c r="F41" s="113">
        <f t="shared" si="12"/>
        <v>0</v>
      </c>
      <c r="G41" s="112">
        <f>IF(C41="EMAAC",$I$6*'BRA Load Pricing Results'!J58/'BRA Load Pricing Results'!$B$15,0)</f>
        <v>0</v>
      </c>
      <c r="H41" s="113">
        <f t="shared" si="17"/>
        <v>0</v>
      </c>
      <c r="I41" s="112">
        <f>IF(C41="SWMAAC",$I$7*'BRA Load Pricing Results'!J58/'BRA Load Pricing Results'!$B$16,0)</f>
        <v>0</v>
      </c>
      <c r="J41" s="113">
        <f t="shared" si="13"/>
        <v>0</v>
      </c>
      <c r="K41" s="112">
        <f>IF(D41="PS",$I$8*'BRA Load Pricing Results'!J58/'BRA Load Pricing Results'!$J$59,0)</f>
        <v>0</v>
      </c>
      <c r="L41" s="113">
        <f t="shared" si="14"/>
        <v>0</v>
      </c>
      <c r="M41" s="112">
        <f>IF(D41="DPL",$I$9*'BRA Load Pricing Results'!J58/'BRA Load Pricing Results'!$J$50,0)</f>
        <v>0</v>
      </c>
      <c r="N41" s="113">
        <f>M41*$N$21</f>
        <v>0</v>
      </c>
      <c r="O41" s="112">
        <f>IF(D41="PEPCO",$I$10*'BRA Load Pricing Results'!J58/'BRA Load Pricing Results'!$J$57,0)</f>
        <v>0</v>
      </c>
      <c r="P41" s="113">
        <f>O41*$P$21</f>
        <v>0</v>
      </c>
      <c r="Q41" s="112">
        <f>IF(D41="ATSI",$I$11*'BRA Load Pricing Results'!J58/'BRA Load Pricing Results'!$J$43,0)</f>
        <v>0</v>
      </c>
      <c r="R41" s="113">
        <f>Q41*$R$21</f>
        <v>0</v>
      </c>
      <c r="S41" s="112">
        <f>IF(D41="COMED",$I$12*'BRA Load Pricing Results'!J58/'BRA Load Pricing Results'!$J$45,0)</f>
        <v>0</v>
      </c>
      <c r="T41" s="113">
        <f t="shared" si="8"/>
        <v>0</v>
      </c>
      <c r="U41" s="112">
        <f>IF(D41="BGE",$I$13*'BRA Load Pricing Results'!J58/'BRA Load Pricing Results'!$J$44,0)</f>
        <v>0</v>
      </c>
      <c r="V41" s="113">
        <f t="shared" si="19"/>
        <v>0</v>
      </c>
      <c r="W41" s="112">
        <f>IF(D41="PL",$I$14*'BRA Load Pricing Results'!J58/'BRA Load Pricing Results'!$J$58,0)</f>
        <v>-1444.8434500984076</v>
      </c>
      <c r="X41" s="113">
        <f>W41*$X$21</f>
        <v>0</v>
      </c>
      <c r="Y41" s="112">
        <f>IF(D41="DAYTON",$I$15*'BRA Load Pricing Results'!J58/'BRA Load Pricing Results'!$J$46,0)</f>
        <v>0</v>
      </c>
      <c r="Z41" s="113">
        <f t="shared" si="9"/>
        <v>0</v>
      </c>
      <c r="AA41" s="112">
        <f>IF(D41="DEOK",$I$16*'BRA Load Pricing Results'!J58/'BRA Load Pricing Results'!$J$47,0)</f>
        <v>0</v>
      </c>
      <c r="AB41" s="113">
        <f>AA41*$AB$21</f>
        <v>0</v>
      </c>
      <c r="AC41" s="114">
        <f t="shared" si="16"/>
        <v>0</v>
      </c>
      <c r="AD41" s="24">
        <f t="shared" si="20"/>
        <v>0</v>
      </c>
      <c r="AE41" s="220">
        <f>AD41/'BRA Load Pricing Results'!J58</f>
        <v>0</v>
      </c>
      <c r="AF41" s="246">
        <f t="shared" si="21"/>
        <v>0</v>
      </c>
      <c r="AG41" s="243"/>
      <c r="AH41" s="211"/>
      <c r="AI41" s="241"/>
      <c r="AJ41" s="241"/>
      <c r="AK41" s="242"/>
    </row>
    <row r="42" spans="1:37" x14ac:dyDescent="0.2">
      <c r="A42" s="45" t="s">
        <v>8</v>
      </c>
      <c r="B42" s="82" t="s">
        <v>28</v>
      </c>
      <c r="C42" s="82" t="s">
        <v>33</v>
      </c>
      <c r="D42" s="83" t="s">
        <v>8</v>
      </c>
      <c r="E42" s="112">
        <f>IF(B42="MAAC",$I$5*'BRA Load Pricing Results'!J59/'BRA Load Pricing Results'!$B$14,0)</f>
        <v>0</v>
      </c>
      <c r="F42" s="113">
        <f t="shared" si="12"/>
        <v>0</v>
      </c>
      <c r="G42" s="112">
        <f>IF(C42="EMAAC",$I$6*'BRA Load Pricing Results'!J59/'BRA Load Pricing Results'!$B$15,0)</f>
        <v>1329.0516454802892</v>
      </c>
      <c r="H42" s="113">
        <f>G42*$H$21</f>
        <v>5462.402262923988</v>
      </c>
      <c r="I42" s="112">
        <f>IF(C42="SWMAAC",$I$7*'BRA Load Pricing Results'!J59/'BRA Load Pricing Results'!$B$16,0)</f>
        <v>0</v>
      </c>
      <c r="J42" s="113">
        <f t="shared" si="13"/>
        <v>0</v>
      </c>
      <c r="K42" s="112">
        <f>IF(D42="PS",$I$8*'BRA Load Pricing Results'!J59/'BRA Load Pricing Results'!$J$59,0)</f>
        <v>5158.9913340381745</v>
      </c>
      <c r="L42" s="327">
        <f>K42*$L$21</f>
        <v>0</v>
      </c>
      <c r="M42" s="112">
        <f>IF(D42="DPL",$I$9*'BRA Load Pricing Results'!J59/'BRA Load Pricing Results'!$J$50,0)</f>
        <v>0</v>
      </c>
      <c r="N42" s="113">
        <f>M42*$N$21</f>
        <v>0</v>
      </c>
      <c r="O42" s="112">
        <f>IF(D42="PEPCO",$I$10*'BRA Load Pricing Results'!J59/'BRA Load Pricing Results'!$J$57,0)</f>
        <v>0</v>
      </c>
      <c r="P42" s="113">
        <f>O42*$P$21</f>
        <v>0</v>
      </c>
      <c r="Q42" s="112">
        <f>IF(D42="ATSI",$I$11*'BRA Load Pricing Results'!J59/'BRA Load Pricing Results'!$J$43,0)</f>
        <v>0</v>
      </c>
      <c r="R42" s="113">
        <f t="shared" si="7"/>
        <v>0</v>
      </c>
      <c r="S42" s="112">
        <f>IF(D42="COMED",$I$12*'BRA Load Pricing Results'!J59/'BRA Load Pricing Results'!$J$45,0)</f>
        <v>0</v>
      </c>
      <c r="T42" s="113">
        <f t="shared" si="8"/>
        <v>0</v>
      </c>
      <c r="U42" s="112">
        <f>IF(D42="BGE",$I$13*'BRA Load Pricing Results'!J59/'BRA Load Pricing Results'!$J$44,0)</f>
        <v>0</v>
      </c>
      <c r="V42" s="113">
        <f t="shared" si="19"/>
        <v>0</v>
      </c>
      <c r="W42" s="112">
        <f>IF(D42="PL",$I$14*'BRA Load Pricing Results'!J59/'BRA Load Pricing Results'!$J$58,0)</f>
        <v>0</v>
      </c>
      <c r="X42" s="113">
        <f>W42*$X$21</f>
        <v>0</v>
      </c>
      <c r="Y42" s="112">
        <f>IF(D42="DAYTON",$I$15*'BRA Load Pricing Results'!J59/'BRA Load Pricing Results'!$J$46,0)</f>
        <v>0</v>
      </c>
      <c r="Z42" s="113">
        <f t="shared" si="9"/>
        <v>0</v>
      </c>
      <c r="AA42" s="112">
        <f>IF(D42="DEOK",$I$16*'BRA Load Pricing Results'!J59/'BRA Load Pricing Results'!$J$47,0)</f>
        <v>0</v>
      </c>
      <c r="AB42" s="113">
        <f>AA42*$AB$21</f>
        <v>0</v>
      </c>
      <c r="AC42" s="114">
        <f t="shared" si="16"/>
        <v>5158.9913340381745</v>
      </c>
      <c r="AD42" s="24">
        <f t="shared" si="20"/>
        <v>5462.402262923988</v>
      </c>
      <c r="AE42" s="220">
        <f>AD42/'BRA Load Pricing Results'!J59</f>
        <v>0.48465117497361049</v>
      </c>
      <c r="AF42" s="246">
        <f t="shared" si="21"/>
        <v>1.0588120640722845</v>
      </c>
      <c r="AG42" s="243"/>
      <c r="AH42" s="211"/>
      <c r="AI42" s="241"/>
      <c r="AJ42" s="241"/>
      <c r="AK42" s="242"/>
    </row>
    <row r="43" spans="1:37" ht="13.5" thickBot="1" x14ac:dyDescent="0.25">
      <c r="A43" s="116" t="s">
        <v>18</v>
      </c>
      <c r="B43" s="86" t="s">
        <v>28</v>
      </c>
      <c r="C43" s="86" t="s">
        <v>33</v>
      </c>
      <c r="D43" s="87"/>
      <c r="E43" s="117">
        <f>IF(B43="MAAC",$I$5*'BRA Load Pricing Results'!J60/'BRA Load Pricing Results'!$B$14,0)</f>
        <v>0</v>
      </c>
      <c r="F43" s="118">
        <f t="shared" si="12"/>
        <v>0</v>
      </c>
      <c r="G43" s="117">
        <f>IF(C43="EMAAC",$I$6*'BRA Load Pricing Results'!J60/'BRA Load Pricing Results'!$B$15,0)</f>
        <v>53.655582406047941</v>
      </c>
      <c r="H43" s="118">
        <f>G43*$H$21</f>
        <v>220.52444368885702</v>
      </c>
      <c r="I43" s="117">
        <f>IF(C43="SWMAAC",$I$7*'BRA Load Pricing Results'!J60/'BRA Load Pricing Results'!$B$16,0)</f>
        <v>0</v>
      </c>
      <c r="J43" s="118">
        <f t="shared" si="13"/>
        <v>0</v>
      </c>
      <c r="K43" s="117">
        <f>IF(D43="PS",$I$8*'BRA Load Pricing Results'!J60/'BRA Load Pricing Results'!$J$59,0)</f>
        <v>0</v>
      </c>
      <c r="L43" s="118">
        <f t="shared" si="14"/>
        <v>0</v>
      </c>
      <c r="M43" s="117">
        <f>IF(D43="DPL",$I$9*'BRA Load Pricing Results'!J60/'BRA Load Pricing Results'!$J$50,0)</f>
        <v>0</v>
      </c>
      <c r="N43" s="118">
        <f>M43*$N$21</f>
        <v>0</v>
      </c>
      <c r="O43" s="117">
        <f>IF(D43="PEPCO",$I$10*'BRA Load Pricing Results'!J60/'BRA Load Pricing Results'!$J$57,0)</f>
        <v>0</v>
      </c>
      <c r="P43" s="118">
        <f>O43*$P$21</f>
        <v>0</v>
      </c>
      <c r="Q43" s="117">
        <f>IF(D43="ATSI",$I$11*'BRA Load Pricing Results'!J60/'BRA Load Pricing Results'!$J$43,0)</f>
        <v>0</v>
      </c>
      <c r="R43" s="118">
        <f t="shared" si="7"/>
        <v>0</v>
      </c>
      <c r="S43" s="112">
        <f>IF(D43="COMED",$I$12*'BRA Load Pricing Results'!J60/'BRA Load Pricing Results'!$J$45,0)</f>
        <v>0</v>
      </c>
      <c r="T43" s="113">
        <f t="shared" si="8"/>
        <v>0</v>
      </c>
      <c r="U43" s="112">
        <f>IF(D43="BGE",$I$13*'BRA Load Pricing Results'!J60/'BRA Load Pricing Results'!$J$44,0)</f>
        <v>0</v>
      </c>
      <c r="V43" s="113">
        <f t="shared" si="19"/>
        <v>0</v>
      </c>
      <c r="W43" s="112">
        <f>IF(D43="PL",$I$14*'BRA Load Pricing Results'!J60/'BRA Load Pricing Results'!$J$58,0)</f>
        <v>0</v>
      </c>
      <c r="X43" s="113">
        <f>W43*$X$21</f>
        <v>0</v>
      </c>
      <c r="Y43" s="112">
        <f>IF(D43="DAYTON",$I$15*'BRA Load Pricing Results'!J60/'BRA Load Pricing Results'!$J$46,0)</f>
        <v>0</v>
      </c>
      <c r="Z43" s="113">
        <f>Y43*$Z$21</f>
        <v>0</v>
      </c>
      <c r="AA43" s="112">
        <f>IF(D43="DEOK",$I$16*'BRA Load Pricing Results'!J60/'BRA Load Pricing Results'!$J$58,0)</f>
        <v>0</v>
      </c>
      <c r="AB43" s="113">
        <f>AA43*$AB$21</f>
        <v>0</v>
      </c>
      <c r="AC43" s="114">
        <f>MAX(E43,G43,I43,K43,M43,O43,Q43+S43+U43+W43+Y43+AA43)</f>
        <v>53.655582406047941</v>
      </c>
      <c r="AD43" s="24">
        <f>F43+H43+J43+L43+N43+P43+R43+T43+V43+X43+Z43+AB43</f>
        <v>220.52444368885702</v>
      </c>
      <c r="AE43" s="247">
        <f>AD43/'BRA Load Pricing Results'!J60</f>
        <v>0.48465117497361049</v>
      </c>
      <c r="AF43" s="248">
        <f t="shared" si="21"/>
        <v>4.1099999999999994</v>
      </c>
      <c r="AG43" s="243"/>
      <c r="AH43" s="211"/>
      <c r="AI43" s="241"/>
      <c r="AJ43" s="241"/>
      <c r="AK43" s="242"/>
    </row>
    <row r="44" spans="1:37" ht="13.5" thickBot="1" x14ac:dyDescent="0.25">
      <c r="A44" s="550" t="s">
        <v>64</v>
      </c>
      <c r="B44" s="551"/>
      <c r="C44" s="551"/>
      <c r="D44" s="552"/>
      <c r="E44" s="119">
        <f>SUM(E23:E43)</f>
        <v>0</v>
      </c>
      <c r="F44" s="120">
        <f>SUM(F23:F43)</f>
        <v>0</v>
      </c>
      <c r="G44" s="119">
        <f>SUM(G23:G43)</f>
        <v>4237.9302253333053</v>
      </c>
      <c r="H44" s="120">
        <f t="shared" ref="H44:V44" si="22">SUM(H23:H43)</f>
        <v>17417.893226119882</v>
      </c>
      <c r="I44" s="119">
        <f t="shared" si="22"/>
        <v>5571.1563995127381</v>
      </c>
      <c r="J44" s="120">
        <f t="shared" si="22"/>
        <v>0</v>
      </c>
      <c r="K44" s="119">
        <f>SUM(K23:K43)</f>
        <v>5158.9913340381745</v>
      </c>
      <c r="L44" s="120">
        <f t="shared" si="22"/>
        <v>0</v>
      </c>
      <c r="M44" s="119">
        <f t="shared" si="22"/>
        <v>-264.65039054376211</v>
      </c>
      <c r="N44" s="120">
        <f t="shared" si="22"/>
        <v>-29315.117613522667</v>
      </c>
      <c r="O44" s="119">
        <f t="shared" si="22"/>
        <v>3384.2137207874453</v>
      </c>
      <c r="P44" s="120">
        <f t="shared" si="22"/>
        <v>0</v>
      </c>
      <c r="Q44" s="119">
        <f t="shared" si="22"/>
        <v>4899.8033556924238</v>
      </c>
      <c r="R44" s="120">
        <f t="shared" si="22"/>
        <v>0</v>
      </c>
      <c r="S44" s="119">
        <f t="shared" si="22"/>
        <v>-1030.0246351495152</v>
      </c>
      <c r="T44" s="120">
        <f>SUM(T23:T43)</f>
        <v>0</v>
      </c>
      <c r="U44" s="119">
        <f t="shared" si="22"/>
        <v>4513.1426787252922</v>
      </c>
      <c r="V44" s="120">
        <f t="shared" si="22"/>
        <v>106103.98437683161</v>
      </c>
      <c r="W44" s="119">
        <f>SUM(W23:W43)</f>
        <v>-1444.8434500984076</v>
      </c>
      <c r="X44" s="120">
        <f>SUM(X23:X43)</f>
        <v>0</v>
      </c>
      <c r="Y44" s="119">
        <f t="shared" ref="Y44:Z44" si="23">SUM(Y23:Y43)</f>
        <v>2845.7444204324497</v>
      </c>
      <c r="Z44" s="120">
        <f t="shared" si="23"/>
        <v>0</v>
      </c>
      <c r="AA44" s="119">
        <f>SUM(AA23:AA43)</f>
        <v>3015.3524446039564</v>
      </c>
      <c r="AB44" s="120">
        <f t="shared" ref="AB44" si="24">SUM(AB23:AB43)</f>
        <v>202993.52657073832</v>
      </c>
      <c r="AC44" s="121"/>
      <c r="AD44" s="122">
        <f>SUM(AD23:AD43)</f>
        <v>297200.28656016715</v>
      </c>
      <c r="AE44" s="123"/>
      <c r="AF44" s="124"/>
      <c r="AG44" s="8"/>
    </row>
    <row r="45" spans="1:37" x14ac:dyDescent="0.2">
      <c r="A45" s="17" t="s">
        <v>65</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37" x14ac:dyDescent="0.2">
      <c r="A46" s="17" t="s">
        <v>66</v>
      </c>
      <c r="B46" s="15"/>
      <c r="C46" s="15"/>
      <c r="D46" s="15"/>
      <c r="E46" s="15"/>
      <c r="F46" s="15"/>
      <c r="G46" s="15"/>
      <c r="H46" s="15"/>
      <c r="I46" s="15"/>
      <c r="J46" s="15"/>
      <c r="K46" s="44"/>
      <c r="L46" s="15"/>
      <c r="M46" s="15"/>
      <c r="N46" s="15"/>
      <c r="O46" s="15"/>
      <c r="P46" s="15"/>
      <c r="Q46" s="15"/>
      <c r="R46" s="15"/>
      <c r="S46" s="15"/>
      <c r="T46" s="15"/>
      <c r="U46" s="15"/>
      <c r="V46" s="15"/>
      <c r="W46" s="15"/>
      <c r="X46" s="15"/>
      <c r="Y46" s="15"/>
      <c r="Z46" s="15"/>
      <c r="AA46" s="15"/>
      <c r="AB46" s="15"/>
    </row>
    <row r="47" spans="1:37" x14ac:dyDescent="0.2">
      <c r="A47" s="17" t="s">
        <v>115</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37" x14ac:dyDescent="0.2">
      <c r="A48" s="17" t="s">
        <v>67</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
      <c r="A49" s="17" t="s">
        <v>68</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sheetData>
  <mergeCells count="14">
    <mergeCell ref="Y20:Z20"/>
    <mergeCell ref="AA20:AB20"/>
    <mergeCell ref="K20:L20"/>
    <mergeCell ref="M20:N20"/>
    <mergeCell ref="I20:J20"/>
    <mergeCell ref="U20:V20"/>
    <mergeCell ref="W20:X20"/>
    <mergeCell ref="A19:D21"/>
    <mergeCell ref="A44:D44"/>
    <mergeCell ref="E20:F20"/>
    <mergeCell ref="G20:H20"/>
    <mergeCell ref="S20:T20"/>
    <mergeCell ref="Q20:R20"/>
    <mergeCell ref="O20:P20"/>
  </mergeCells>
  <printOptions horizontalCentered="1" verticalCentered="1"/>
  <pageMargins left="0.45" right="0.45" top="0.5" bottom="0.5" header="0.3" footer="0.3"/>
  <pageSetup paperSize="17" scale="42" orientation="landscape" r:id="rId1"/>
  <ignoredErrors>
    <ignoredError sqref="D9:D10 D12:D13 D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F159"/>
  <sheetViews>
    <sheetView zoomScale="90" zoomScaleNormal="90" workbookViewId="0"/>
  </sheetViews>
  <sheetFormatPr defaultRowHeight="12.75" x14ac:dyDescent="0.2"/>
  <cols>
    <col min="1" max="1" width="55.7109375" customWidth="1"/>
    <col min="2"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92" t="s">
        <v>317</v>
      </c>
      <c r="B1" s="7" t="s">
        <v>24</v>
      </c>
    </row>
    <row r="2" spans="1:23" ht="19.5" thickBot="1" x14ac:dyDescent="0.35">
      <c r="A2" s="3"/>
      <c r="C2" s="7"/>
      <c r="F2" s="300" t="s">
        <v>24</v>
      </c>
      <c r="G2" s="300" t="s">
        <v>24</v>
      </c>
      <c r="H2" s="300" t="s">
        <v>24</v>
      </c>
      <c r="I2" s="285" t="s">
        <v>24</v>
      </c>
    </row>
    <row r="3" spans="1:23" ht="13.5" customHeight="1" thickBot="1" x14ac:dyDescent="0.25">
      <c r="A3" s="559" t="s">
        <v>56</v>
      </c>
      <c r="B3" s="15"/>
      <c r="C3" s="127" t="s">
        <v>105</v>
      </c>
      <c r="D3" s="15"/>
      <c r="E3" s="15"/>
      <c r="F3" s="15"/>
      <c r="G3" s="15"/>
      <c r="H3" s="15"/>
      <c r="I3" s="127" t="s">
        <v>105</v>
      </c>
      <c r="J3" s="15"/>
      <c r="K3" s="15"/>
      <c r="L3" s="15"/>
      <c r="M3" s="15"/>
      <c r="N3" s="127" t="s">
        <v>105</v>
      </c>
      <c r="O3" s="15"/>
      <c r="P3" s="15"/>
      <c r="Q3" s="15"/>
      <c r="R3" s="15"/>
      <c r="S3" s="15"/>
      <c r="T3" s="15"/>
      <c r="U3" s="15"/>
      <c r="V3" s="15"/>
      <c r="W3" s="15"/>
    </row>
    <row r="4" spans="1:23" ht="18.75" customHeight="1" thickBot="1" x14ac:dyDescent="0.25">
      <c r="A4" s="560"/>
      <c r="B4" s="184" t="s">
        <v>28</v>
      </c>
      <c r="C4" s="184" t="s">
        <v>28</v>
      </c>
      <c r="D4" s="185" t="s">
        <v>33</v>
      </c>
      <c r="E4" s="185" t="s">
        <v>5</v>
      </c>
      <c r="F4" s="185" t="s">
        <v>8</v>
      </c>
      <c r="G4" s="185" t="s">
        <v>34</v>
      </c>
      <c r="H4" s="185" t="s">
        <v>35</v>
      </c>
      <c r="I4" s="185" t="s">
        <v>35</v>
      </c>
      <c r="J4" s="185" t="s">
        <v>15</v>
      </c>
      <c r="K4" s="185" t="s">
        <v>11</v>
      </c>
      <c r="L4" s="185" t="s">
        <v>50</v>
      </c>
      <c r="M4" s="185" t="s">
        <v>20</v>
      </c>
      <c r="N4" s="185" t="s">
        <v>20</v>
      </c>
      <c r="O4" s="132"/>
      <c r="P4" s="132"/>
      <c r="Q4" s="15"/>
      <c r="R4" s="15"/>
      <c r="S4" s="15"/>
      <c r="T4" s="15"/>
      <c r="U4" s="15"/>
      <c r="V4" s="15"/>
      <c r="W4" s="15"/>
    </row>
    <row r="5" spans="1:23" ht="26.25" customHeight="1" thickBot="1" x14ac:dyDescent="0.25">
      <c r="A5" s="238" t="s">
        <v>85</v>
      </c>
      <c r="B5" s="265" t="s">
        <v>88</v>
      </c>
      <c r="C5" s="265" t="s">
        <v>106</v>
      </c>
      <c r="D5" s="266" t="s">
        <v>107</v>
      </c>
      <c r="E5" s="266" t="s">
        <v>107</v>
      </c>
      <c r="F5" s="266" t="s">
        <v>107</v>
      </c>
      <c r="G5" s="266" t="s">
        <v>107</v>
      </c>
      <c r="H5" s="266" t="s">
        <v>88</v>
      </c>
      <c r="I5" s="266" t="s">
        <v>106</v>
      </c>
      <c r="J5" s="266" t="s">
        <v>107</v>
      </c>
      <c r="K5" s="266" t="s">
        <v>107</v>
      </c>
      <c r="L5" s="266" t="s">
        <v>107</v>
      </c>
      <c r="M5" s="266" t="s">
        <v>107</v>
      </c>
      <c r="N5" s="266" t="s">
        <v>106</v>
      </c>
      <c r="O5" s="132"/>
      <c r="P5" s="132"/>
      <c r="Q5" s="25"/>
      <c r="R5" s="15"/>
      <c r="S5" s="15"/>
      <c r="T5" s="15"/>
      <c r="U5" s="15"/>
      <c r="V5" s="15"/>
      <c r="W5" s="15"/>
    </row>
    <row r="6" spans="1:23" ht="20.100000000000001" customHeight="1" x14ac:dyDescent="0.2">
      <c r="A6" s="186" t="s">
        <v>120</v>
      </c>
      <c r="B6" s="268"/>
      <c r="C6" s="268"/>
      <c r="D6" s="269"/>
      <c r="E6" s="269"/>
      <c r="F6" s="269"/>
      <c r="G6" s="269"/>
      <c r="H6" s="269"/>
      <c r="I6" s="269"/>
      <c r="J6" s="269"/>
      <c r="K6" s="269"/>
      <c r="L6" s="269"/>
      <c r="M6" s="269"/>
      <c r="N6" s="269"/>
      <c r="O6" s="132"/>
      <c r="P6" s="132"/>
      <c r="Q6" s="25"/>
      <c r="R6" s="15"/>
      <c r="S6" s="15"/>
      <c r="T6" s="15"/>
      <c r="U6" s="15"/>
      <c r="V6" s="15"/>
      <c r="W6" s="15"/>
    </row>
    <row r="7" spans="1:23" ht="20.100000000000001" customHeight="1" x14ac:dyDescent="0.2">
      <c r="A7" s="187" t="s">
        <v>80</v>
      </c>
      <c r="B7" s="171">
        <v>160</v>
      </c>
      <c r="C7" s="172">
        <f>'BRA CTRs'!$F$5*'BRA ICTRs'!B7/'BRA ICTRs'!$B$48</f>
        <v>105.50803863209924</v>
      </c>
      <c r="D7" s="172">
        <v>0</v>
      </c>
      <c r="E7" s="172">
        <v>0</v>
      </c>
      <c r="F7" s="172">
        <v>0</v>
      </c>
      <c r="G7" s="172">
        <v>0</v>
      </c>
      <c r="H7" s="172">
        <v>0</v>
      </c>
      <c r="I7" s="172">
        <v>0</v>
      </c>
      <c r="J7" s="172">
        <v>0</v>
      </c>
      <c r="K7" s="172">
        <v>0</v>
      </c>
      <c r="L7" s="172">
        <v>0</v>
      </c>
      <c r="M7" s="172">
        <v>0</v>
      </c>
      <c r="N7" s="172">
        <v>0</v>
      </c>
      <c r="O7" s="31"/>
      <c r="P7" s="31"/>
      <c r="Q7" s="25"/>
      <c r="R7" s="15"/>
      <c r="S7" s="15"/>
      <c r="T7" s="15"/>
      <c r="U7" s="15"/>
      <c r="V7" s="15"/>
      <c r="W7" s="15"/>
    </row>
    <row r="8" spans="1:23" ht="20.100000000000001" customHeight="1" x14ac:dyDescent="0.2">
      <c r="A8" s="187" t="s">
        <v>81</v>
      </c>
      <c r="B8" s="171">
        <v>106</v>
      </c>
      <c r="C8" s="172">
        <f>'BRA CTRs'!$F$5*'BRA ICTRs'!B8/'BRA ICTRs'!$B$48</f>
        <v>69.899075593765744</v>
      </c>
      <c r="D8" s="172">
        <v>0</v>
      </c>
      <c r="E8" s="172">
        <v>0</v>
      </c>
      <c r="F8" s="172">
        <v>0</v>
      </c>
      <c r="G8" s="172">
        <v>0</v>
      </c>
      <c r="H8" s="172">
        <v>0</v>
      </c>
      <c r="I8" s="172">
        <v>0</v>
      </c>
      <c r="J8" s="172">
        <v>0</v>
      </c>
      <c r="K8" s="172">
        <v>0</v>
      </c>
      <c r="L8" s="172">
        <v>0</v>
      </c>
      <c r="M8" s="172">
        <v>0</v>
      </c>
      <c r="N8" s="172">
        <v>0</v>
      </c>
      <c r="O8" s="31"/>
      <c r="P8" s="31"/>
      <c r="Q8" s="25"/>
      <c r="R8" s="15"/>
      <c r="S8" s="15"/>
      <c r="T8" s="15"/>
      <c r="U8" s="15"/>
      <c r="V8" s="15"/>
      <c r="W8" s="15"/>
    </row>
    <row r="9" spans="1:23" ht="20.100000000000001" customHeight="1" x14ac:dyDescent="0.2">
      <c r="A9" s="187" t="s">
        <v>83</v>
      </c>
      <c r="B9" s="171">
        <v>117</v>
      </c>
      <c r="C9" s="172">
        <f>'BRA CTRs'!$F$5*'BRA ICTRs'!B9/'BRA ICTRs'!$B$48</f>
        <v>77.152753249722565</v>
      </c>
      <c r="D9" s="172">
        <v>0</v>
      </c>
      <c r="E9" s="172">
        <v>0</v>
      </c>
      <c r="F9" s="172">
        <v>0</v>
      </c>
      <c r="G9" s="172">
        <v>0</v>
      </c>
      <c r="H9" s="172">
        <v>0</v>
      </c>
      <c r="I9" s="172">
        <v>0</v>
      </c>
      <c r="J9" s="172">
        <v>0</v>
      </c>
      <c r="K9" s="172">
        <v>0</v>
      </c>
      <c r="L9" s="172">
        <v>0</v>
      </c>
      <c r="M9" s="172">
        <v>0</v>
      </c>
      <c r="N9" s="172">
        <v>0</v>
      </c>
      <c r="O9" s="31"/>
      <c r="P9" s="31"/>
      <c r="Q9" s="25"/>
      <c r="R9" s="15"/>
      <c r="S9" s="15"/>
      <c r="T9" s="15"/>
      <c r="U9" s="15"/>
      <c r="V9" s="15"/>
      <c r="W9" s="15"/>
    </row>
    <row r="10" spans="1:23" ht="24.95" customHeight="1" x14ac:dyDescent="0.2">
      <c r="A10" s="187" t="s">
        <v>84</v>
      </c>
      <c r="B10" s="171">
        <v>0</v>
      </c>
      <c r="C10" s="172">
        <f>'BRA CTRs'!$F$5*'BRA ICTRs'!B10/'BRA ICTRs'!$B$48</f>
        <v>0</v>
      </c>
      <c r="D10" s="172">
        <v>898</v>
      </c>
      <c r="E10" s="172">
        <v>0</v>
      </c>
      <c r="F10" s="172">
        <v>68.900000000000006</v>
      </c>
      <c r="G10" s="172">
        <v>105.5</v>
      </c>
      <c r="H10" s="172">
        <v>0</v>
      </c>
      <c r="I10" s="172">
        <v>0</v>
      </c>
      <c r="J10" s="172">
        <v>0</v>
      </c>
      <c r="K10" s="172">
        <v>0</v>
      </c>
      <c r="L10" s="172">
        <v>0</v>
      </c>
      <c r="M10" s="172">
        <v>0</v>
      </c>
      <c r="N10" s="172">
        <v>0</v>
      </c>
      <c r="O10" s="31"/>
      <c r="P10" s="31"/>
      <c r="Q10" s="25"/>
      <c r="R10" s="15"/>
      <c r="S10" s="15"/>
      <c r="T10" s="15"/>
      <c r="U10" s="15"/>
      <c r="V10" s="15"/>
      <c r="W10" s="15"/>
    </row>
    <row r="11" spans="1:23" ht="20.100000000000001" customHeight="1" x14ac:dyDescent="0.2">
      <c r="A11" s="187" t="s">
        <v>102</v>
      </c>
      <c r="B11" s="171">
        <v>339</v>
      </c>
      <c r="C11" s="172">
        <f>'BRA CTRs'!$F$5*'BRA ICTRs'!B11/'BRA ICTRs'!$B$48</f>
        <v>223.54515685176025</v>
      </c>
      <c r="D11" s="172">
        <v>0</v>
      </c>
      <c r="E11" s="172">
        <v>0</v>
      </c>
      <c r="F11" s="172">
        <v>0</v>
      </c>
      <c r="G11" s="172">
        <v>0</v>
      </c>
      <c r="H11" s="172">
        <v>0</v>
      </c>
      <c r="I11" s="172">
        <v>0</v>
      </c>
      <c r="J11" s="172">
        <v>0</v>
      </c>
      <c r="K11" s="172">
        <v>0</v>
      </c>
      <c r="L11" s="172">
        <v>0</v>
      </c>
      <c r="M11" s="172">
        <v>0</v>
      </c>
      <c r="N11" s="172">
        <v>0</v>
      </c>
      <c r="O11" s="31"/>
      <c r="P11" s="31"/>
      <c r="Q11" s="25"/>
      <c r="R11" s="15"/>
      <c r="S11" s="15"/>
      <c r="T11" s="15"/>
      <c r="U11" s="15"/>
      <c r="V11" s="15"/>
      <c r="W11" s="15"/>
    </row>
    <row r="12" spans="1:23" ht="24.95" customHeight="1" x14ac:dyDescent="0.2">
      <c r="A12" s="187" t="s">
        <v>121</v>
      </c>
      <c r="B12" s="171">
        <v>0</v>
      </c>
      <c r="C12" s="172">
        <f>'BRA CTRs'!$F$5*'BRA ICTRs'!B12/'BRA ICTRs'!$B$48</f>
        <v>0</v>
      </c>
      <c r="D12" s="172">
        <v>0</v>
      </c>
      <c r="E12" s="172">
        <v>256</v>
      </c>
      <c r="F12" s="172">
        <v>0</v>
      </c>
      <c r="G12" s="172">
        <v>0</v>
      </c>
      <c r="H12" s="172">
        <v>0</v>
      </c>
      <c r="I12" s="172">
        <v>0</v>
      </c>
      <c r="J12" s="172">
        <v>0</v>
      </c>
      <c r="K12" s="172">
        <v>0</v>
      </c>
      <c r="L12" s="172">
        <v>0</v>
      </c>
      <c r="M12" s="172">
        <v>0</v>
      </c>
      <c r="N12" s="172">
        <v>0</v>
      </c>
      <c r="O12" s="31"/>
      <c r="P12" s="31"/>
      <c r="Q12" s="25"/>
      <c r="R12" s="15"/>
      <c r="S12" s="15"/>
      <c r="T12" s="15"/>
      <c r="U12" s="15"/>
      <c r="V12" s="15"/>
      <c r="W12" s="15"/>
    </row>
    <row r="13" spans="1:23" ht="20.100000000000001" customHeight="1" thickBot="1" x14ac:dyDescent="0.25">
      <c r="A13" s="253" t="s">
        <v>152</v>
      </c>
      <c r="B13" s="254">
        <f>SUM(B7:B12)</f>
        <v>722</v>
      </c>
      <c r="C13" s="254">
        <f>SUM(C7:C12)</f>
        <v>476.10502432734779</v>
      </c>
      <c r="D13" s="270">
        <f>SUM(D7:D12)</f>
        <v>898</v>
      </c>
      <c r="E13" s="270">
        <f t="shared" ref="E13:H13" si="0">SUM(E7:E12)</f>
        <v>256</v>
      </c>
      <c r="F13" s="270">
        <f t="shared" si="0"/>
        <v>68.900000000000006</v>
      </c>
      <c r="G13" s="270">
        <f t="shared" si="0"/>
        <v>105.5</v>
      </c>
      <c r="H13" s="270">
        <f t="shared" si="0"/>
        <v>0</v>
      </c>
      <c r="I13" s="270">
        <f t="shared" ref="I13:N13" si="1">SUM(I7:I12)</f>
        <v>0</v>
      </c>
      <c r="J13" s="270">
        <f t="shared" si="1"/>
        <v>0</v>
      </c>
      <c r="K13" s="270">
        <f t="shared" si="1"/>
        <v>0</v>
      </c>
      <c r="L13" s="270">
        <f t="shared" si="1"/>
        <v>0</v>
      </c>
      <c r="M13" s="270">
        <f t="shared" si="1"/>
        <v>0</v>
      </c>
      <c r="N13" s="270">
        <f t="shared" si="1"/>
        <v>0</v>
      </c>
      <c r="O13" s="31"/>
      <c r="P13" s="31"/>
      <c r="Q13" s="25"/>
      <c r="R13" s="15"/>
      <c r="S13" s="15"/>
      <c r="T13" s="15"/>
      <c r="U13" s="15"/>
      <c r="V13" s="15"/>
      <c r="W13" s="15"/>
    </row>
    <row r="14" spans="1:23" ht="20.100000000000001" customHeight="1" x14ac:dyDescent="0.2">
      <c r="A14" s="186" t="s">
        <v>117</v>
      </c>
      <c r="B14" s="271" t="s">
        <v>24</v>
      </c>
      <c r="C14" s="271" t="s">
        <v>24</v>
      </c>
      <c r="D14" s="272"/>
      <c r="E14" s="272"/>
      <c r="F14" s="272"/>
      <c r="G14" s="272"/>
      <c r="H14" s="272"/>
      <c r="I14" s="272"/>
      <c r="J14" s="272"/>
      <c r="K14" s="272"/>
      <c r="L14" s="272"/>
      <c r="M14" s="272"/>
      <c r="N14" s="272"/>
      <c r="O14" s="53"/>
      <c r="P14" s="133"/>
      <c r="Q14" s="25"/>
      <c r="R14" s="15"/>
      <c r="S14" s="15"/>
      <c r="T14" s="15"/>
      <c r="U14" s="15"/>
      <c r="V14" s="15"/>
      <c r="W14" s="15"/>
    </row>
    <row r="15" spans="1:23" ht="24.95" customHeight="1" x14ac:dyDescent="0.2">
      <c r="A15" s="187" t="s">
        <v>129</v>
      </c>
      <c r="B15" s="171">
        <v>16</v>
      </c>
      <c r="C15" s="172">
        <f>'BRA CTRs'!$F$5*'BRA ICTRs'!B15/'BRA ICTRs'!$B$48</f>
        <v>10.550803863209923</v>
      </c>
      <c r="D15" s="172">
        <v>0</v>
      </c>
      <c r="E15" s="172">
        <v>237</v>
      </c>
      <c r="F15" s="172">
        <v>0</v>
      </c>
      <c r="G15" s="172">
        <v>0</v>
      </c>
      <c r="H15" s="172">
        <v>0</v>
      </c>
      <c r="I15" s="172">
        <v>0</v>
      </c>
      <c r="J15" s="172">
        <v>0</v>
      </c>
      <c r="K15" s="172">
        <v>124</v>
      </c>
      <c r="L15" s="172">
        <v>0</v>
      </c>
      <c r="M15" s="172">
        <v>0</v>
      </c>
      <c r="N15" s="172">
        <v>0</v>
      </c>
      <c r="O15" s="53"/>
      <c r="P15" s="133"/>
      <c r="Q15" s="25"/>
      <c r="R15" s="15"/>
      <c r="S15" s="15"/>
      <c r="T15" s="15"/>
      <c r="U15" s="15"/>
      <c r="V15" s="15"/>
      <c r="W15" s="15"/>
    </row>
    <row r="16" spans="1:23" ht="24.95" customHeight="1" x14ac:dyDescent="0.2">
      <c r="A16" s="187" t="s">
        <v>97</v>
      </c>
      <c r="B16" s="171">
        <v>0</v>
      </c>
      <c r="C16" s="172">
        <f>'BRA CTRs'!$F$5*'BRA ICTRs'!B16/'BRA ICTRs'!$B$48</f>
        <v>0</v>
      </c>
      <c r="D16" s="172">
        <v>0</v>
      </c>
      <c r="E16" s="172">
        <v>0</v>
      </c>
      <c r="F16" s="172">
        <v>340.2</v>
      </c>
      <c r="G16" s="172">
        <v>494.5</v>
      </c>
      <c r="H16" s="172">
        <v>0</v>
      </c>
      <c r="I16" s="172">
        <v>0</v>
      </c>
      <c r="J16" s="172">
        <v>0</v>
      </c>
      <c r="K16" s="172">
        <v>0</v>
      </c>
      <c r="L16" s="172">
        <v>0</v>
      </c>
      <c r="M16" s="172">
        <v>0</v>
      </c>
      <c r="N16" s="172">
        <v>0</v>
      </c>
      <c r="O16" s="53"/>
      <c r="P16" s="133"/>
      <c r="Q16" s="25"/>
      <c r="R16" s="15"/>
      <c r="S16" s="15"/>
      <c r="T16" s="15"/>
      <c r="U16" s="15"/>
      <c r="V16" s="15"/>
      <c r="W16" s="15"/>
    </row>
    <row r="17" spans="1:23" ht="24.95" customHeight="1" x14ac:dyDescent="0.2">
      <c r="A17" s="187" t="s">
        <v>82</v>
      </c>
      <c r="B17" s="171">
        <v>0</v>
      </c>
      <c r="C17" s="172">
        <f>'BRA CTRs'!$F$5*'BRA ICTRs'!B17/'BRA ICTRs'!$B$48</f>
        <v>0</v>
      </c>
      <c r="D17" s="172">
        <v>0</v>
      </c>
      <c r="E17" s="172">
        <v>0</v>
      </c>
      <c r="F17" s="172">
        <v>90.3</v>
      </c>
      <c r="G17" s="172">
        <v>0</v>
      </c>
      <c r="H17" s="172">
        <v>0</v>
      </c>
      <c r="I17" s="172">
        <v>0</v>
      </c>
      <c r="J17" s="172">
        <v>0</v>
      </c>
      <c r="K17" s="172">
        <v>0</v>
      </c>
      <c r="L17" s="172">
        <v>0</v>
      </c>
      <c r="M17" s="172">
        <v>0</v>
      </c>
      <c r="N17" s="172">
        <v>0</v>
      </c>
      <c r="O17" s="53"/>
      <c r="P17" s="133"/>
      <c r="Q17" s="25"/>
      <c r="R17" s="15"/>
      <c r="S17" s="15"/>
      <c r="T17" s="15"/>
      <c r="U17" s="15"/>
      <c r="V17" s="15"/>
      <c r="W17" s="15"/>
    </row>
    <row r="18" spans="1:23" ht="24.95" customHeight="1" x14ac:dyDescent="0.2">
      <c r="A18" s="187" t="s">
        <v>130</v>
      </c>
      <c r="B18" s="171">
        <v>0</v>
      </c>
      <c r="C18" s="172">
        <f>'BRA CTRs'!$F$5*'BRA ICTRs'!B18/'BRA ICTRs'!$B$48</f>
        <v>0</v>
      </c>
      <c r="D18" s="172">
        <v>0</v>
      </c>
      <c r="E18" s="172">
        <v>0</v>
      </c>
      <c r="F18" s="172">
        <v>0</v>
      </c>
      <c r="G18" s="172">
        <v>0</v>
      </c>
      <c r="H18" s="172">
        <v>0</v>
      </c>
      <c r="I18" s="172">
        <v>0</v>
      </c>
      <c r="J18" s="172">
        <v>0</v>
      </c>
      <c r="K18" s="172">
        <v>182</v>
      </c>
      <c r="L18" s="172">
        <v>0</v>
      </c>
      <c r="M18" s="172">
        <v>0</v>
      </c>
      <c r="N18" s="172">
        <v>0</v>
      </c>
      <c r="O18" s="53"/>
      <c r="P18" s="133"/>
      <c r="Q18" s="25"/>
      <c r="R18" s="15"/>
      <c r="S18" s="15"/>
      <c r="T18" s="15"/>
      <c r="U18" s="15"/>
      <c r="V18" s="15"/>
      <c r="W18" s="15"/>
    </row>
    <row r="19" spans="1:23" ht="65.099999999999994" customHeight="1" x14ac:dyDescent="0.2">
      <c r="A19" s="273" t="s">
        <v>141</v>
      </c>
      <c r="B19" s="171">
        <v>0</v>
      </c>
      <c r="C19" s="172">
        <f>'BRA CTRs'!$F$5*'BRA ICTRs'!B19/'BRA ICTRs'!$B$48</f>
        <v>0</v>
      </c>
      <c r="D19" s="172">
        <v>50</v>
      </c>
      <c r="E19" s="172">
        <v>0</v>
      </c>
      <c r="F19" s="172">
        <v>0</v>
      </c>
      <c r="G19" s="172">
        <v>0</v>
      </c>
      <c r="H19" s="172">
        <v>0</v>
      </c>
      <c r="I19" s="172">
        <v>0</v>
      </c>
      <c r="J19" s="172">
        <v>175</v>
      </c>
      <c r="K19" s="172">
        <v>0</v>
      </c>
      <c r="L19" s="172">
        <v>0</v>
      </c>
      <c r="M19" s="172">
        <v>0</v>
      </c>
      <c r="N19" s="172">
        <v>0</v>
      </c>
      <c r="O19" s="53"/>
      <c r="P19" s="133"/>
      <c r="Q19" s="25"/>
      <c r="R19" s="15"/>
      <c r="S19" s="15"/>
      <c r="T19" s="15"/>
      <c r="U19" s="15"/>
      <c r="V19" s="15"/>
      <c r="W19" s="15"/>
    </row>
    <row r="20" spans="1:23" ht="38.25" x14ac:dyDescent="0.2">
      <c r="A20" s="273" t="s">
        <v>215</v>
      </c>
      <c r="B20" s="171">
        <v>0</v>
      </c>
      <c r="C20" s="172">
        <f>'BRA CTRs'!$F$5*'BRA ICTRs'!B20/'BRA ICTRs'!$B$48</f>
        <v>0</v>
      </c>
      <c r="D20" s="172">
        <v>0</v>
      </c>
      <c r="E20" s="172">
        <v>0</v>
      </c>
      <c r="F20" s="172">
        <v>30</v>
      </c>
      <c r="G20" s="172">
        <v>5</v>
      </c>
      <c r="H20" s="172">
        <v>0</v>
      </c>
      <c r="I20" s="172">
        <v>0</v>
      </c>
      <c r="J20" s="172">
        <v>0</v>
      </c>
      <c r="K20" s="172">
        <v>0</v>
      </c>
      <c r="L20" s="172">
        <v>0</v>
      </c>
      <c r="M20" s="172">
        <v>0</v>
      </c>
      <c r="N20" s="172">
        <v>0</v>
      </c>
      <c r="O20" s="53"/>
      <c r="P20" s="133"/>
      <c r="Q20" s="25"/>
      <c r="R20" s="15"/>
      <c r="S20" s="15"/>
      <c r="T20" s="15"/>
      <c r="U20" s="15"/>
      <c r="V20" s="15"/>
      <c r="W20" s="15"/>
    </row>
    <row r="21" spans="1:23" ht="38.25" x14ac:dyDescent="0.2">
      <c r="A21" s="273" t="s">
        <v>216</v>
      </c>
      <c r="B21" s="171">
        <v>0</v>
      </c>
      <c r="C21" s="172">
        <f>'BRA CTRs'!$F$5*'BRA ICTRs'!B21/'BRA ICTRs'!$B$48</f>
        <v>0</v>
      </c>
      <c r="D21" s="172">
        <v>0</v>
      </c>
      <c r="E21" s="172">
        <v>0</v>
      </c>
      <c r="F21" s="172">
        <v>17</v>
      </c>
      <c r="G21" s="172">
        <v>3</v>
      </c>
      <c r="H21" s="172">
        <v>0</v>
      </c>
      <c r="I21" s="172">
        <v>0</v>
      </c>
      <c r="J21" s="172">
        <v>0</v>
      </c>
      <c r="K21" s="172">
        <v>0</v>
      </c>
      <c r="L21" s="172">
        <v>0</v>
      </c>
      <c r="M21" s="172">
        <v>0</v>
      </c>
      <c r="N21" s="172">
        <v>0</v>
      </c>
      <c r="O21" s="53"/>
      <c r="P21" s="133"/>
      <c r="Q21" s="25"/>
      <c r="R21" s="15"/>
      <c r="S21" s="15"/>
      <c r="T21" s="15"/>
      <c r="U21" s="15"/>
      <c r="V21" s="15"/>
      <c r="W21" s="15"/>
    </row>
    <row r="22" spans="1:23" ht="38.25" x14ac:dyDescent="0.2">
      <c r="A22" s="273" t="s">
        <v>217</v>
      </c>
      <c r="B22" s="171">
        <v>0</v>
      </c>
      <c r="C22" s="172">
        <f>'BRA CTRs'!$F$5*'BRA ICTRs'!B22/'BRA ICTRs'!$B$48</f>
        <v>0</v>
      </c>
      <c r="D22" s="172">
        <v>0</v>
      </c>
      <c r="E22" s="172">
        <v>0</v>
      </c>
      <c r="F22" s="172">
        <v>5</v>
      </c>
      <c r="G22" s="172">
        <v>1</v>
      </c>
      <c r="H22" s="172">
        <v>0</v>
      </c>
      <c r="I22" s="172">
        <v>0</v>
      </c>
      <c r="J22" s="172">
        <v>0</v>
      </c>
      <c r="K22" s="172">
        <v>0</v>
      </c>
      <c r="L22" s="172">
        <v>0</v>
      </c>
      <c r="M22" s="172">
        <v>0</v>
      </c>
      <c r="N22" s="172">
        <v>0</v>
      </c>
      <c r="O22" s="53"/>
      <c r="P22" s="133"/>
      <c r="Q22" s="25"/>
      <c r="R22" s="15"/>
      <c r="S22" s="15"/>
      <c r="T22" s="15"/>
      <c r="U22" s="15"/>
      <c r="V22" s="15"/>
      <c r="W22" s="15"/>
    </row>
    <row r="23" spans="1:23" ht="38.25" x14ac:dyDescent="0.2">
      <c r="A23" s="273" t="s">
        <v>218</v>
      </c>
      <c r="B23" s="171">
        <v>0</v>
      </c>
      <c r="C23" s="172">
        <f>'BRA CTRs'!$F$5*'BRA ICTRs'!B23/'BRA ICTRs'!$B$48</f>
        <v>0</v>
      </c>
      <c r="D23" s="172">
        <v>0</v>
      </c>
      <c r="E23" s="172">
        <v>0</v>
      </c>
      <c r="F23" s="172">
        <v>4</v>
      </c>
      <c r="G23" s="172">
        <v>1</v>
      </c>
      <c r="H23" s="172">
        <v>0</v>
      </c>
      <c r="I23" s="172">
        <v>0</v>
      </c>
      <c r="J23" s="172">
        <v>0</v>
      </c>
      <c r="K23" s="172">
        <v>0</v>
      </c>
      <c r="L23" s="172">
        <v>0</v>
      </c>
      <c r="M23" s="172">
        <v>0</v>
      </c>
      <c r="N23" s="172">
        <v>0</v>
      </c>
      <c r="O23" s="53"/>
      <c r="P23" s="133"/>
      <c r="Q23" s="25"/>
      <c r="R23" s="15"/>
      <c r="S23" s="15"/>
      <c r="T23" s="15"/>
      <c r="U23" s="15"/>
      <c r="V23" s="15"/>
      <c r="W23" s="15"/>
    </row>
    <row r="24" spans="1:23" ht="38.25" x14ac:dyDescent="0.2">
      <c r="A24" s="273" t="s">
        <v>219</v>
      </c>
      <c r="B24" s="171">
        <v>0</v>
      </c>
      <c r="C24" s="172">
        <f>'BRA CTRs'!$F$5*'BRA ICTRs'!B24/'BRA ICTRs'!$B$48</f>
        <v>0</v>
      </c>
      <c r="D24" s="172">
        <v>0</v>
      </c>
      <c r="E24" s="172">
        <v>0</v>
      </c>
      <c r="F24" s="172">
        <v>19</v>
      </c>
      <c r="G24" s="172">
        <v>3</v>
      </c>
      <c r="H24" s="172">
        <v>0</v>
      </c>
      <c r="I24" s="172">
        <v>0</v>
      </c>
      <c r="J24" s="172">
        <v>0</v>
      </c>
      <c r="K24" s="172">
        <v>0</v>
      </c>
      <c r="L24" s="172">
        <v>0</v>
      </c>
      <c r="M24" s="172">
        <v>0</v>
      </c>
      <c r="N24" s="172">
        <v>0</v>
      </c>
      <c r="O24" s="53"/>
      <c r="P24" s="133"/>
      <c r="Q24" s="25"/>
      <c r="R24" s="15"/>
      <c r="S24" s="15"/>
      <c r="T24" s="15"/>
      <c r="U24" s="15"/>
      <c r="V24" s="15"/>
      <c r="W24" s="15"/>
    </row>
    <row r="25" spans="1:23" ht="38.25" x14ac:dyDescent="0.2">
      <c r="A25" s="273" t="s">
        <v>220</v>
      </c>
      <c r="B25" s="171">
        <v>0</v>
      </c>
      <c r="C25" s="172">
        <f>'BRA CTRs'!$F$5*'BRA ICTRs'!B25/'BRA ICTRs'!$B$48</f>
        <v>0</v>
      </c>
      <c r="D25" s="172">
        <v>0</v>
      </c>
      <c r="E25" s="172">
        <v>0</v>
      </c>
      <c r="F25" s="172">
        <v>21</v>
      </c>
      <c r="G25" s="172">
        <v>3</v>
      </c>
      <c r="H25" s="172">
        <v>0</v>
      </c>
      <c r="I25" s="172">
        <v>0</v>
      </c>
      <c r="J25" s="172">
        <v>0</v>
      </c>
      <c r="K25" s="172">
        <v>0</v>
      </c>
      <c r="L25" s="172">
        <v>0</v>
      </c>
      <c r="M25" s="172">
        <v>0</v>
      </c>
      <c r="N25" s="172">
        <v>0</v>
      </c>
      <c r="O25" s="53"/>
      <c r="P25" s="133"/>
      <c r="Q25" s="25"/>
      <c r="R25" s="15"/>
      <c r="S25" s="15"/>
      <c r="T25" s="15"/>
      <c r="U25" s="15"/>
      <c r="V25" s="15"/>
      <c r="W25" s="15"/>
    </row>
    <row r="26" spans="1:23" ht="38.25" x14ac:dyDescent="0.2">
      <c r="A26" s="273" t="s">
        <v>221</v>
      </c>
      <c r="B26" s="171">
        <v>0</v>
      </c>
      <c r="C26" s="172">
        <f>'BRA CTRs'!$F$5*'BRA ICTRs'!B26/'BRA ICTRs'!$B$48</f>
        <v>0</v>
      </c>
      <c r="D26" s="172">
        <v>0</v>
      </c>
      <c r="E26" s="172">
        <v>0</v>
      </c>
      <c r="F26" s="172">
        <v>17</v>
      </c>
      <c r="G26" s="172">
        <v>3</v>
      </c>
      <c r="H26" s="172">
        <v>0</v>
      </c>
      <c r="I26" s="172">
        <v>0</v>
      </c>
      <c r="J26" s="172">
        <v>0</v>
      </c>
      <c r="K26" s="172">
        <v>0</v>
      </c>
      <c r="L26" s="172">
        <v>0</v>
      </c>
      <c r="M26" s="172">
        <v>0</v>
      </c>
      <c r="N26" s="172">
        <v>0</v>
      </c>
      <c r="O26" s="53"/>
      <c r="P26" s="133"/>
      <c r="Q26" s="25"/>
      <c r="R26" s="15"/>
      <c r="S26" s="15"/>
      <c r="T26" s="15"/>
      <c r="U26" s="15"/>
      <c r="V26" s="15"/>
      <c r="W26" s="15"/>
    </row>
    <row r="27" spans="1:23" ht="38.25" x14ac:dyDescent="0.2">
      <c r="A27" s="273" t="s">
        <v>222</v>
      </c>
      <c r="B27" s="171">
        <v>0</v>
      </c>
      <c r="C27" s="172">
        <f>'BRA CTRs'!$F$5*'BRA ICTRs'!B27/'BRA ICTRs'!$B$48</f>
        <v>0</v>
      </c>
      <c r="D27" s="172">
        <v>0</v>
      </c>
      <c r="E27" s="172">
        <v>0</v>
      </c>
      <c r="F27" s="172">
        <v>5</v>
      </c>
      <c r="G27" s="172">
        <v>1</v>
      </c>
      <c r="H27" s="172">
        <v>0</v>
      </c>
      <c r="I27" s="172">
        <v>0</v>
      </c>
      <c r="J27" s="172">
        <v>0</v>
      </c>
      <c r="K27" s="172">
        <v>0</v>
      </c>
      <c r="L27" s="172">
        <v>0</v>
      </c>
      <c r="M27" s="172">
        <v>0</v>
      </c>
      <c r="N27" s="172">
        <v>0</v>
      </c>
      <c r="O27" s="53"/>
      <c r="P27" s="133"/>
      <c r="Q27" s="25"/>
      <c r="R27" s="15"/>
      <c r="S27" s="15"/>
      <c r="T27" s="15"/>
      <c r="U27" s="15"/>
      <c r="V27" s="15"/>
      <c r="W27" s="15"/>
    </row>
    <row r="28" spans="1:23" ht="38.25" x14ac:dyDescent="0.2">
      <c r="A28" s="273" t="s">
        <v>223</v>
      </c>
      <c r="B28" s="171">
        <v>0</v>
      </c>
      <c r="C28" s="172">
        <f>'BRA CTRs'!$F$5*'BRA ICTRs'!B28/'BRA ICTRs'!$B$48</f>
        <v>0</v>
      </c>
      <c r="D28" s="172">
        <v>0</v>
      </c>
      <c r="E28" s="172">
        <v>0</v>
      </c>
      <c r="F28" s="172">
        <v>4</v>
      </c>
      <c r="G28" s="172">
        <v>1</v>
      </c>
      <c r="H28" s="172">
        <v>0</v>
      </c>
      <c r="I28" s="172">
        <v>0</v>
      </c>
      <c r="J28" s="172">
        <v>0</v>
      </c>
      <c r="K28" s="172">
        <v>0</v>
      </c>
      <c r="L28" s="172">
        <v>0</v>
      </c>
      <c r="M28" s="172">
        <v>0</v>
      </c>
      <c r="N28" s="172">
        <v>0</v>
      </c>
      <c r="O28" s="53"/>
      <c r="P28" s="133"/>
      <c r="Q28" s="25"/>
      <c r="R28" s="15"/>
      <c r="S28" s="15"/>
      <c r="T28" s="15"/>
      <c r="U28" s="15"/>
      <c r="V28" s="15"/>
      <c r="W28" s="15"/>
    </row>
    <row r="29" spans="1:23" ht="38.25" x14ac:dyDescent="0.2">
      <c r="A29" s="273" t="s">
        <v>224</v>
      </c>
      <c r="B29" s="171">
        <v>0</v>
      </c>
      <c r="C29" s="172">
        <f>'BRA CTRs'!$F$5*'BRA ICTRs'!B29/'BRA ICTRs'!$B$48</f>
        <v>0</v>
      </c>
      <c r="D29" s="172">
        <v>0</v>
      </c>
      <c r="E29" s="172">
        <v>0</v>
      </c>
      <c r="F29" s="172">
        <v>2</v>
      </c>
      <c r="G29" s="172">
        <v>0</v>
      </c>
      <c r="H29" s="172">
        <v>0</v>
      </c>
      <c r="I29" s="172">
        <v>0</v>
      </c>
      <c r="J29" s="172">
        <v>0</v>
      </c>
      <c r="K29" s="172">
        <v>0</v>
      </c>
      <c r="L29" s="172">
        <v>0</v>
      </c>
      <c r="M29" s="172">
        <v>0</v>
      </c>
      <c r="N29" s="172">
        <v>0</v>
      </c>
      <c r="O29" s="53"/>
      <c r="P29" s="133"/>
      <c r="Q29" s="25"/>
      <c r="R29" s="15"/>
      <c r="S29" s="15"/>
      <c r="T29" s="15"/>
      <c r="U29" s="15"/>
      <c r="V29" s="15"/>
      <c r="W29" s="15"/>
    </row>
    <row r="30" spans="1:23" ht="38.25" x14ac:dyDescent="0.2">
      <c r="A30" s="273" t="s">
        <v>225</v>
      </c>
      <c r="B30" s="171">
        <v>0</v>
      </c>
      <c r="C30" s="172">
        <f>'BRA CTRs'!$F$5*'BRA ICTRs'!B30/'BRA ICTRs'!$B$48</f>
        <v>0</v>
      </c>
      <c r="D30" s="172">
        <v>0</v>
      </c>
      <c r="E30" s="172">
        <v>0</v>
      </c>
      <c r="F30" s="172">
        <v>18</v>
      </c>
      <c r="G30" s="172">
        <v>3</v>
      </c>
      <c r="H30" s="172">
        <v>0</v>
      </c>
      <c r="I30" s="172">
        <v>0</v>
      </c>
      <c r="J30" s="172">
        <v>0</v>
      </c>
      <c r="K30" s="172">
        <v>0</v>
      </c>
      <c r="L30" s="172">
        <v>0</v>
      </c>
      <c r="M30" s="172">
        <v>0</v>
      </c>
      <c r="N30" s="172">
        <v>0</v>
      </c>
      <c r="O30" s="53"/>
      <c r="P30" s="133"/>
      <c r="Q30" s="25"/>
      <c r="R30" s="15"/>
      <c r="S30" s="15"/>
      <c r="T30" s="15"/>
      <c r="U30" s="15"/>
      <c r="V30" s="15"/>
      <c r="W30" s="15"/>
    </row>
    <row r="31" spans="1:23" ht="38.25" x14ac:dyDescent="0.2">
      <c r="A31" s="273" t="s">
        <v>226</v>
      </c>
      <c r="B31" s="171">
        <v>0</v>
      </c>
      <c r="C31" s="172">
        <f>'BRA CTRs'!$F$5*'BRA ICTRs'!B31/'BRA ICTRs'!$B$48</f>
        <v>0</v>
      </c>
      <c r="D31" s="172">
        <v>0</v>
      </c>
      <c r="E31" s="172">
        <v>0</v>
      </c>
      <c r="F31" s="172">
        <v>21</v>
      </c>
      <c r="G31" s="172">
        <v>3</v>
      </c>
      <c r="H31" s="172">
        <v>0</v>
      </c>
      <c r="I31" s="172">
        <v>0</v>
      </c>
      <c r="J31" s="172">
        <v>0</v>
      </c>
      <c r="K31" s="172">
        <v>0</v>
      </c>
      <c r="L31" s="172">
        <v>0</v>
      </c>
      <c r="M31" s="172">
        <v>0</v>
      </c>
      <c r="N31" s="172">
        <v>0</v>
      </c>
      <c r="O31" s="53"/>
      <c r="P31" s="133"/>
      <c r="Q31" s="25"/>
      <c r="R31" s="15"/>
      <c r="S31" s="15"/>
      <c r="T31" s="15"/>
      <c r="U31" s="15"/>
      <c r="V31" s="15"/>
      <c r="W31" s="15"/>
    </row>
    <row r="32" spans="1:23" ht="20.100000000000001" customHeight="1" thickBot="1" x14ac:dyDescent="0.25">
      <c r="A32" s="253" t="s">
        <v>86</v>
      </c>
      <c r="B32" s="270">
        <f>SUM(B15:B31)</f>
        <v>16</v>
      </c>
      <c r="C32" s="270">
        <f t="shared" ref="C32" si="2">SUM(C15:C31)</f>
        <v>10.550803863209923</v>
      </c>
      <c r="D32" s="270">
        <f t="shared" ref="D32" si="3">SUM(D15:D31)</f>
        <v>50</v>
      </c>
      <c r="E32" s="270">
        <f t="shared" ref="E32" si="4">SUM(E15:E31)</f>
        <v>237</v>
      </c>
      <c r="F32" s="270">
        <f>SUM(F15:F31)</f>
        <v>593.5</v>
      </c>
      <c r="G32" s="270">
        <f t="shared" ref="G32:M32" si="5">SUM(G15:G31)</f>
        <v>521.5</v>
      </c>
      <c r="H32" s="270">
        <f t="shared" si="5"/>
        <v>0</v>
      </c>
      <c r="I32" s="270">
        <f t="shared" si="5"/>
        <v>0</v>
      </c>
      <c r="J32" s="270">
        <f t="shared" si="5"/>
        <v>175</v>
      </c>
      <c r="K32" s="270">
        <f t="shared" si="5"/>
        <v>306</v>
      </c>
      <c r="L32" s="270">
        <f t="shared" si="5"/>
        <v>0</v>
      </c>
      <c r="M32" s="270">
        <f t="shared" si="5"/>
        <v>0</v>
      </c>
      <c r="N32" s="270">
        <f t="shared" ref="N32" si="6">SUM(N15:N31)</f>
        <v>0</v>
      </c>
      <c r="O32" s="53"/>
      <c r="P32" s="133"/>
      <c r="Q32" s="25"/>
      <c r="R32" s="15"/>
      <c r="S32" s="15"/>
      <c r="T32" s="15"/>
      <c r="U32" s="15"/>
      <c r="V32" s="15"/>
      <c r="W32" s="15"/>
    </row>
    <row r="33" spans="1:23" ht="20.100000000000001" customHeight="1" x14ac:dyDescent="0.2">
      <c r="A33" s="186" t="s">
        <v>70</v>
      </c>
      <c r="B33" s="276"/>
      <c r="C33" s="276"/>
      <c r="D33" s="277"/>
      <c r="E33" s="277"/>
      <c r="F33" s="277"/>
      <c r="G33" s="277"/>
      <c r="H33" s="277"/>
      <c r="I33" s="277"/>
      <c r="J33" s="277"/>
      <c r="K33" s="277"/>
      <c r="L33" s="277"/>
      <c r="M33" s="277"/>
      <c r="N33" s="277"/>
      <c r="O33" s="53"/>
      <c r="P33" s="133"/>
      <c r="Q33" s="25"/>
      <c r="R33" s="15"/>
      <c r="S33" s="15"/>
      <c r="T33" s="15"/>
      <c r="U33" s="15"/>
      <c r="V33" s="15"/>
      <c r="W33" s="15"/>
    </row>
    <row r="34" spans="1:23" ht="24.95" customHeight="1" x14ac:dyDescent="0.2">
      <c r="A34" s="187" t="s">
        <v>228</v>
      </c>
      <c r="B34" s="171">
        <v>159</v>
      </c>
      <c r="C34" s="172">
        <f>'BRA CTRs'!$F$5*'BRA ICTRs'!B34/'BRA ICTRs'!$B$48</f>
        <v>104.84861339064862</v>
      </c>
      <c r="D34" s="172">
        <v>0</v>
      </c>
      <c r="E34" s="172">
        <v>0</v>
      </c>
      <c r="F34" s="172">
        <v>0</v>
      </c>
      <c r="G34" s="172">
        <v>0</v>
      </c>
      <c r="H34" s="172">
        <v>0</v>
      </c>
      <c r="I34" s="172">
        <v>0</v>
      </c>
      <c r="J34" s="172">
        <v>0</v>
      </c>
      <c r="K34" s="172">
        <v>0</v>
      </c>
      <c r="L34" s="172">
        <v>0</v>
      </c>
      <c r="M34" s="172">
        <v>0</v>
      </c>
      <c r="N34" s="172">
        <v>0</v>
      </c>
      <c r="O34" s="53"/>
      <c r="P34" s="133"/>
      <c r="Q34" s="25"/>
      <c r="R34" s="15"/>
      <c r="S34" s="15"/>
      <c r="T34" s="15"/>
      <c r="U34" s="15"/>
      <c r="V34" s="15"/>
      <c r="W34" s="15"/>
    </row>
    <row r="35" spans="1:23" ht="24.95" customHeight="1" x14ac:dyDescent="0.2">
      <c r="A35" s="187" t="s">
        <v>229</v>
      </c>
      <c r="B35" s="171">
        <v>0</v>
      </c>
      <c r="C35" s="172">
        <f>'BRA CTRs'!$F$5*'BRA ICTRs'!B35/'BRA ICTRs'!$B$48</f>
        <v>0</v>
      </c>
      <c r="D35" s="172">
        <v>0</v>
      </c>
      <c r="E35" s="172">
        <v>0</v>
      </c>
      <c r="F35" s="172">
        <v>0</v>
      </c>
      <c r="G35" s="172">
        <v>0</v>
      </c>
      <c r="H35" s="172">
        <v>37</v>
      </c>
      <c r="I35" s="172">
        <v>0</v>
      </c>
      <c r="J35" s="172">
        <v>0</v>
      </c>
      <c r="K35" s="172">
        <v>0</v>
      </c>
      <c r="L35" s="172">
        <v>0</v>
      </c>
      <c r="M35" s="172">
        <v>0</v>
      </c>
      <c r="N35" s="172">
        <v>0</v>
      </c>
      <c r="O35" s="53"/>
      <c r="P35" s="133"/>
      <c r="Q35" s="25"/>
      <c r="R35" s="15"/>
      <c r="S35" s="15"/>
      <c r="T35" s="15"/>
      <c r="U35" s="15"/>
      <c r="V35" s="15"/>
      <c r="W35" s="15"/>
    </row>
    <row r="36" spans="1:23" ht="24.95" customHeight="1" x14ac:dyDescent="0.2">
      <c r="A36" s="187" t="s">
        <v>230</v>
      </c>
      <c r="B36" s="171">
        <v>0</v>
      </c>
      <c r="C36" s="172">
        <f>'BRA CTRs'!$F$5*'BRA ICTRs'!B36/'BRA ICTRs'!$B$48</f>
        <v>0</v>
      </c>
      <c r="D36" s="172">
        <v>0</v>
      </c>
      <c r="E36" s="173">
        <v>0</v>
      </c>
      <c r="F36" s="173">
        <v>0</v>
      </c>
      <c r="G36" s="173">
        <v>0</v>
      </c>
      <c r="H36" s="173">
        <v>35</v>
      </c>
      <c r="I36" s="172">
        <v>0</v>
      </c>
      <c r="J36" s="173">
        <v>0</v>
      </c>
      <c r="K36" s="172">
        <v>0</v>
      </c>
      <c r="L36" s="172">
        <v>0</v>
      </c>
      <c r="M36" s="172">
        <v>0</v>
      </c>
      <c r="N36" s="172">
        <v>0</v>
      </c>
      <c r="O36" s="53"/>
      <c r="P36" s="133"/>
      <c r="Q36" s="25"/>
      <c r="R36" s="15"/>
      <c r="S36" s="15"/>
      <c r="T36" s="15"/>
      <c r="U36" s="15"/>
      <c r="V36" s="15"/>
      <c r="W36" s="15"/>
    </row>
    <row r="37" spans="1:23" ht="24.95" customHeight="1" x14ac:dyDescent="0.2">
      <c r="A37" s="187" t="s">
        <v>231</v>
      </c>
      <c r="B37" s="171">
        <v>0</v>
      </c>
      <c r="C37" s="172">
        <f>'BRA CTRs'!$F$5*'BRA ICTRs'!B37/'BRA ICTRs'!$B$48</f>
        <v>0</v>
      </c>
      <c r="D37" s="172">
        <v>0</v>
      </c>
      <c r="E37" s="173">
        <v>0</v>
      </c>
      <c r="F37" s="173">
        <v>0</v>
      </c>
      <c r="G37" s="173">
        <v>0</v>
      </c>
      <c r="H37" s="173">
        <v>0</v>
      </c>
      <c r="I37" s="172">
        <v>0</v>
      </c>
      <c r="J37" s="173">
        <v>0</v>
      </c>
      <c r="K37" s="172">
        <v>0</v>
      </c>
      <c r="L37" s="172">
        <v>155</v>
      </c>
      <c r="M37" s="172">
        <v>0</v>
      </c>
      <c r="N37" s="172">
        <v>0</v>
      </c>
      <c r="O37" s="53"/>
      <c r="P37" s="133"/>
      <c r="Q37" s="25"/>
      <c r="R37" s="15"/>
      <c r="S37" s="15"/>
      <c r="T37" s="15"/>
      <c r="U37" s="15"/>
      <c r="V37" s="15"/>
      <c r="W37" s="15"/>
    </row>
    <row r="38" spans="1:23" ht="25.5" x14ac:dyDescent="0.2">
      <c r="A38" s="187" t="s">
        <v>232</v>
      </c>
      <c r="B38" s="171">
        <v>733</v>
      </c>
      <c r="C38" s="172">
        <f>'BRA CTRs'!$F$5*'BRA ICTRs'!B38/'BRA ICTRs'!$B$48</f>
        <v>483.35870198330463</v>
      </c>
      <c r="D38" s="172">
        <v>0</v>
      </c>
      <c r="E38" s="173">
        <v>0</v>
      </c>
      <c r="F38" s="173">
        <v>0</v>
      </c>
      <c r="G38" s="173">
        <v>0</v>
      </c>
      <c r="H38" s="173">
        <v>0</v>
      </c>
      <c r="I38" s="172">
        <v>0</v>
      </c>
      <c r="J38" s="173">
        <v>0</v>
      </c>
      <c r="K38" s="172">
        <v>0</v>
      </c>
      <c r="L38" s="172">
        <v>0</v>
      </c>
      <c r="M38" s="172">
        <v>0</v>
      </c>
      <c r="N38" s="172">
        <v>0</v>
      </c>
      <c r="O38" s="53"/>
      <c r="P38" s="133"/>
      <c r="Q38" s="25"/>
      <c r="R38" s="15"/>
      <c r="S38" s="15"/>
      <c r="T38" s="15"/>
      <c r="U38" s="15"/>
      <c r="V38" s="15"/>
      <c r="W38" s="15"/>
    </row>
    <row r="39" spans="1:23" ht="25.5" x14ac:dyDescent="0.2">
      <c r="A39" s="187" t="s">
        <v>233</v>
      </c>
      <c r="B39" s="171">
        <v>0</v>
      </c>
      <c r="C39" s="172">
        <f>'BRA CTRs'!$F$5*'BRA ICTRs'!B39/'BRA ICTRs'!$B$48</f>
        <v>0</v>
      </c>
      <c r="D39" s="172">
        <v>0</v>
      </c>
      <c r="E39" s="173">
        <v>0</v>
      </c>
      <c r="F39" s="173">
        <v>0</v>
      </c>
      <c r="G39" s="173">
        <v>0</v>
      </c>
      <c r="H39" s="173">
        <v>0</v>
      </c>
      <c r="I39" s="173">
        <v>0</v>
      </c>
      <c r="J39" s="173">
        <v>0</v>
      </c>
      <c r="K39" s="172">
        <v>65.7</v>
      </c>
      <c r="L39" s="172">
        <v>0</v>
      </c>
      <c r="M39" s="172">
        <v>0</v>
      </c>
      <c r="N39" s="172">
        <v>0</v>
      </c>
      <c r="O39" s="53"/>
      <c r="P39" s="133"/>
      <c r="Q39" s="25"/>
      <c r="R39" s="15"/>
      <c r="S39" s="15"/>
      <c r="T39" s="15"/>
      <c r="U39" s="15"/>
      <c r="V39" s="15"/>
      <c r="W39" s="15"/>
    </row>
    <row r="40" spans="1:23" ht="25.5" x14ac:dyDescent="0.2">
      <c r="A40" s="187" t="s">
        <v>234</v>
      </c>
      <c r="B40" s="171">
        <v>0</v>
      </c>
      <c r="C40" s="172">
        <f>'BRA CTRs'!$F$5*'BRA ICTRs'!B40/'BRA ICTRs'!$B$48</f>
        <v>0</v>
      </c>
      <c r="D40" s="172">
        <v>0</v>
      </c>
      <c r="E40" s="173">
        <v>0</v>
      </c>
      <c r="F40" s="173">
        <v>41</v>
      </c>
      <c r="G40" s="173">
        <v>21</v>
      </c>
      <c r="H40" s="173">
        <v>0</v>
      </c>
      <c r="I40" s="173">
        <v>0</v>
      </c>
      <c r="J40" s="173">
        <v>0</v>
      </c>
      <c r="K40" s="172">
        <v>0</v>
      </c>
      <c r="L40" s="172">
        <v>0</v>
      </c>
      <c r="M40" s="172">
        <v>0</v>
      </c>
      <c r="N40" s="172">
        <v>0</v>
      </c>
      <c r="O40" s="53"/>
      <c r="P40" s="133"/>
      <c r="Q40" s="25"/>
      <c r="R40" s="15"/>
      <c r="S40" s="15"/>
      <c r="T40" s="15"/>
      <c r="U40" s="15"/>
      <c r="V40" s="15"/>
      <c r="W40" s="15"/>
    </row>
    <row r="41" spans="1:23" ht="25.5" x14ac:dyDescent="0.2">
      <c r="A41" s="187" t="s">
        <v>235</v>
      </c>
      <c r="B41" s="171">
        <v>665</v>
      </c>
      <c r="C41" s="172">
        <f>'BRA CTRs'!$F$5*'BRA ICTRs'!B41/'BRA ICTRs'!$B$48</f>
        <v>438.5177855646624</v>
      </c>
      <c r="D41" s="172">
        <v>40</v>
      </c>
      <c r="E41" s="173">
        <v>0</v>
      </c>
      <c r="F41" s="173">
        <v>0</v>
      </c>
      <c r="G41" s="173">
        <v>0</v>
      </c>
      <c r="H41" s="173">
        <v>0</v>
      </c>
      <c r="I41" s="173">
        <v>0</v>
      </c>
      <c r="J41" s="173">
        <v>0</v>
      </c>
      <c r="K41" s="172">
        <v>0</v>
      </c>
      <c r="L41" s="172">
        <v>0</v>
      </c>
      <c r="M41" s="172">
        <v>0</v>
      </c>
      <c r="N41" s="172">
        <v>0</v>
      </c>
      <c r="O41" s="53"/>
      <c r="P41" s="133"/>
      <c r="Q41" s="25"/>
      <c r="R41" s="15"/>
      <c r="S41" s="15"/>
      <c r="T41" s="15"/>
      <c r="U41" s="15"/>
      <c r="V41" s="15"/>
      <c r="W41" s="15"/>
    </row>
    <row r="42" spans="1:23" ht="25.5" x14ac:dyDescent="0.2">
      <c r="A42" s="286" t="s">
        <v>227</v>
      </c>
      <c r="B42" s="287">
        <v>0</v>
      </c>
      <c r="C42" s="172">
        <f>'BRA CTRs'!$F$5*'BRA ICTRs'!B42/'BRA ICTRs'!$B$48</f>
        <v>0</v>
      </c>
      <c r="D42" s="289">
        <v>0</v>
      </c>
      <c r="E42" s="288">
        <v>0</v>
      </c>
      <c r="F42" s="288">
        <v>0</v>
      </c>
      <c r="G42" s="288">
        <v>0</v>
      </c>
      <c r="H42" s="288">
        <v>0</v>
      </c>
      <c r="I42" s="288">
        <v>0</v>
      </c>
      <c r="J42" s="288">
        <v>0</v>
      </c>
      <c r="K42" s="289">
        <v>0</v>
      </c>
      <c r="L42" s="289">
        <v>0</v>
      </c>
      <c r="M42" s="289">
        <v>1097</v>
      </c>
      <c r="N42" s="289">
        <v>0</v>
      </c>
      <c r="O42" s="53"/>
      <c r="P42" s="133"/>
      <c r="Q42" s="25"/>
      <c r="R42" s="15"/>
      <c r="S42" s="15"/>
      <c r="T42" s="15"/>
      <c r="U42" s="15"/>
      <c r="V42" s="15"/>
      <c r="W42" s="15"/>
    </row>
    <row r="43" spans="1:23" ht="25.5" x14ac:dyDescent="0.2">
      <c r="A43" s="187" t="s">
        <v>236</v>
      </c>
      <c r="B43" s="171">
        <v>0</v>
      </c>
      <c r="C43" s="172">
        <f>'BRA CTRs'!$F$5*'BRA ICTRs'!B43/'BRA ICTRs'!$B$48</f>
        <v>0</v>
      </c>
      <c r="D43" s="172">
        <v>0</v>
      </c>
      <c r="E43" s="173">
        <v>0</v>
      </c>
      <c r="F43" s="173">
        <v>0</v>
      </c>
      <c r="G43" s="173">
        <v>0</v>
      </c>
      <c r="H43" s="173">
        <v>0</v>
      </c>
      <c r="I43" s="173">
        <v>0</v>
      </c>
      <c r="J43" s="173">
        <v>0</v>
      </c>
      <c r="K43" s="172">
        <v>0</v>
      </c>
      <c r="L43" s="172">
        <v>0</v>
      </c>
      <c r="M43" s="172">
        <v>279</v>
      </c>
      <c r="N43" s="172">
        <v>0</v>
      </c>
      <c r="O43" s="53"/>
      <c r="P43" s="133"/>
      <c r="Q43" s="25"/>
      <c r="R43" s="15"/>
      <c r="S43" s="15"/>
      <c r="T43" s="15"/>
      <c r="U43" s="15"/>
      <c r="V43" s="15"/>
      <c r="W43" s="15"/>
    </row>
    <row r="44" spans="1:23" ht="25.5" x14ac:dyDescent="0.2">
      <c r="A44" s="286" t="s">
        <v>237</v>
      </c>
      <c r="B44" s="171">
        <v>0</v>
      </c>
      <c r="C44" s="172">
        <v>0</v>
      </c>
      <c r="D44" s="172">
        <v>0</v>
      </c>
      <c r="E44" s="173">
        <v>0</v>
      </c>
      <c r="F44" s="173">
        <v>1029</v>
      </c>
      <c r="G44" s="173">
        <v>0</v>
      </c>
      <c r="H44" s="173">
        <v>0</v>
      </c>
      <c r="I44" s="173">
        <v>0</v>
      </c>
      <c r="J44" s="173">
        <v>0</v>
      </c>
      <c r="K44" s="172">
        <v>0</v>
      </c>
      <c r="L44" s="172">
        <v>0</v>
      </c>
      <c r="M44" s="172">
        <v>0</v>
      </c>
      <c r="N44" s="172">
        <v>0</v>
      </c>
      <c r="O44" s="53"/>
      <c r="P44" s="133"/>
      <c r="Q44" s="25"/>
      <c r="R44" s="15"/>
      <c r="S44" s="15"/>
      <c r="T44" s="15"/>
      <c r="U44" s="15"/>
      <c r="V44" s="15"/>
      <c r="W44" s="15"/>
    </row>
    <row r="45" spans="1:23" ht="25.5" x14ac:dyDescent="0.2">
      <c r="A45" s="286" t="s">
        <v>238</v>
      </c>
      <c r="B45" s="171">
        <v>0</v>
      </c>
      <c r="C45" s="172">
        <v>0</v>
      </c>
      <c r="D45" s="172">
        <v>0</v>
      </c>
      <c r="E45" s="173">
        <v>0</v>
      </c>
      <c r="F45" s="173">
        <v>0</v>
      </c>
      <c r="G45" s="173">
        <v>618</v>
      </c>
      <c r="H45" s="173">
        <v>0</v>
      </c>
      <c r="I45" s="173">
        <v>0</v>
      </c>
      <c r="J45" s="173">
        <v>0</v>
      </c>
      <c r="K45" s="172">
        <v>0</v>
      </c>
      <c r="L45" s="172">
        <v>0</v>
      </c>
      <c r="M45" s="172">
        <v>0</v>
      </c>
      <c r="N45" s="172">
        <v>0</v>
      </c>
      <c r="O45" s="53"/>
      <c r="P45" s="133"/>
      <c r="Q45" s="25"/>
      <c r="R45" s="15"/>
      <c r="S45" s="15"/>
      <c r="T45" s="15"/>
      <c r="U45" s="15"/>
      <c r="V45" s="15"/>
      <c r="W45" s="15"/>
    </row>
    <row r="46" spans="1:23" ht="20.100000000000001" customHeight="1" thickBot="1" x14ac:dyDescent="0.25">
      <c r="A46" s="253" t="s">
        <v>74</v>
      </c>
      <c r="B46" s="254">
        <f>SUM(B34:B45)</f>
        <v>1557</v>
      </c>
      <c r="C46" s="254">
        <f>SUM(C34:C43)</f>
        <v>1026.7251009386157</v>
      </c>
      <c r="D46" s="254">
        <f>SUM(D34:D45)</f>
        <v>40</v>
      </c>
      <c r="E46" s="254">
        <f t="shared" ref="E46:L46" si="7">SUM(E34:E43)</f>
        <v>0</v>
      </c>
      <c r="F46" s="254">
        <f>SUM(F34:F45)</f>
        <v>1070</v>
      </c>
      <c r="G46" s="254">
        <f>SUM(G34:G45)</f>
        <v>639</v>
      </c>
      <c r="H46" s="254">
        <f>SUM(H34:H45)</f>
        <v>72</v>
      </c>
      <c r="I46" s="254">
        <f t="shared" si="7"/>
        <v>0</v>
      </c>
      <c r="J46" s="254">
        <f t="shared" si="7"/>
        <v>0</v>
      </c>
      <c r="K46" s="254">
        <f>SUM(K34:K45)</f>
        <v>65.7</v>
      </c>
      <c r="L46" s="254">
        <f t="shared" si="7"/>
        <v>155</v>
      </c>
      <c r="M46" s="254">
        <f>SUM(M34:M45)</f>
        <v>1376</v>
      </c>
      <c r="N46" s="254">
        <f>SUM(N34:N45)</f>
        <v>0</v>
      </c>
      <c r="O46" s="53"/>
      <c r="P46" s="133"/>
      <c r="Q46" s="25"/>
      <c r="R46" s="15"/>
      <c r="S46" s="15"/>
      <c r="T46" s="15"/>
      <c r="U46" s="15"/>
      <c r="V46" s="15"/>
      <c r="W46" s="15"/>
    </row>
    <row r="47" spans="1:23" x14ac:dyDescent="0.2">
      <c r="A47" s="274"/>
      <c r="B47" s="267"/>
      <c r="C47" s="267"/>
      <c r="D47" s="275"/>
      <c r="E47" s="275"/>
      <c r="F47" s="275"/>
      <c r="G47" s="275"/>
      <c r="H47" s="275"/>
      <c r="I47" s="275"/>
      <c r="J47" s="275"/>
      <c r="K47" s="275"/>
      <c r="L47" s="275"/>
      <c r="M47" s="275"/>
      <c r="N47" s="275"/>
      <c r="O47" s="53"/>
      <c r="P47" s="133"/>
      <c r="Q47" s="25"/>
      <c r="R47" s="15"/>
      <c r="S47" s="15"/>
      <c r="T47" s="15"/>
      <c r="U47" s="15"/>
      <c r="V47" s="15"/>
      <c r="W47" s="15"/>
    </row>
    <row r="48" spans="1:23" ht="20.100000000000001" customHeight="1" thickBot="1" x14ac:dyDescent="0.25">
      <c r="A48" s="253" t="s">
        <v>75</v>
      </c>
      <c r="B48" s="254">
        <f t="shared" ref="B48:M48" si="8">B13+B32+B46</f>
        <v>2295</v>
      </c>
      <c r="C48" s="254">
        <f t="shared" si="8"/>
        <v>1513.3809291291734</v>
      </c>
      <c r="D48" s="255">
        <f t="shared" si="8"/>
        <v>988</v>
      </c>
      <c r="E48" s="255">
        <f t="shared" si="8"/>
        <v>493</v>
      </c>
      <c r="F48" s="255">
        <f t="shared" si="8"/>
        <v>1732.4</v>
      </c>
      <c r="G48" s="255">
        <f t="shared" si="8"/>
        <v>1266</v>
      </c>
      <c r="H48" s="255">
        <f t="shared" si="8"/>
        <v>72</v>
      </c>
      <c r="I48" s="255">
        <f t="shared" si="8"/>
        <v>0</v>
      </c>
      <c r="J48" s="255">
        <f t="shared" si="8"/>
        <v>175</v>
      </c>
      <c r="K48" s="255">
        <f t="shared" si="8"/>
        <v>371.7</v>
      </c>
      <c r="L48" s="255">
        <f t="shared" si="8"/>
        <v>155</v>
      </c>
      <c r="M48" s="255">
        <f t="shared" si="8"/>
        <v>1376</v>
      </c>
      <c r="N48" s="255">
        <f t="shared" ref="N48" si="9">N13+N32+N46</f>
        <v>0</v>
      </c>
      <c r="O48" s="134"/>
      <c r="P48" s="31"/>
      <c r="Q48" s="25"/>
      <c r="R48" s="15"/>
      <c r="S48" s="15"/>
      <c r="T48" s="15"/>
      <c r="U48" s="15"/>
      <c r="V48" s="15"/>
      <c r="W48" s="15"/>
    </row>
    <row r="49" spans="1:58" s="10" customFormat="1" ht="19.5" customHeight="1" x14ac:dyDescent="0.2">
      <c r="A49" s="264" t="s">
        <v>91</v>
      </c>
      <c r="B49" s="290"/>
      <c r="C49" s="290"/>
      <c r="D49" s="290"/>
      <c r="E49" s="290"/>
      <c r="F49" s="290"/>
      <c r="G49" s="290"/>
      <c r="H49" s="290"/>
      <c r="I49" s="290"/>
      <c r="J49" s="290"/>
      <c r="K49" s="290"/>
      <c r="L49" s="178"/>
      <c r="M49" s="135"/>
      <c r="N49" s="27"/>
      <c r="O49" s="25"/>
      <c r="P49" s="25"/>
      <c r="Q49" s="25"/>
      <c r="R49" s="25"/>
      <c r="S49" s="25"/>
      <c r="T49" s="25"/>
      <c r="U49" s="25"/>
      <c r="V49" s="25"/>
      <c r="W49" s="25"/>
      <c r="X49" s="25"/>
      <c r="Y49" s="25"/>
    </row>
    <row r="50" spans="1:58" s="10" customFormat="1" x14ac:dyDescent="0.2">
      <c r="A50" s="17"/>
      <c r="B50" s="136"/>
      <c r="C50" s="136"/>
      <c r="D50" s="33"/>
      <c r="E50" s="135"/>
      <c r="F50" s="135"/>
      <c r="G50" s="135"/>
      <c r="H50" s="135"/>
      <c r="I50" s="135"/>
      <c r="J50" s="27"/>
      <c r="K50" s="135"/>
      <c r="L50" s="135"/>
      <c r="M50" s="135"/>
      <c r="N50" s="27"/>
      <c r="O50" s="25"/>
      <c r="P50" s="25"/>
      <c r="Q50" s="25"/>
      <c r="R50" s="25"/>
      <c r="S50" s="25"/>
      <c r="T50" s="25"/>
      <c r="U50" s="25"/>
      <c r="V50" s="25"/>
      <c r="W50" s="25"/>
      <c r="X50" s="25"/>
      <c r="Y50" s="25"/>
    </row>
    <row r="51" spans="1:58" s="10" customFormat="1" x14ac:dyDescent="0.2">
      <c r="A51" s="137"/>
      <c r="B51" s="136"/>
      <c r="C51" s="136"/>
      <c r="D51" s="33"/>
      <c r="E51" s="135"/>
      <c r="F51" s="135"/>
      <c r="G51" s="135"/>
      <c r="H51" s="135"/>
      <c r="I51" s="135"/>
      <c r="J51" s="27"/>
      <c r="K51" s="135"/>
      <c r="L51" s="135"/>
      <c r="M51" s="135"/>
      <c r="N51" s="27"/>
      <c r="O51" s="25"/>
      <c r="P51" s="25"/>
      <c r="Q51" s="25"/>
      <c r="R51" s="25"/>
      <c r="S51" s="25"/>
      <c r="T51" s="25"/>
      <c r="U51" s="25"/>
      <c r="V51" s="25"/>
      <c r="W51" s="25"/>
      <c r="X51" s="25"/>
      <c r="Y51" s="25"/>
    </row>
    <row r="52" spans="1:58" ht="14.25" x14ac:dyDescent="0.2">
      <c r="A52" s="263"/>
      <c r="B52" s="263"/>
      <c r="C52" s="263"/>
      <c r="D52" s="263"/>
      <c r="E52" s="263"/>
      <c r="F52" s="263"/>
      <c r="G52" s="263"/>
      <c r="H52" s="15"/>
      <c r="I52" s="328"/>
      <c r="J52" s="328"/>
      <c r="K52" s="328"/>
      <c r="L52" s="188"/>
      <c r="M52" s="135"/>
      <c r="N52" s="27"/>
      <c r="O52" s="15"/>
      <c r="P52" s="15"/>
      <c r="Q52" s="15"/>
      <c r="R52" s="15"/>
      <c r="S52" s="15"/>
      <c r="T52" s="15"/>
      <c r="U52" s="15"/>
      <c r="V52" s="15"/>
      <c r="W52" s="15"/>
      <c r="X52" s="15"/>
      <c r="Y52" s="15"/>
    </row>
    <row r="53" spans="1:58" ht="13.5" thickBot="1" x14ac:dyDescent="0.25">
      <c r="A53" s="555" t="s">
        <v>183</v>
      </c>
      <c r="B53" s="263"/>
      <c r="C53" s="263"/>
      <c r="D53" s="263"/>
      <c r="E53" s="263"/>
      <c r="F53" s="263"/>
      <c r="G53" s="263"/>
      <c r="H53" s="15"/>
      <c r="I53" s="328"/>
      <c r="J53" s="328"/>
      <c r="K53" s="328"/>
      <c r="L53" s="208"/>
      <c r="M53" s="208"/>
      <c r="N53" s="208"/>
      <c r="O53" s="208"/>
      <c r="P53" s="15"/>
      <c r="Q53" s="15"/>
      <c r="R53" s="15"/>
      <c r="S53" s="15"/>
      <c r="T53" s="15"/>
      <c r="U53" s="15"/>
      <c r="V53" s="15"/>
      <c r="W53" s="15"/>
      <c r="X53" s="15"/>
    </row>
    <row r="54" spans="1:58" ht="13.5" thickBot="1" x14ac:dyDescent="0.25">
      <c r="A54" s="555"/>
      <c r="B54" s="329" t="s">
        <v>28</v>
      </c>
      <c r="C54" s="329" t="s">
        <v>33</v>
      </c>
      <c r="D54" s="329" t="s">
        <v>5</v>
      </c>
      <c r="E54" s="329" t="s">
        <v>8</v>
      </c>
      <c r="F54" s="329" t="s">
        <v>34</v>
      </c>
      <c r="G54" s="329" t="s">
        <v>35</v>
      </c>
      <c r="H54" s="329" t="s">
        <v>15</v>
      </c>
      <c r="I54" s="329" t="s">
        <v>11</v>
      </c>
      <c r="J54" s="329" t="s">
        <v>50</v>
      </c>
      <c r="K54" s="329" t="s">
        <v>20</v>
      </c>
      <c r="L54" s="292"/>
      <c r="M54" s="292"/>
      <c r="N54" s="293"/>
      <c r="O54" s="229"/>
      <c r="P54" s="228"/>
      <c r="Q54" s="229"/>
      <c r="R54" s="228"/>
      <c r="S54" s="227"/>
      <c r="T54" s="228"/>
      <c r="U54" s="227"/>
      <c r="V54" s="228"/>
      <c r="W54" s="227"/>
      <c r="X54" s="227"/>
      <c r="Y54" s="228"/>
      <c r="Z54" s="229"/>
      <c r="AA54" s="228"/>
      <c r="AB54" s="229"/>
      <c r="AC54" s="228"/>
      <c r="AD54" s="229"/>
      <c r="AE54" s="228"/>
      <c r="AF54" s="227"/>
      <c r="AG54" s="228"/>
      <c r="AH54" s="229"/>
      <c r="AI54" s="228"/>
      <c r="AJ54" s="230"/>
      <c r="AK54" s="228"/>
      <c r="AL54" s="229"/>
      <c r="AM54" s="228"/>
      <c r="AN54" s="229"/>
      <c r="AO54" s="228"/>
      <c r="AP54" s="229"/>
      <c r="AQ54" s="228"/>
      <c r="AR54" s="229"/>
      <c r="AS54" s="228"/>
      <c r="AT54" s="227"/>
      <c r="AU54" s="228"/>
      <c r="AV54" s="229"/>
      <c r="AW54" s="228"/>
      <c r="AX54" s="229"/>
      <c r="AY54" s="228"/>
      <c r="AZ54" s="227"/>
      <c r="BA54" s="228"/>
      <c r="BB54" s="230"/>
      <c r="BC54" s="228"/>
      <c r="BD54" s="227"/>
      <c r="BE54" s="228"/>
      <c r="BF54" s="227"/>
    </row>
    <row r="55" spans="1:58" ht="13.5" thickBot="1" x14ac:dyDescent="0.25">
      <c r="A55" s="330" t="s">
        <v>184</v>
      </c>
      <c r="B55" s="331">
        <f>'BRA Load Pricing Results'!D14</f>
        <v>20.57</v>
      </c>
      <c r="C55" s="332">
        <f>'BRA Load Pricing Results'!D15-'BRA Load Pricing Results'!D14</f>
        <v>4.1099999999999994</v>
      </c>
      <c r="D55" s="332">
        <f>'BRA Load Pricing Results'!D16-'BRA Load Pricing Results'!D14</f>
        <v>0</v>
      </c>
      <c r="E55" s="333">
        <f>'BRA Load Pricing Results'!D27</f>
        <v>0</v>
      </c>
      <c r="F55" s="333">
        <f>'BRA Load Pricing Results'!D28-'BRA Load Pricing Results'!D27</f>
        <v>0</v>
      </c>
      <c r="G55" s="333">
        <f>'BRA Load Pricing Results'!D31</f>
        <v>372.57</v>
      </c>
      <c r="H55" s="332">
        <f>'BRA Load Pricing Results'!D17-'BRA Load Pricing Results'!D16</f>
        <v>0</v>
      </c>
      <c r="I55" s="332">
        <f>'BRA Load Pricing Results'!D19-'BRA Load Pricing Results'!D16</f>
        <v>23.509999999999998</v>
      </c>
      <c r="J55" s="332">
        <f>'BRA Load Pricing Results'!D22</f>
        <v>67.319999999999993</v>
      </c>
      <c r="K55" s="334">
        <f>'BRA Load Pricing Results'!D18</f>
        <v>0</v>
      </c>
      <c r="L55" s="292"/>
      <c r="M55" s="292"/>
      <c r="N55" s="293"/>
      <c r="O55" s="229"/>
      <c r="P55" s="228"/>
      <c r="Q55" s="229"/>
      <c r="R55" s="228"/>
      <c r="S55" s="227"/>
      <c r="T55" s="228"/>
      <c r="U55" s="227"/>
      <c r="V55" s="228"/>
      <c r="W55" s="227"/>
      <c r="X55" s="227"/>
      <c r="Y55" s="228"/>
      <c r="Z55" s="229"/>
      <c r="AA55" s="228"/>
      <c r="AB55" s="229"/>
      <c r="AC55" s="228"/>
      <c r="AD55" s="229"/>
      <c r="AE55" s="228"/>
      <c r="AF55" s="227"/>
      <c r="AG55" s="228"/>
      <c r="AH55" s="229"/>
      <c r="AI55" s="228"/>
      <c r="AJ55" s="230"/>
      <c r="AK55" s="228"/>
      <c r="AL55" s="229"/>
      <c r="AM55" s="228"/>
      <c r="AN55" s="229"/>
      <c r="AO55" s="228"/>
      <c r="AP55" s="229"/>
      <c r="AQ55" s="228"/>
      <c r="AR55" s="229"/>
      <c r="AS55" s="228"/>
      <c r="AT55" s="227"/>
      <c r="AU55" s="228"/>
      <c r="AV55" s="229"/>
      <c r="AW55" s="228"/>
      <c r="AX55" s="229"/>
      <c r="AY55" s="228"/>
      <c r="AZ55" s="227"/>
      <c r="BA55" s="228"/>
      <c r="BB55" s="230"/>
      <c r="BC55" s="228"/>
      <c r="BD55" s="227"/>
      <c r="BE55" s="228"/>
      <c r="BF55" s="227"/>
    </row>
    <row r="56" spans="1:58" ht="13.5" thickBot="1" x14ac:dyDescent="0.25">
      <c r="A56" s="335" t="s">
        <v>185</v>
      </c>
      <c r="B56" s="556" t="s">
        <v>186</v>
      </c>
      <c r="C56" s="557"/>
      <c r="D56" s="557"/>
      <c r="E56" s="557"/>
      <c r="F56" s="557"/>
      <c r="G56" s="557"/>
      <c r="H56" s="557"/>
      <c r="I56" s="557"/>
      <c r="J56" s="557"/>
      <c r="K56" s="558"/>
      <c r="L56" s="292"/>
      <c r="M56" s="292"/>
      <c r="N56" s="293"/>
      <c r="O56" s="229"/>
      <c r="P56" s="228"/>
      <c r="Q56" s="229"/>
      <c r="R56" s="228"/>
      <c r="S56" s="227"/>
      <c r="T56" s="228"/>
      <c r="U56" s="227"/>
      <c r="V56" s="228"/>
      <c r="W56" s="227"/>
      <c r="X56" s="227"/>
      <c r="Y56" s="228"/>
      <c r="Z56" s="229"/>
      <c r="AA56" s="228"/>
      <c r="AB56" s="229"/>
      <c r="AC56" s="228"/>
      <c r="AD56" s="229"/>
      <c r="AE56" s="228"/>
      <c r="AF56" s="227"/>
      <c r="AG56" s="228"/>
      <c r="AH56" s="229"/>
      <c r="AI56" s="228"/>
      <c r="AJ56" s="230"/>
      <c r="AK56" s="228"/>
      <c r="AL56" s="229"/>
      <c r="AM56" s="228"/>
      <c r="AN56" s="229"/>
      <c r="AO56" s="228"/>
      <c r="AP56" s="229"/>
      <c r="AQ56" s="228"/>
      <c r="AR56" s="229"/>
      <c r="AS56" s="228"/>
      <c r="AT56" s="227"/>
      <c r="AU56" s="228"/>
      <c r="AV56" s="229"/>
      <c r="AW56" s="228"/>
      <c r="AX56" s="229"/>
      <c r="AY56" s="228"/>
      <c r="AZ56" s="227"/>
      <c r="BA56" s="228"/>
      <c r="BB56" s="230"/>
      <c r="BC56" s="228"/>
      <c r="BD56" s="227"/>
      <c r="BE56" s="228"/>
      <c r="BF56" s="227"/>
    </row>
    <row r="57" spans="1:58" s="10" customFormat="1" x14ac:dyDescent="0.2">
      <c r="A57" s="336" t="s">
        <v>187</v>
      </c>
      <c r="B57" s="514">
        <f>C7*B$55</f>
        <v>2170.3003546622813</v>
      </c>
      <c r="C57" s="514">
        <f t="shared" ref="B57:F62" si="10">D7*C$55</f>
        <v>0</v>
      </c>
      <c r="D57" s="514">
        <f t="shared" si="10"/>
        <v>0</v>
      </c>
      <c r="E57" s="514">
        <f t="shared" si="10"/>
        <v>0</v>
      </c>
      <c r="F57" s="514">
        <f t="shared" si="10"/>
        <v>0</v>
      </c>
      <c r="G57" s="515">
        <f t="shared" ref="G57:J62" si="11">I7*G$55</f>
        <v>0</v>
      </c>
      <c r="H57" s="514">
        <f t="shared" si="11"/>
        <v>0</v>
      </c>
      <c r="I57" s="514">
        <f t="shared" si="11"/>
        <v>0</v>
      </c>
      <c r="J57" s="514">
        <f t="shared" si="11"/>
        <v>0</v>
      </c>
      <c r="K57" s="516">
        <f t="shared" ref="K57:K62" si="12">N7*K$55</f>
        <v>0</v>
      </c>
      <c r="L57" s="292"/>
      <c r="M57" s="292"/>
      <c r="N57" s="293"/>
      <c r="O57" s="229"/>
      <c r="P57" s="228"/>
      <c r="Q57" s="229"/>
      <c r="R57" s="228"/>
      <c r="S57" s="227"/>
      <c r="T57" s="228"/>
      <c r="U57" s="227"/>
      <c r="V57" s="228"/>
      <c r="W57" s="227"/>
      <c r="X57" s="227"/>
      <c r="Y57" s="228"/>
      <c r="Z57" s="229"/>
      <c r="AA57" s="228"/>
      <c r="AB57" s="229"/>
      <c r="AC57" s="228"/>
      <c r="AD57" s="229"/>
      <c r="AE57" s="228"/>
      <c r="AF57" s="227"/>
      <c r="AG57" s="228"/>
      <c r="AH57" s="229"/>
      <c r="AI57" s="228"/>
      <c r="AJ57" s="230"/>
      <c r="AK57" s="228"/>
      <c r="AL57" s="229"/>
      <c r="AM57" s="228"/>
      <c r="AN57" s="229"/>
      <c r="AO57" s="228"/>
      <c r="AP57" s="229"/>
      <c r="AQ57" s="228"/>
      <c r="AR57" s="229"/>
      <c r="AS57" s="228"/>
      <c r="AT57" s="227"/>
      <c r="AU57" s="228"/>
      <c r="AV57" s="229"/>
      <c r="AW57" s="228"/>
      <c r="AX57" s="229"/>
      <c r="AY57" s="228"/>
      <c r="AZ57" s="227"/>
      <c r="BA57" s="228"/>
      <c r="BB57" s="230"/>
      <c r="BC57" s="228"/>
      <c r="BD57" s="227"/>
      <c r="BE57" s="228"/>
      <c r="BF57" s="227"/>
    </row>
    <row r="58" spans="1:58" s="10" customFormat="1" x14ac:dyDescent="0.2">
      <c r="A58" s="338" t="s">
        <v>188</v>
      </c>
      <c r="B58" s="339">
        <f t="shared" si="10"/>
        <v>1437.8239849637614</v>
      </c>
      <c r="C58" s="340">
        <f t="shared" si="10"/>
        <v>0</v>
      </c>
      <c r="D58" s="340">
        <f t="shared" si="10"/>
        <v>0</v>
      </c>
      <c r="E58" s="340">
        <f t="shared" si="10"/>
        <v>0</v>
      </c>
      <c r="F58" s="340">
        <f t="shared" si="10"/>
        <v>0</v>
      </c>
      <c r="G58" s="340">
        <f t="shared" si="11"/>
        <v>0</v>
      </c>
      <c r="H58" s="340">
        <f t="shared" si="11"/>
        <v>0</v>
      </c>
      <c r="I58" s="340">
        <f t="shared" si="11"/>
        <v>0</v>
      </c>
      <c r="J58" s="341">
        <f t="shared" si="11"/>
        <v>0</v>
      </c>
      <c r="K58" s="342">
        <f t="shared" si="12"/>
        <v>0</v>
      </c>
      <c r="L58" s="292"/>
      <c r="M58" s="292"/>
      <c r="N58" s="293"/>
      <c r="O58" s="229"/>
      <c r="P58" s="228"/>
      <c r="Q58" s="229"/>
      <c r="R58" s="228"/>
      <c r="S58" s="227"/>
      <c r="T58" s="228"/>
      <c r="U58" s="227"/>
      <c r="V58" s="228"/>
      <c r="W58" s="227"/>
      <c r="X58" s="227"/>
      <c r="Y58" s="228"/>
      <c r="Z58" s="229"/>
      <c r="AA58" s="228"/>
      <c r="AB58" s="229"/>
      <c r="AC58" s="228"/>
      <c r="AD58" s="229"/>
      <c r="AE58" s="228"/>
      <c r="AF58" s="227"/>
      <c r="AG58" s="228"/>
      <c r="AH58" s="229"/>
      <c r="AI58" s="228"/>
      <c r="AJ58" s="230"/>
      <c r="AK58" s="228"/>
      <c r="AL58" s="229"/>
      <c r="AM58" s="228"/>
      <c r="AN58" s="229"/>
      <c r="AO58" s="228"/>
      <c r="AP58" s="229"/>
      <c r="AQ58" s="228"/>
      <c r="AR58" s="229"/>
      <c r="AS58" s="228"/>
      <c r="AT58" s="227"/>
      <c r="AU58" s="228"/>
      <c r="AV58" s="229"/>
      <c r="AW58" s="228"/>
      <c r="AX58" s="229"/>
      <c r="AY58" s="228"/>
      <c r="AZ58" s="227"/>
      <c r="BA58" s="228"/>
      <c r="BB58" s="230"/>
      <c r="BC58" s="228"/>
      <c r="BD58" s="227"/>
      <c r="BE58" s="228"/>
      <c r="BF58" s="227"/>
    </row>
    <row r="59" spans="1:58" s="10" customFormat="1" x14ac:dyDescent="0.2">
      <c r="A59" s="338" t="s">
        <v>189</v>
      </c>
      <c r="B59" s="339">
        <f t="shared" si="10"/>
        <v>1587.0321343467931</v>
      </c>
      <c r="C59" s="340">
        <f t="shared" si="10"/>
        <v>0</v>
      </c>
      <c r="D59" s="340">
        <f t="shared" si="10"/>
        <v>0</v>
      </c>
      <c r="E59" s="340">
        <f t="shared" si="10"/>
        <v>0</v>
      </c>
      <c r="F59" s="340">
        <f t="shared" si="10"/>
        <v>0</v>
      </c>
      <c r="G59" s="340">
        <f t="shared" si="11"/>
        <v>0</v>
      </c>
      <c r="H59" s="340">
        <f t="shared" si="11"/>
        <v>0</v>
      </c>
      <c r="I59" s="340">
        <f t="shared" si="11"/>
        <v>0</v>
      </c>
      <c r="J59" s="341">
        <f t="shared" si="11"/>
        <v>0</v>
      </c>
      <c r="K59" s="342">
        <f t="shared" si="12"/>
        <v>0</v>
      </c>
      <c r="L59" s="292"/>
      <c r="M59" s="292"/>
      <c r="N59" s="293"/>
      <c r="O59" s="229"/>
      <c r="P59" s="228"/>
      <c r="Q59" s="229"/>
      <c r="R59" s="228"/>
      <c r="S59" s="227"/>
      <c r="T59" s="228"/>
      <c r="U59" s="227"/>
      <c r="V59" s="228"/>
      <c r="W59" s="227"/>
      <c r="X59" s="227"/>
      <c r="Y59" s="228"/>
      <c r="Z59" s="229"/>
      <c r="AA59" s="228"/>
      <c r="AB59" s="229"/>
      <c r="AC59" s="228"/>
      <c r="AD59" s="229"/>
      <c r="AE59" s="228"/>
      <c r="AF59" s="227"/>
      <c r="AG59" s="228"/>
      <c r="AH59" s="229"/>
      <c r="AI59" s="228"/>
      <c r="AJ59" s="230"/>
      <c r="AK59" s="228"/>
      <c r="AL59" s="229"/>
      <c r="AM59" s="228"/>
      <c r="AN59" s="229"/>
      <c r="AO59" s="228"/>
      <c r="AP59" s="229"/>
      <c r="AQ59" s="228"/>
      <c r="AR59" s="229"/>
      <c r="AS59" s="228"/>
      <c r="AT59" s="227"/>
      <c r="AU59" s="228"/>
      <c r="AV59" s="229"/>
      <c r="AW59" s="228"/>
      <c r="AX59" s="229"/>
      <c r="AY59" s="228"/>
      <c r="AZ59" s="227"/>
      <c r="BA59" s="228"/>
      <c r="BB59" s="230"/>
      <c r="BC59" s="228"/>
      <c r="BD59" s="227"/>
      <c r="BE59" s="228"/>
      <c r="BF59" s="227"/>
    </row>
    <row r="60" spans="1:58" x14ac:dyDescent="0.2">
      <c r="A60" s="338" t="s">
        <v>190</v>
      </c>
      <c r="B60" s="339">
        <f t="shared" si="10"/>
        <v>0</v>
      </c>
      <c r="C60" s="340">
        <f t="shared" si="10"/>
        <v>3690.7799999999993</v>
      </c>
      <c r="D60" s="340">
        <f t="shared" si="10"/>
        <v>0</v>
      </c>
      <c r="E60" s="340">
        <f t="shared" si="10"/>
        <v>0</v>
      </c>
      <c r="F60" s="340">
        <f t="shared" si="10"/>
        <v>0</v>
      </c>
      <c r="G60" s="340">
        <f t="shared" si="11"/>
        <v>0</v>
      </c>
      <c r="H60" s="340">
        <f t="shared" si="11"/>
        <v>0</v>
      </c>
      <c r="I60" s="340">
        <f t="shared" si="11"/>
        <v>0</v>
      </c>
      <c r="J60" s="341">
        <f t="shared" si="11"/>
        <v>0</v>
      </c>
      <c r="K60" s="342">
        <f t="shared" si="12"/>
        <v>0</v>
      </c>
      <c r="L60" s="292"/>
      <c r="M60" s="292"/>
      <c r="N60" s="293"/>
      <c r="O60" s="229"/>
      <c r="P60" s="228"/>
      <c r="Q60" s="229"/>
      <c r="R60" s="228"/>
      <c r="S60" s="227"/>
      <c r="T60" s="228"/>
      <c r="U60" s="227"/>
      <c r="V60" s="228"/>
      <c r="W60" s="227"/>
      <c r="X60" s="227"/>
      <c r="Y60" s="228"/>
      <c r="Z60" s="229"/>
      <c r="AA60" s="228"/>
      <c r="AB60" s="229"/>
      <c r="AC60" s="228"/>
      <c r="AD60" s="229"/>
      <c r="AE60" s="228"/>
      <c r="AF60" s="227"/>
      <c r="AG60" s="228"/>
      <c r="AH60" s="229"/>
      <c r="AI60" s="228"/>
      <c r="AJ60" s="230"/>
      <c r="AK60" s="228"/>
      <c r="AL60" s="229"/>
      <c r="AM60" s="228"/>
      <c r="AN60" s="229"/>
      <c r="AO60" s="228"/>
      <c r="AP60" s="229"/>
      <c r="AQ60" s="228"/>
      <c r="AR60" s="229"/>
      <c r="AS60" s="228"/>
      <c r="AT60" s="227"/>
      <c r="AU60" s="228"/>
      <c r="AV60" s="229"/>
      <c r="AW60" s="228"/>
      <c r="AX60" s="229"/>
      <c r="AY60" s="228"/>
      <c r="AZ60" s="227"/>
      <c r="BA60" s="228"/>
      <c r="BB60" s="230"/>
      <c r="BC60" s="228"/>
      <c r="BD60" s="227"/>
      <c r="BE60" s="228"/>
      <c r="BF60" s="227"/>
    </row>
    <row r="61" spans="1:58" x14ac:dyDescent="0.2">
      <c r="A61" s="338" t="s">
        <v>191</v>
      </c>
      <c r="B61" s="339">
        <f t="shared" si="10"/>
        <v>4598.3238764407088</v>
      </c>
      <c r="C61" s="340">
        <f t="shared" si="10"/>
        <v>0</v>
      </c>
      <c r="D61" s="340">
        <f t="shared" si="10"/>
        <v>0</v>
      </c>
      <c r="E61" s="340">
        <f t="shared" si="10"/>
        <v>0</v>
      </c>
      <c r="F61" s="340">
        <f t="shared" si="10"/>
        <v>0</v>
      </c>
      <c r="G61" s="340">
        <f t="shared" si="11"/>
        <v>0</v>
      </c>
      <c r="H61" s="340">
        <f t="shared" si="11"/>
        <v>0</v>
      </c>
      <c r="I61" s="340">
        <f t="shared" si="11"/>
        <v>0</v>
      </c>
      <c r="J61" s="341">
        <f t="shared" si="11"/>
        <v>0</v>
      </c>
      <c r="K61" s="342">
        <f t="shared" si="12"/>
        <v>0</v>
      </c>
      <c r="L61" s="292"/>
      <c r="M61" s="292"/>
      <c r="N61" s="293"/>
      <c r="O61" s="229"/>
      <c r="P61" s="228"/>
      <c r="Q61" s="229"/>
      <c r="R61" s="228"/>
      <c r="S61" s="227"/>
      <c r="T61" s="228"/>
      <c r="U61" s="227"/>
      <c r="V61" s="228"/>
      <c r="W61" s="227"/>
      <c r="X61" s="227"/>
      <c r="Y61" s="228"/>
      <c r="Z61" s="229"/>
      <c r="AA61" s="228"/>
      <c r="AB61" s="229"/>
      <c r="AC61" s="228"/>
      <c r="AD61" s="229"/>
      <c r="AE61" s="228"/>
      <c r="AF61" s="227"/>
      <c r="AG61" s="228"/>
      <c r="AH61" s="229"/>
      <c r="AI61" s="228"/>
      <c r="AJ61" s="230"/>
      <c r="AK61" s="228"/>
      <c r="AL61" s="229"/>
      <c r="AM61" s="228"/>
      <c r="AN61" s="229"/>
      <c r="AO61" s="228"/>
      <c r="AP61" s="229"/>
      <c r="AQ61" s="228"/>
      <c r="AR61" s="229"/>
      <c r="AS61" s="228"/>
      <c r="AT61" s="227"/>
      <c r="AU61" s="228"/>
      <c r="AV61" s="229"/>
      <c r="AW61" s="228"/>
      <c r="AX61" s="229"/>
      <c r="AY61" s="228"/>
      <c r="AZ61" s="227"/>
      <c r="BA61" s="228"/>
      <c r="BB61" s="230"/>
      <c r="BC61" s="228"/>
      <c r="BD61" s="227"/>
      <c r="BE61" s="228"/>
      <c r="BF61" s="227"/>
    </row>
    <row r="62" spans="1:58" x14ac:dyDescent="0.2">
      <c r="A62" s="338" t="s">
        <v>192</v>
      </c>
      <c r="B62" s="339">
        <f t="shared" si="10"/>
        <v>0</v>
      </c>
      <c r="C62" s="340">
        <f t="shared" si="10"/>
        <v>0</v>
      </c>
      <c r="D62" s="340">
        <f t="shared" si="10"/>
        <v>0</v>
      </c>
      <c r="E62" s="340">
        <f t="shared" si="10"/>
        <v>0</v>
      </c>
      <c r="F62" s="340">
        <f t="shared" si="10"/>
        <v>0</v>
      </c>
      <c r="G62" s="340">
        <f t="shared" si="11"/>
        <v>0</v>
      </c>
      <c r="H62" s="340">
        <f t="shared" si="11"/>
        <v>0</v>
      </c>
      <c r="I62" s="340">
        <f t="shared" si="11"/>
        <v>0</v>
      </c>
      <c r="J62" s="341">
        <f t="shared" si="11"/>
        <v>0</v>
      </c>
      <c r="K62" s="342">
        <f t="shared" si="12"/>
        <v>0</v>
      </c>
      <c r="L62" s="292"/>
      <c r="M62" s="292"/>
      <c r="N62" s="293"/>
      <c r="O62" s="229"/>
      <c r="P62" s="228"/>
      <c r="Q62" s="229"/>
      <c r="R62" s="228"/>
      <c r="S62" s="227"/>
      <c r="T62" s="228"/>
      <c r="U62" s="227"/>
      <c r="V62" s="228"/>
      <c r="W62" s="227"/>
      <c r="X62" s="227"/>
      <c r="Y62" s="228"/>
      <c r="Z62" s="229"/>
      <c r="AA62" s="228"/>
      <c r="AB62" s="229"/>
      <c r="AC62" s="228"/>
      <c r="AD62" s="229"/>
      <c r="AE62" s="228"/>
      <c r="AF62" s="227"/>
      <c r="AG62" s="228"/>
      <c r="AH62" s="229"/>
      <c r="AI62" s="228"/>
      <c r="AJ62" s="230"/>
      <c r="AK62" s="228"/>
      <c r="AL62" s="229"/>
      <c r="AM62" s="228"/>
      <c r="AN62" s="229"/>
      <c r="AO62" s="228"/>
      <c r="AP62" s="229"/>
      <c r="AQ62" s="228"/>
      <c r="AR62" s="229"/>
      <c r="AS62" s="228"/>
      <c r="AT62" s="227"/>
      <c r="AU62" s="228"/>
      <c r="AV62" s="229"/>
      <c r="AW62" s="228"/>
      <c r="AX62" s="229"/>
      <c r="AY62" s="228"/>
      <c r="AZ62" s="227"/>
      <c r="BA62" s="228"/>
      <c r="BB62" s="230"/>
      <c r="BC62" s="228"/>
      <c r="BD62" s="227"/>
      <c r="BE62" s="228"/>
      <c r="BF62" s="227"/>
    </row>
    <row r="63" spans="1:58" x14ac:dyDescent="0.2">
      <c r="A63" s="338" t="s">
        <v>193</v>
      </c>
      <c r="B63" s="339">
        <f t="shared" ref="B63:F72" si="13">C15*B$55</f>
        <v>217.03003546622813</v>
      </c>
      <c r="C63" s="339">
        <f t="shared" si="13"/>
        <v>0</v>
      </c>
      <c r="D63" s="339">
        <f t="shared" si="13"/>
        <v>0</v>
      </c>
      <c r="E63" s="339">
        <f t="shared" si="13"/>
        <v>0</v>
      </c>
      <c r="F63" s="339">
        <f t="shared" si="13"/>
        <v>0</v>
      </c>
      <c r="G63" s="340">
        <f t="shared" ref="G63:G79" si="14">I15*G$55</f>
        <v>0</v>
      </c>
      <c r="H63" s="340">
        <f t="shared" ref="H63:H79" si="15">J15*H$55</f>
        <v>0</v>
      </c>
      <c r="I63" s="339">
        <f t="shared" ref="I63:I79" si="16">K15*I$55</f>
        <v>2915.24</v>
      </c>
      <c r="J63" s="339">
        <f t="shared" ref="J63:J79" si="17">L15*J$55</f>
        <v>0</v>
      </c>
      <c r="K63" s="342">
        <f>N15*K$55</f>
        <v>0</v>
      </c>
      <c r="L63" s="292"/>
      <c r="M63" s="292"/>
      <c r="N63" s="293"/>
      <c r="O63" s="229"/>
      <c r="P63" s="228"/>
      <c r="Q63" s="229"/>
      <c r="R63" s="228"/>
      <c r="S63" s="227"/>
      <c r="T63" s="228"/>
      <c r="U63" s="227"/>
      <c r="V63" s="228"/>
      <c r="W63" s="227"/>
      <c r="X63" s="227"/>
      <c r="Y63" s="228"/>
      <c r="Z63" s="229"/>
      <c r="AA63" s="228"/>
      <c r="AB63" s="229"/>
      <c r="AC63" s="228"/>
      <c r="AD63" s="229"/>
      <c r="AE63" s="228"/>
      <c r="AF63" s="227"/>
      <c r="AG63" s="228"/>
      <c r="AH63" s="229"/>
      <c r="AI63" s="228"/>
      <c r="AJ63" s="230"/>
      <c r="AK63" s="228"/>
      <c r="AL63" s="229"/>
      <c r="AM63" s="228"/>
      <c r="AN63" s="229"/>
      <c r="AO63" s="228"/>
      <c r="AP63" s="229"/>
      <c r="AQ63" s="228"/>
      <c r="AR63" s="229"/>
      <c r="AS63" s="228"/>
      <c r="AT63" s="227"/>
      <c r="AU63" s="228"/>
      <c r="AV63" s="229"/>
      <c r="AW63" s="228"/>
      <c r="AX63" s="229"/>
      <c r="AY63" s="228"/>
      <c r="AZ63" s="227"/>
      <c r="BA63" s="228"/>
      <c r="BB63" s="230"/>
      <c r="BC63" s="228"/>
      <c r="BD63" s="227"/>
      <c r="BE63" s="228"/>
      <c r="BF63" s="227"/>
    </row>
    <row r="64" spans="1:58" x14ac:dyDescent="0.2">
      <c r="A64" s="338" t="s">
        <v>194</v>
      </c>
      <c r="B64" s="339">
        <f t="shared" si="13"/>
        <v>0</v>
      </c>
      <c r="C64" s="339">
        <f t="shared" si="13"/>
        <v>0</v>
      </c>
      <c r="D64" s="339">
        <f t="shared" si="13"/>
        <v>0</v>
      </c>
      <c r="E64" s="339">
        <f t="shared" si="13"/>
        <v>0</v>
      </c>
      <c r="F64" s="339">
        <f t="shared" si="13"/>
        <v>0</v>
      </c>
      <c r="G64" s="340">
        <f t="shared" si="14"/>
        <v>0</v>
      </c>
      <c r="H64" s="340">
        <f t="shared" si="15"/>
        <v>0</v>
      </c>
      <c r="I64" s="339">
        <f t="shared" si="16"/>
        <v>0</v>
      </c>
      <c r="J64" s="339">
        <f t="shared" si="17"/>
        <v>0</v>
      </c>
      <c r="K64" s="342">
        <f t="shared" ref="K64:K79" si="18">N16*K$55</f>
        <v>0</v>
      </c>
      <c r="L64" s="292"/>
      <c r="M64" s="292"/>
      <c r="N64" s="293"/>
      <c r="O64" s="229"/>
      <c r="P64" s="228"/>
      <c r="Q64" s="229"/>
      <c r="R64" s="228"/>
      <c r="S64" s="227"/>
      <c r="T64" s="228"/>
      <c r="U64" s="227"/>
      <c r="V64" s="228"/>
      <c r="W64" s="227"/>
      <c r="X64" s="227"/>
      <c r="Y64" s="228"/>
      <c r="Z64" s="229"/>
      <c r="AA64" s="228"/>
      <c r="AB64" s="229"/>
      <c r="AC64" s="228"/>
      <c r="AD64" s="229"/>
      <c r="AE64" s="228"/>
      <c r="AF64" s="227"/>
      <c r="AG64" s="228"/>
      <c r="AH64" s="229"/>
      <c r="AI64" s="228"/>
      <c r="AJ64" s="230"/>
      <c r="AK64" s="228"/>
      <c r="AL64" s="229"/>
      <c r="AM64" s="228"/>
      <c r="AN64" s="229"/>
      <c r="AO64" s="228"/>
      <c r="AP64" s="229"/>
      <c r="AQ64" s="228"/>
      <c r="AR64" s="229"/>
      <c r="AS64" s="228"/>
      <c r="AT64" s="227"/>
      <c r="AU64" s="228"/>
      <c r="AV64" s="229"/>
      <c r="AW64" s="228"/>
      <c r="AX64" s="229"/>
      <c r="AY64" s="228"/>
      <c r="AZ64" s="227"/>
      <c r="BA64" s="228"/>
      <c r="BB64" s="230"/>
      <c r="BC64" s="228"/>
      <c r="BD64" s="227"/>
      <c r="BE64" s="228"/>
      <c r="BF64" s="227"/>
    </row>
    <row r="65" spans="1:58" x14ac:dyDescent="0.2">
      <c r="A65" s="338" t="s">
        <v>195</v>
      </c>
      <c r="B65" s="339">
        <f t="shared" si="13"/>
        <v>0</v>
      </c>
      <c r="C65" s="339">
        <f t="shared" si="13"/>
        <v>0</v>
      </c>
      <c r="D65" s="339">
        <f t="shared" si="13"/>
        <v>0</v>
      </c>
      <c r="E65" s="339">
        <f t="shared" si="13"/>
        <v>0</v>
      </c>
      <c r="F65" s="339">
        <f t="shared" si="13"/>
        <v>0</v>
      </c>
      <c r="G65" s="340">
        <f t="shared" si="14"/>
        <v>0</v>
      </c>
      <c r="H65" s="340">
        <f t="shared" si="15"/>
        <v>0</v>
      </c>
      <c r="I65" s="339">
        <f t="shared" si="16"/>
        <v>0</v>
      </c>
      <c r="J65" s="339">
        <f t="shared" si="17"/>
        <v>0</v>
      </c>
      <c r="K65" s="342">
        <f t="shared" si="18"/>
        <v>0</v>
      </c>
      <c r="L65" s="292"/>
      <c r="M65" s="292"/>
      <c r="N65" s="293"/>
      <c r="O65" s="229"/>
      <c r="P65" s="228"/>
      <c r="Q65" s="229"/>
      <c r="R65" s="228"/>
      <c r="S65" s="227"/>
      <c r="T65" s="228"/>
      <c r="U65" s="227"/>
      <c r="V65" s="228"/>
      <c r="W65" s="227"/>
      <c r="X65" s="227"/>
      <c r="Y65" s="228"/>
      <c r="Z65" s="229"/>
      <c r="AA65" s="228"/>
      <c r="AB65" s="229"/>
      <c r="AC65" s="228"/>
      <c r="AD65" s="229"/>
      <c r="AE65" s="228"/>
      <c r="AF65" s="227"/>
      <c r="AG65" s="228"/>
      <c r="AH65" s="229"/>
      <c r="AI65" s="228"/>
      <c r="AJ65" s="230"/>
      <c r="AK65" s="228"/>
      <c r="AL65" s="229"/>
      <c r="AM65" s="228"/>
      <c r="AN65" s="229"/>
      <c r="AO65" s="228"/>
      <c r="AP65" s="229"/>
      <c r="AQ65" s="228"/>
      <c r="AR65" s="229"/>
      <c r="AS65" s="228"/>
      <c r="AT65" s="227"/>
      <c r="AU65" s="228"/>
      <c r="AV65" s="229"/>
      <c r="AW65" s="228"/>
      <c r="AX65" s="229"/>
      <c r="AY65" s="228"/>
      <c r="AZ65" s="227"/>
      <c r="BA65" s="228"/>
      <c r="BB65" s="230"/>
      <c r="BC65" s="228"/>
      <c r="BD65" s="227"/>
      <c r="BE65" s="228"/>
      <c r="BF65" s="227"/>
    </row>
    <row r="66" spans="1:58" x14ac:dyDescent="0.2">
      <c r="A66" s="338" t="s">
        <v>196</v>
      </c>
      <c r="B66" s="339">
        <f t="shared" si="13"/>
        <v>0</v>
      </c>
      <c r="C66" s="339">
        <f t="shared" si="13"/>
        <v>0</v>
      </c>
      <c r="D66" s="339">
        <f t="shared" si="13"/>
        <v>0</v>
      </c>
      <c r="E66" s="339">
        <f t="shared" si="13"/>
        <v>0</v>
      </c>
      <c r="F66" s="339">
        <f t="shared" si="13"/>
        <v>0</v>
      </c>
      <c r="G66" s="340">
        <f t="shared" si="14"/>
        <v>0</v>
      </c>
      <c r="H66" s="340">
        <f t="shared" si="15"/>
        <v>0</v>
      </c>
      <c r="I66" s="339">
        <f t="shared" si="16"/>
        <v>4278.82</v>
      </c>
      <c r="J66" s="339">
        <f t="shared" si="17"/>
        <v>0</v>
      </c>
      <c r="K66" s="342">
        <f t="shared" si="18"/>
        <v>0</v>
      </c>
      <c r="L66" s="292"/>
      <c r="M66" s="292"/>
      <c r="N66" s="293"/>
      <c r="O66" s="229"/>
      <c r="P66" s="228"/>
      <c r="Q66" s="229"/>
      <c r="R66" s="228"/>
      <c r="S66" s="227"/>
      <c r="T66" s="228"/>
      <c r="U66" s="227"/>
      <c r="V66" s="228"/>
      <c r="W66" s="227"/>
      <c r="X66" s="227"/>
      <c r="Y66" s="228"/>
      <c r="Z66" s="229"/>
      <c r="AA66" s="228"/>
      <c r="AB66" s="229"/>
      <c r="AC66" s="228"/>
      <c r="AD66" s="229"/>
      <c r="AE66" s="228"/>
      <c r="AF66" s="227"/>
      <c r="AG66" s="228"/>
      <c r="AH66" s="229"/>
      <c r="AI66" s="228"/>
      <c r="AJ66" s="230"/>
      <c r="AK66" s="228"/>
      <c r="AL66" s="229"/>
      <c r="AM66" s="228"/>
      <c r="AN66" s="229"/>
      <c r="AO66" s="228"/>
      <c r="AP66" s="229"/>
      <c r="AQ66" s="228"/>
      <c r="AR66" s="229"/>
      <c r="AS66" s="228"/>
      <c r="AT66" s="227"/>
      <c r="AU66" s="228"/>
      <c r="AV66" s="229"/>
      <c r="AW66" s="228"/>
      <c r="AX66" s="229"/>
      <c r="AY66" s="228"/>
      <c r="AZ66" s="227"/>
      <c r="BA66" s="228"/>
      <c r="BB66" s="230"/>
      <c r="BC66" s="228"/>
      <c r="BD66" s="227"/>
      <c r="BE66" s="228"/>
      <c r="BF66" s="227"/>
    </row>
    <row r="67" spans="1:58" x14ac:dyDescent="0.2">
      <c r="A67" s="338" t="s">
        <v>197</v>
      </c>
      <c r="B67" s="339">
        <f t="shared" si="13"/>
        <v>0</v>
      </c>
      <c r="C67" s="339">
        <f t="shared" si="13"/>
        <v>205.49999999999997</v>
      </c>
      <c r="D67" s="339">
        <f t="shared" si="13"/>
        <v>0</v>
      </c>
      <c r="E67" s="339">
        <f t="shared" si="13"/>
        <v>0</v>
      </c>
      <c r="F67" s="339">
        <f t="shared" si="13"/>
        <v>0</v>
      </c>
      <c r="G67" s="340">
        <f t="shared" si="14"/>
        <v>0</v>
      </c>
      <c r="H67" s="340">
        <f t="shared" si="15"/>
        <v>0</v>
      </c>
      <c r="I67" s="339">
        <f t="shared" si="16"/>
        <v>0</v>
      </c>
      <c r="J67" s="339">
        <f t="shared" si="17"/>
        <v>0</v>
      </c>
      <c r="K67" s="342">
        <f t="shared" si="18"/>
        <v>0</v>
      </c>
      <c r="L67" s="292"/>
      <c r="M67" s="292"/>
      <c r="N67" s="293"/>
      <c r="O67" s="229"/>
      <c r="P67" s="228"/>
      <c r="Q67" s="229"/>
      <c r="R67" s="228"/>
      <c r="S67" s="227"/>
      <c r="T67" s="228"/>
      <c r="U67" s="227"/>
      <c r="V67" s="228"/>
      <c r="W67" s="227"/>
      <c r="X67" s="227"/>
      <c r="Y67" s="228"/>
      <c r="Z67" s="229"/>
      <c r="AA67" s="228"/>
      <c r="AB67" s="229"/>
      <c r="AC67" s="228"/>
      <c r="AD67" s="229"/>
      <c r="AE67" s="228"/>
      <c r="AF67" s="227"/>
      <c r="AG67" s="228"/>
      <c r="AH67" s="229"/>
      <c r="AI67" s="228"/>
      <c r="AJ67" s="230"/>
      <c r="AK67" s="228"/>
      <c r="AL67" s="229"/>
      <c r="AM67" s="228"/>
      <c r="AN67" s="229"/>
      <c r="AO67" s="228"/>
      <c r="AP67" s="229"/>
      <c r="AQ67" s="228"/>
      <c r="AR67" s="229"/>
      <c r="AS67" s="228"/>
      <c r="AT67" s="227"/>
      <c r="AU67" s="228"/>
      <c r="AV67" s="229"/>
      <c r="AW67" s="228"/>
      <c r="AX67" s="229"/>
      <c r="AY67" s="228"/>
      <c r="AZ67" s="227"/>
      <c r="BA67" s="228"/>
      <c r="BB67" s="230"/>
      <c r="BC67" s="228"/>
      <c r="BD67" s="227"/>
      <c r="BE67" s="228"/>
      <c r="BF67" s="227"/>
    </row>
    <row r="68" spans="1:58" x14ac:dyDescent="0.2">
      <c r="A68" s="338" t="s">
        <v>203</v>
      </c>
      <c r="B68" s="339">
        <f t="shared" si="13"/>
        <v>0</v>
      </c>
      <c r="C68" s="339">
        <f t="shared" si="13"/>
        <v>0</v>
      </c>
      <c r="D68" s="339">
        <f t="shared" si="13"/>
        <v>0</v>
      </c>
      <c r="E68" s="339">
        <f t="shared" si="13"/>
        <v>0</v>
      </c>
      <c r="F68" s="339">
        <f t="shared" si="13"/>
        <v>0</v>
      </c>
      <c r="G68" s="340">
        <f t="shared" si="14"/>
        <v>0</v>
      </c>
      <c r="H68" s="340">
        <f t="shared" si="15"/>
        <v>0</v>
      </c>
      <c r="I68" s="339">
        <f t="shared" si="16"/>
        <v>0</v>
      </c>
      <c r="J68" s="339">
        <f t="shared" si="17"/>
        <v>0</v>
      </c>
      <c r="K68" s="342">
        <f t="shared" si="18"/>
        <v>0</v>
      </c>
      <c r="L68" s="292"/>
      <c r="M68" s="292"/>
      <c r="N68" s="293"/>
      <c r="O68" s="229"/>
      <c r="P68" s="228"/>
      <c r="Q68" s="229"/>
      <c r="R68" s="228"/>
      <c r="S68" s="227"/>
      <c r="T68" s="228"/>
      <c r="U68" s="227"/>
      <c r="V68" s="228"/>
      <c r="W68" s="227"/>
      <c r="X68" s="227"/>
      <c r="Y68" s="228"/>
      <c r="Z68" s="229"/>
      <c r="AA68" s="228"/>
      <c r="AB68" s="229"/>
      <c r="AC68" s="228"/>
      <c r="AD68" s="229"/>
      <c r="AE68" s="228"/>
      <c r="AF68" s="227"/>
      <c r="AG68" s="228"/>
      <c r="AH68" s="229"/>
      <c r="AI68" s="228"/>
      <c r="AJ68" s="230"/>
      <c r="AK68" s="228"/>
      <c r="AL68" s="229"/>
      <c r="AM68" s="228"/>
      <c r="AN68" s="229"/>
      <c r="AO68" s="228"/>
      <c r="AP68" s="229"/>
      <c r="AQ68" s="228"/>
      <c r="AR68" s="229"/>
      <c r="AS68" s="228"/>
      <c r="AT68" s="227"/>
      <c r="AU68" s="228"/>
      <c r="AV68" s="229"/>
      <c r="AW68" s="228"/>
      <c r="AX68" s="229"/>
      <c r="AY68" s="228"/>
      <c r="AZ68" s="227"/>
      <c r="BA68" s="228"/>
      <c r="BB68" s="230"/>
      <c r="BC68" s="228"/>
      <c r="BD68" s="227"/>
      <c r="BE68" s="228"/>
      <c r="BF68" s="227"/>
    </row>
    <row r="69" spans="1:58" x14ac:dyDescent="0.2">
      <c r="A69" s="338" t="s">
        <v>204</v>
      </c>
      <c r="B69" s="339">
        <f t="shared" si="13"/>
        <v>0</v>
      </c>
      <c r="C69" s="339">
        <f t="shared" si="13"/>
        <v>0</v>
      </c>
      <c r="D69" s="339">
        <f t="shared" si="13"/>
        <v>0</v>
      </c>
      <c r="E69" s="339">
        <f t="shared" si="13"/>
        <v>0</v>
      </c>
      <c r="F69" s="339">
        <f t="shared" si="13"/>
        <v>0</v>
      </c>
      <c r="G69" s="340">
        <f t="shared" si="14"/>
        <v>0</v>
      </c>
      <c r="H69" s="340">
        <f t="shared" si="15"/>
        <v>0</v>
      </c>
      <c r="I69" s="339">
        <f t="shared" si="16"/>
        <v>0</v>
      </c>
      <c r="J69" s="339">
        <f t="shared" si="17"/>
        <v>0</v>
      </c>
      <c r="K69" s="342">
        <f t="shared" si="18"/>
        <v>0</v>
      </c>
      <c r="L69" s="292"/>
      <c r="M69" s="292"/>
      <c r="N69" s="293"/>
      <c r="O69" s="229"/>
      <c r="P69" s="228"/>
      <c r="Q69" s="229"/>
      <c r="R69" s="228"/>
      <c r="S69" s="227"/>
      <c r="T69" s="228"/>
      <c r="U69" s="227"/>
      <c r="V69" s="228"/>
      <c r="W69" s="227"/>
      <c r="X69" s="227"/>
      <c r="Y69" s="228"/>
      <c r="Z69" s="229"/>
      <c r="AA69" s="228"/>
      <c r="AB69" s="229"/>
      <c r="AC69" s="228"/>
      <c r="AD69" s="229"/>
      <c r="AE69" s="228"/>
      <c r="AF69" s="227"/>
      <c r="AG69" s="228"/>
      <c r="AH69" s="229"/>
      <c r="AI69" s="228"/>
      <c r="AJ69" s="230"/>
      <c r="AK69" s="228"/>
      <c r="AL69" s="229"/>
      <c r="AM69" s="228"/>
      <c r="AN69" s="229"/>
      <c r="AO69" s="228"/>
      <c r="AP69" s="229"/>
      <c r="AQ69" s="228"/>
      <c r="AR69" s="229"/>
      <c r="AS69" s="228"/>
      <c r="AT69" s="227"/>
      <c r="AU69" s="228"/>
      <c r="AV69" s="229"/>
      <c r="AW69" s="228"/>
      <c r="AX69" s="229"/>
      <c r="AY69" s="228"/>
      <c r="AZ69" s="227"/>
      <c r="BA69" s="228"/>
      <c r="BB69" s="230"/>
      <c r="BC69" s="228"/>
      <c r="BD69" s="227"/>
      <c r="BE69" s="228"/>
      <c r="BF69" s="227"/>
    </row>
    <row r="70" spans="1:58" x14ac:dyDescent="0.2">
      <c r="A70" s="338" t="s">
        <v>205</v>
      </c>
      <c r="B70" s="339">
        <f t="shared" si="13"/>
        <v>0</v>
      </c>
      <c r="C70" s="339">
        <f t="shared" si="13"/>
        <v>0</v>
      </c>
      <c r="D70" s="339">
        <f t="shared" si="13"/>
        <v>0</v>
      </c>
      <c r="E70" s="339">
        <f t="shared" si="13"/>
        <v>0</v>
      </c>
      <c r="F70" s="339">
        <f t="shared" si="13"/>
        <v>0</v>
      </c>
      <c r="G70" s="340">
        <f t="shared" si="14"/>
        <v>0</v>
      </c>
      <c r="H70" s="340">
        <f t="shared" si="15"/>
        <v>0</v>
      </c>
      <c r="I70" s="339">
        <f t="shared" si="16"/>
        <v>0</v>
      </c>
      <c r="J70" s="339">
        <f t="shared" si="17"/>
        <v>0</v>
      </c>
      <c r="K70" s="342">
        <f t="shared" si="18"/>
        <v>0</v>
      </c>
      <c r="L70" s="292"/>
      <c r="M70" s="292"/>
      <c r="N70" s="293"/>
      <c r="O70" s="229"/>
      <c r="P70" s="228"/>
      <c r="Q70" s="229"/>
      <c r="R70" s="228"/>
      <c r="S70" s="227"/>
      <c r="T70" s="228"/>
      <c r="U70" s="227"/>
      <c r="V70" s="228"/>
      <c r="W70" s="227"/>
      <c r="X70" s="227"/>
      <c r="Y70" s="228"/>
      <c r="Z70" s="229"/>
      <c r="AA70" s="228"/>
      <c r="AB70" s="229"/>
      <c r="AC70" s="228"/>
      <c r="AD70" s="229"/>
      <c r="AE70" s="228"/>
      <c r="AF70" s="227"/>
      <c r="AG70" s="228"/>
      <c r="AH70" s="229"/>
      <c r="AI70" s="228"/>
      <c r="AJ70" s="230"/>
      <c r="AK70" s="228"/>
      <c r="AL70" s="229"/>
      <c r="AM70" s="228"/>
      <c r="AN70" s="229"/>
      <c r="AO70" s="228"/>
      <c r="AP70" s="229"/>
      <c r="AQ70" s="228"/>
      <c r="AR70" s="229"/>
      <c r="AS70" s="228"/>
      <c r="AT70" s="227"/>
      <c r="AU70" s="228"/>
      <c r="AV70" s="229"/>
      <c r="AW70" s="228"/>
      <c r="AX70" s="229"/>
      <c r="AY70" s="228"/>
      <c r="AZ70" s="227"/>
      <c r="BA70" s="228"/>
      <c r="BB70" s="230"/>
      <c r="BC70" s="228"/>
      <c r="BD70" s="227"/>
      <c r="BE70" s="228"/>
      <c r="BF70" s="227"/>
    </row>
    <row r="71" spans="1:58" x14ac:dyDescent="0.2">
      <c r="A71" s="338" t="s">
        <v>206</v>
      </c>
      <c r="B71" s="339">
        <f t="shared" si="13"/>
        <v>0</v>
      </c>
      <c r="C71" s="339">
        <f t="shared" si="13"/>
        <v>0</v>
      </c>
      <c r="D71" s="339">
        <f t="shared" si="13"/>
        <v>0</v>
      </c>
      <c r="E71" s="339">
        <f t="shared" si="13"/>
        <v>0</v>
      </c>
      <c r="F71" s="339">
        <f t="shared" si="13"/>
        <v>0</v>
      </c>
      <c r="G71" s="340">
        <f t="shared" si="14"/>
        <v>0</v>
      </c>
      <c r="H71" s="340">
        <f t="shared" si="15"/>
        <v>0</v>
      </c>
      <c r="I71" s="339">
        <f t="shared" si="16"/>
        <v>0</v>
      </c>
      <c r="J71" s="339">
        <f t="shared" si="17"/>
        <v>0</v>
      </c>
      <c r="K71" s="342">
        <f t="shared" si="18"/>
        <v>0</v>
      </c>
      <c r="L71" s="292"/>
      <c r="M71" s="292"/>
      <c r="N71" s="293"/>
      <c r="O71" s="229"/>
      <c r="P71" s="228"/>
      <c r="Q71" s="229"/>
      <c r="R71" s="228"/>
      <c r="S71" s="227"/>
      <c r="T71" s="228"/>
      <c r="U71" s="227"/>
      <c r="V71" s="228"/>
      <c r="W71" s="227"/>
      <c r="X71" s="227"/>
      <c r="Y71" s="228"/>
      <c r="Z71" s="229"/>
      <c r="AA71" s="228"/>
      <c r="AB71" s="229"/>
      <c r="AC71" s="228"/>
      <c r="AD71" s="229"/>
      <c r="AE71" s="228"/>
      <c r="AF71" s="227"/>
      <c r="AG71" s="228"/>
      <c r="AH71" s="229"/>
      <c r="AI71" s="228"/>
      <c r="AJ71" s="230"/>
      <c r="AK71" s="228"/>
      <c r="AL71" s="229"/>
      <c r="AM71" s="228"/>
      <c r="AN71" s="229"/>
      <c r="AO71" s="228"/>
      <c r="AP71" s="229"/>
      <c r="AQ71" s="228"/>
      <c r="AR71" s="229"/>
      <c r="AS71" s="228"/>
      <c r="AT71" s="227"/>
      <c r="AU71" s="228"/>
      <c r="AV71" s="229"/>
      <c r="AW71" s="228"/>
      <c r="AX71" s="229"/>
      <c r="AY71" s="228"/>
      <c r="AZ71" s="227"/>
      <c r="BA71" s="228"/>
      <c r="BB71" s="230"/>
      <c r="BC71" s="228"/>
      <c r="BD71" s="227"/>
      <c r="BE71" s="228"/>
      <c r="BF71" s="227"/>
    </row>
    <row r="72" spans="1:58" x14ac:dyDescent="0.2">
      <c r="A72" s="338" t="s">
        <v>207</v>
      </c>
      <c r="B72" s="339">
        <f t="shared" si="13"/>
        <v>0</v>
      </c>
      <c r="C72" s="339">
        <f t="shared" si="13"/>
        <v>0</v>
      </c>
      <c r="D72" s="339">
        <f t="shared" si="13"/>
        <v>0</v>
      </c>
      <c r="E72" s="339">
        <f t="shared" si="13"/>
        <v>0</v>
      </c>
      <c r="F72" s="339">
        <f t="shared" si="13"/>
        <v>0</v>
      </c>
      <c r="G72" s="340">
        <f t="shared" si="14"/>
        <v>0</v>
      </c>
      <c r="H72" s="340">
        <f t="shared" si="15"/>
        <v>0</v>
      </c>
      <c r="I72" s="339">
        <f t="shared" si="16"/>
        <v>0</v>
      </c>
      <c r="J72" s="339">
        <f t="shared" si="17"/>
        <v>0</v>
      </c>
      <c r="K72" s="342">
        <f t="shared" si="18"/>
        <v>0</v>
      </c>
      <c r="L72" s="292"/>
      <c r="M72" s="292"/>
      <c r="N72" s="293"/>
      <c r="O72" s="229"/>
      <c r="P72" s="228"/>
      <c r="Q72" s="229"/>
      <c r="R72" s="228"/>
      <c r="S72" s="227"/>
      <c r="T72" s="228"/>
      <c r="U72" s="227"/>
      <c r="V72" s="228"/>
      <c r="W72" s="227"/>
      <c r="X72" s="227"/>
      <c r="Y72" s="228"/>
      <c r="Z72" s="229"/>
      <c r="AA72" s="228"/>
      <c r="AB72" s="229"/>
      <c r="AC72" s="228"/>
      <c r="AD72" s="229"/>
      <c r="AE72" s="228"/>
      <c r="AF72" s="227"/>
      <c r="AG72" s="228"/>
      <c r="AH72" s="229"/>
      <c r="AI72" s="228"/>
      <c r="AJ72" s="230"/>
      <c r="AK72" s="228"/>
      <c r="AL72" s="229"/>
      <c r="AM72" s="228"/>
      <c r="AN72" s="229"/>
      <c r="AO72" s="228"/>
      <c r="AP72" s="229"/>
      <c r="AQ72" s="228"/>
      <c r="AR72" s="229"/>
      <c r="AS72" s="228"/>
      <c r="AT72" s="227"/>
      <c r="AU72" s="228"/>
      <c r="AV72" s="229"/>
      <c r="AW72" s="228"/>
      <c r="AX72" s="229"/>
      <c r="AY72" s="228"/>
      <c r="AZ72" s="227"/>
      <c r="BA72" s="228"/>
      <c r="BB72" s="230"/>
      <c r="BC72" s="228"/>
      <c r="BD72" s="227"/>
      <c r="BE72" s="228"/>
      <c r="BF72" s="227"/>
    </row>
    <row r="73" spans="1:58" x14ac:dyDescent="0.2">
      <c r="A73" s="338" t="s">
        <v>208</v>
      </c>
      <c r="B73" s="339">
        <f t="shared" ref="B73:F79" si="19">C25*B$55</f>
        <v>0</v>
      </c>
      <c r="C73" s="339">
        <f t="shared" si="19"/>
        <v>0</v>
      </c>
      <c r="D73" s="339">
        <f t="shared" si="19"/>
        <v>0</v>
      </c>
      <c r="E73" s="339">
        <f t="shared" si="19"/>
        <v>0</v>
      </c>
      <c r="F73" s="339">
        <f t="shared" si="19"/>
        <v>0</v>
      </c>
      <c r="G73" s="340">
        <f t="shared" si="14"/>
        <v>0</v>
      </c>
      <c r="H73" s="340">
        <f t="shared" si="15"/>
        <v>0</v>
      </c>
      <c r="I73" s="339">
        <f t="shared" si="16"/>
        <v>0</v>
      </c>
      <c r="J73" s="339">
        <f t="shared" si="17"/>
        <v>0</v>
      </c>
      <c r="K73" s="342">
        <f t="shared" si="18"/>
        <v>0</v>
      </c>
      <c r="L73" s="292"/>
      <c r="M73" s="292"/>
      <c r="N73" s="293"/>
      <c r="O73" s="229"/>
      <c r="P73" s="228"/>
      <c r="Q73" s="229"/>
      <c r="R73" s="228"/>
      <c r="S73" s="227"/>
      <c r="T73" s="228"/>
      <c r="U73" s="227"/>
      <c r="V73" s="228"/>
      <c r="W73" s="227"/>
      <c r="X73" s="227"/>
      <c r="Y73" s="228"/>
      <c r="Z73" s="229"/>
      <c r="AA73" s="228"/>
      <c r="AB73" s="229"/>
      <c r="AC73" s="228"/>
      <c r="AD73" s="229"/>
      <c r="AE73" s="228"/>
      <c r="AF73" s="227"/>
      <c r="AG73" s="228"/>
      <c r="AH73" s="229"/>
      <c r="AI73" s="228"/>
      <c r="AJ73" s="230"/>
      <c r="AK73" s="228"/>
      <c r="AL73" s="229"/>
      <c r="AM73" s="228"/>
      <c r="AN73" s="229"/>
      <c r="AO73" s="228"/>
      <c r="AP73" s="229"/>
      <c r="AQ73" s="228"/>
      <c r="AR73" s="229"/>
      <c r="AS73" s="228"/>
      <c r="AT73" s="227"/>
      <c r="AU73" s="228"/>
      <c r="AV73" s="229"/>
      <c r="AW73" s="228"/>
      <c r="AX73" s="229"/>
      <c r="AY73" s="228"/>
      <c r="AZ73" s="227"/>
      <c r="BA73" s="228"/>
      <c r="BB73" s="230"/>
      <c r="BC73" s="228"/>
      <c r="BD73" s="227"/>
      <c r="BE73" s="228"/>
      <c r="BF73" s="227"/>
    </row>
    <row r="74" spans="1:58" x14ac:dyDescent="0.2">
      <c r="A74" s="338" t="s">
        <v>209</v>
      </c>
      <c r="B74" s="339">
        <f t="shared" si="19"/>
        <v>0</v>
      </c>
      <c r="C74" s="339">
        <f t="shared" si="19"/>
        <v>0</v>
      </c>
      <c r="D74" s="339">
        <f t="shared" si="19"/>
        <v>0</v>
      </c>
      <c r="E74" s="339">
        <f t="shared" si="19"/>
        <v>0</v>
      </c>
      <c r="F74" s="339">
        <f t="shared" si="19"/>
        <v>0</v>
      </c>
      <c r="G74" s="340">
        <f t="shared" si="14"/>
        <v>0</v>
      </c>
      <c r="H74" s="340">
        <f t="shared" si="15"/>
        <v>0</v>
      </c>
      <c r="I74" s="339">
        <f t="shared" si="16"/>
        <v>0</v>
      </c>
      <c r="J74" s="339">
        <f t="shared" si="17"/>
        <v>0</v>
      </c>
      <c r="K74" s="342">
        <f t="shared" si="18"/>
        <v>0</v>
      </c>
      <c r="L74" s="292"/>
      <c r="M74" s="292"/>
      <c r="N74" s="293"/>
      <c r="O74" s="229"/>
      <c r="P74" s="228"/>
      <c r="Q74" s="229"/>
      <c r="R74" s="228"/>
      <c r="S74" s="227"/>
      <c r="T74" s="228"/>
      <c r="U74" s="227"/>
      <c r="V74" s="228"/>
      <c r="W74" s="227"/>
      <c r="X74" s="227"/>
      <c r="Y74" s="228"/>
      <c r="Z74" s="229"/>
      <c r="AA74" s="228"/>
      <c r="AB74" s="229"/>
      <c r="AC74" s="228"/>
      <c r="AD74" s="229"/>
      <c r="AE74" s="228"/>
      <c r="AF74" s="227"/>
      <c r="AG74" s="228"/>
      <c r="AH74" s="229"/>
      <c r="AI74" s="228"/>
      <c r="AJ74" s="230"/>
      <c r="AK74" s="228"/>
      <c r="AL74" s="229"/>
      <c r="AM74" s="228"/>
      <c r="AN74" s="229"/>
      <c r="AO74" s="228"/>
      <c r="AP74" s="229"/>
      <c r="AQ74" s="228"/>
      <c r="AR74" s="229"/>
      <c r="AS74" s="228"/>
      <c r="AT74" s="227"/>
      <c r="AU74" s="228"/>
      <c r="AV74" s="229"/>
      <c r="AW74" s="228"/>
      <c r="AX74" s="229"/>
      <c r="AY74" s="228"/>
      <c r="AZ74" s="227"/>
      <c r="BA74" s="228"/>
      <c r="BB74" s="230"/>
      <c r="BC74" s="228"/>
      <c r="BD74" s="227"/>
      <c r="BE74" s="228"/>
      <c r="BF74" s="227"/>
    </row>
    <row r="75" spans="1:58" x14ac:dyDescent="0.2">
      <c r="A75" s="338" t="s">
        <v>210</v>
      </c>
      <c r="B75" s="339">
        <f t="shared" si="19"/>
        <v>0</v>
      </c>
      <c r="C75" s="339">
        <f t="shared" si="19"/>
        <v>0</v>
      </c>
      <c r="D75" s="339">
        <f t="shared" si="19"/>
        <v>0</v>
      </c>
      <c r="E75" s="339">
        <f t="shared" si="19"/>
        <v>0</v>
      </c>
      <c r="F75" s="339">
        <f t="shared" si="19"/>
        <v>0</v>
      </c>
      <c r="G75" s="340">
        <f t="shared" si="14"/>
        <v>0</v>
      </c>
      <c r="H75" s="340">
        <f t="shared" si="15"/>
        <v>0</v>
      </c>
      <c r="I75" s="339">
        <f t="shared" si="16"/>
        <v>0</v>
      </c>
      <c r="J75" s="339">
        <f t="shared" si="17"/>
        <v>0</v>
      </c>
      <c r="K75" s="342">
        <f t="shared" si="18"/>
        <v>0</v>
      </c>
      <c r="L75" s="292"/>
      <c r="M75" s="292"/>
      <c r="N75" s="293"/>
      <c r="O75" s="229"/>
      <c r="P75" s="228"/>
      <c r="Q75" s="229"/>
      <c r="R75" s="228"/>
      <c r="S75" s="227"/>
      <c r="T75" s="228"/>
      <c r="U75" s="227"/>
      <c r="V75" s="228"/>
      <c r="W75" s="227"/>
      <c r="X75" s="227"/>
      <c r="Y75" s="228"/>
      <c r="Z75" s="229"/>
      <c r="AA75" s="228"/>
      <c r="AB75" s="229"/>
      <c r="AC75" s="228"/>
      <c r="AD75" s="229"/>
      <c r="AE75" s="228"/>
      <c r="AF75" s="227"/>
      <c r="AG75" s="228"/>
      <c r="AH75" s="229"/>
      <c r="AI75" s="228"/>
      <c r="AJ75" s="230"/>
      <c r="AK75" s="228"/>
      <c r="AL75" s="229"/>
      <c r="AM75" s="228"/>
      <c r="AN75" s="229"/>
      <c r="AO75" s="228"/>
      <c r="AP75" s="229"/>
      <c r="AQ75" s="228"/>
      <c r="AR75" s="229"/>
      <c r="AS75" s="228"/>
      <c r="AT75" s="227"/>
      <c r="AU75" s="228"/>
      <c r="AV75" s="229"/>
      <c r="AW75" s="228"/>
      <c r="AX75" s="229"/>
      <c r="AY75" s="228"/>
      <c r="AZ75" s="227"/>
      <c r="BA75" s="228"/>
      <c r="BB75" s="230"/>
      <c r="BC75" s="228"/>
      <c r="BD75" s="227"/>
      <c r="BE75" s="228"/>
      <c r="BF75" s="227"/>
    </row>
    <row r="76" spans="1:58" x14ac:dyDescent="0.2">
      <c r="A76" s="338" t="s">
        <v>211</v>
      </c>
      <c r="B76" s="339">
        <f t="shared" si="19"/>
        <v>0</v>
      </c>
      <c r="C76" s="339">
        <f t="shared" si="19"/>
        <v>0</v>
      </c>
      <c r="D76" s="339">
        <f t="shared" si="19"/>
        <v>0</v>
      </c>
      <c r="E76" s="339">
        <f t="shared" si="19"/>
        <v>0</v>
      </c>
      <c r="F76" s="339">
        <f t="shared" si="19"/>
        <v>0</v>
      </c>
      <c r="G76" s="340">
        <f t="shared" si="14"/>
        <v>0</v>
      </c>
      <c r="H76" s="340">
        <f t="shared" si="15"/>
        <v>0</v>
      </c>
      <c r="I76" s="339">
        <f t="shared" si="16"/>
        <v>0</v>
      </c>
      <c r="J76" s="339">
        <f t="shared" si="17"/>
        <v>0</v>
      </c>
      <c r="K76" s="342">
        <f t="shared" si="18"/>
        <v>0</v>
      </c>
      <c r="L76" s="292"/>
      <c r="M76" s="292"/>
      <c r="N76" s="293"/>
      <c r="O76" s="229"/>
      <c r="P76" s="228"/>
      <c r="Q76" s="229"/>
      <c r="R76" s="228"/>
      <c r="S76" s="227"/>
      <c r="T76" s="228"/>
      <c r="U76" s="227"/>
      <c r="V76" s="228"/>
      <c r="W76" s="227"/>
      <c r="X76" s="227"/>
      <c r="Y76" s="228"/>
      <c r="Z76" s="229"/>
      <c r="AA76" s="228"/>
      <c r="AB76" s="229"/>
      <c r="AC76" s="228"/>
      <c r="AD76" s="229"/>
      <c r="AE76" s="228"/>
      <c r="AF76" s="227"/>
      <c r="AG76" s="228"/>
      <c r="AH76" s="229"/>
      <c r="AI76" s="228"/>
      <c r="AJ76" s="230"/>
      <c r="AK76" s="228"/>
      <c r="AL76" s="229"/>
      <c r="AM76" s="228"/>
      <c r="AN76" s="229"/>
      <c r="AO76" s="228"/>
      <c r="AP76" s="229"/>
      <c r="AQ76" s="228"/>
      <c r="AR76" s="229"/>
      <c r="AS76" s="228"/>
      <c r="AT76" s="227"/>
      <c r="AU76" s="228"/>
      <c r="AV76" s="229"/>
      <c r="AW76" s="228"/>
      <c r="AX76" s="229"/>
      <c r="AY76" s="228"/>
      <c r="AZ76" s="227"/>
      <c r="BA76" s="228"/>
      <c r="BB76" s="230"/>
      <c r="BC76" s="228"/>
      <c r="BD76" s="227"/>
      <c r="BE76" s="228"/>
      <c r="BF76" s="227"/>
    </row>
    <row r="77" spans="1:58" x14ac:dyDescent="0.2">
      <c r="A77" s="338" t="s">
        <v>212</v>
      </c>
      <c r="B77" s="339">
        <f t="shared" si="19"/>
        <v>0</v>
      </c>
      <c r="C77" s="339">
        <f t="shared" si="19"/>
        <v>0</v>
      </c>
      <c r="D77" s="339">
        <f t="shared" si="19"/>
        <v>0</v>
      </c>
      <c r="E77" s="339">
        <f t="shared" si="19"/>
        <v>0</v>
      </c>
      <c r="F77" s="339">
        <f t="shared" si="19"/>
        <v>0</v>
      </c>
      <c r="G77" s="340">
        <f t="shared" si="14"/>
        <v>0</v>
      </c>
      <c r="H77" s="340">
        <f t="shared" si="15"/>
        <v>0</v>
      </c>
      <c r="I77" s="339">
        <f t="shared" si="16"/>
        <v>0</v>
      </c>
      <c r="J77" s="339">
        <f t="shared" si="17"/>
        <v>0</v>
      </c>
      <c r="K77" s="342">
        <f t="shared" si="18"/>
        <v>0</v>
      </c>
      <c r="L77" s="292"/>
      <c r="M77" s="292"/>
      <c r="N77" s="293"/>
      <c r="O77" s="229"/>
      <c r="P77" s="228"/>
      <c r="Q77" s="229"/>
      <c r="R77" s="228"/>
      <c r="S77" s="227"/>
      <c r="T77" s="228"/>
      <c r="U77" s="227"/>
      <c r="V77" s="228"/>
      <c r="W77" s="227"/>
      <c r="X77" s="227"/>
      <c r="Y77" s="228"/>
      <c r="Z77" s="229"/>
      <c r="AA77" s="228"/>
      <c r="AB77" s="229"/>
      <c r="AC77" s="228"/>
      <c r="AD77" s="229"/>
      <c r="AE77" s="228"/>
      <c r="AF77" s="227"/>
      <c r="AG77" s="228"/>
      <c r="AH77" s="229"/>
      <c r="AI77" s="228"/>
      <c r="AJ77" s="230"/>
      <c r="AK77" s="228"/>
      <c r="AL77" s="229"/>
      <c r="AM77" s="228"/>
      <c r="AN77" s="229"/>
      <c r="AO77" s="228"/>
      <c r="AP77" s="229"/>
      <c r="AQ77" s="228"/>
      <c r="AR77" s="229"/>
      <c r="AS77" s="228"/>
      <c r="AT77" s="227"/>
      <c r="AU77" s="228"/>
      <c r="AV77" s="229"/>
      <c r="AW77" s="228"/>
      <c r="AX77" s="229"/>
      <c r="AY77" s="228"/>
      <c r="AZ77" s="227"/>
      <c r="BA77" s="228"/>
      <c r="BB77" s="230"/>
      <c r="BC77" s="228"/>
      <c r="BD77" s="227"/>
      <c r="BE77" s="228"/>
      <c r="BF77" s="227"/>
    </row>
    <row r="78" spans="1:58" x14ac:dyDescent="0.2">
      <c r="A78" s="338" t="s">
        <v>213</v>
      </c>
      <c r="B78" s="339">
        <f t="shared" si="19"/>
        <v>0</v>
      </c>
      <c r="C78" s="339">
        <f t="shared" si="19"/>
        <v>0</v>
      </c>
      <c r="D78" s="339">
        <f t="shared" si="19"/>
        <v>0</v>
      </c>
      <c r="E78" s="339">
        <f t="shared" si="19"/>
        <v>0</v>
      </c>
      <c r="F78" s="339">
        <f t="shared" si="19"/>
        <v>0</v>
      </c>
      <c r="G78" s="340">
        <f t="shared" si="14"/>
        <v>0</v>
      </c>
      <c r="H78" s="340">
        <f t="shared" si="15"/>
        <v>0</v>
      </c>
      <c r="I78" s="339">
        <f t="shared" si="16"/>
        <v>0</v>
      </c>
      <c r="J78" s="339">
        <f t="shared" si="17"/>
        <v>0</v>
      </c>
      <c r="K78" s="342">
        <f t="shared" si="18"/>
        <v>0</v>
      </c>
      <c r="L78" s="292"/>
      <c r="M78" s="292"/>
      <c r="N78" s="293"/>
      <c r="O78" s="229"/>
      <c r="P78" s="228"/>
      <c r="Q78" s="229"/>
      <c r="R78" s="228"/>
      <c r="S78" s="227"/>
      <c r="T78" s="228"/>
      <c r="U78" s="227"/>
      <c r="V78" s="228"/>
      <c r="W78" s="227"/>
      <c r="X78" s="227"/>
      <c r="Y78" s="228"/>
      <c r="Z78" s="229"/>
      <c r="AA78" s="228"/>
      <c r="AB78" s="229"/>
      <c r="AC78" s="228"/>
      <c r="AD78" s="229"/>
      <c r="AE78" s="228"/>
      <c r="AF78" s="227"/>
      <c r="AG78" s="228"/>
      <c r="AH78" s="229"/>
      <c r="AI78" s="228"/>
      <c r="AJ78" s="230"/>
      <c r="AK78" s="228"/>
      <c r="AL78" s="229"/>
      <c r="AM78" s="228"/>
      <c r="AN78" s="229"/>
      <c r="AO78" s="228"/>
      <c r="AP78" s="229"/>
      <c r="AQ78" s="228"/>
      <c r="AR78" s="229"/>
      <c r="AS78" s="228"/>
      <c r="AT78" s="227"/>
      <c r="AU78" s="228"/>
      <c r="AV78" s="229"/>
      <c r="AW78" s="228"/>
      <c r="AX78" s="229"/>
      <c r="AY78" s="228"/>
      <c r="AZ78" s="227"/>
      <c r="BA78" s="228"/>
      <c r="BB78" s="230"/>
      <c r="BC78" s="228"/>
      <c r="BD78" s="227"/>
      <c r="BE78" s="228"/>
      <c r="BF78" s="227"/>
    </row>
    <row r="79" spans="1:58" ht="13.5" thickBot="1" x14ac:dyDescent="0.25">
      <c r="A79" s="343" t="s">
        <v>214</v>
      </c>
      <c r="B79" s="339">
        <f t="shared" si="19"/>
        <v>0</v>
      </c>
      <c r="C79" s="339">
        <f t="shared" si="19"/>
        <v>0</v>
      </c>
      <c r="D79" s="339">
        <f t="shared" si="19"/>
        <v>0</v>
      </c>
      <c r="E79" s="339">
        <f t="shared" si="19"/>
        <v>0</v>
      </c>
      <c r="F79" s="339">
        <f t="shared" si="19"/>
        <v>0</v>
      </c>
      <c r="G79" s="340">
        <f t="shared" si="14"/>
        <v>0</v>
      </c>
      <c r="H79" s="340">
        <f t="shared" si="15"/>
        <v>0</v>
      </c>
      <c r="I79" s="339">
        <f t="shared" si="16"/>
        <v>0</v>
      </c>
      <c r="J79" s="339">
        <f t="shared" si="17"/>
        <v>0</v>
      </c>
      <c r="K79" s="349">
        <f t="shared" si="18"/>
        <v>0</v>
      </c>
      <c r="L79" s="292"/>
      <c r="M79" s="292"/>
      <c r="N79" s="293"/>
      <c r="O79" s="229"/>
      <c r="P79" s="228"/>
      <c r="Q79" s="229"/>
      <c r="R79" s="228"/>
      <c r="S79" s="227"/>
      <c r="T79" s="228"/>
      <c r="U79" s="227"/>
      <c r="V79" s="228"/>
      <c r="W79" s="227"/>
      <c r="X79" s="227"/>
      <c r="Y79" s="228"/>
      <c r="Z79" s="229"/>
      <c r="AA79" s="228"/>
      <c r="AB79" s="229"/>
      <c r="AC79" s="228"/>
      <c r="AD79" s="229"/>
      <c r="AE79" s="228"/>
      <c r="AF79" s="227"/>
      <c r="AG79" s="228"/>
      <c r="AH79" s="229"/>
      <c r="AI79" s="228"/>
      <c r="AJ79" s="230"/>
      <c r="AK79" s="228"/>
      <c r="AL79" s="229"/>
      <c r="AM79" s="228"/>
      <c r="AN79" s="229"/>
      <c r="AO79" s="228"/>
      <c r="AP79" s="229"/>
      <c r="AQ79" s="228"/>
      <c r="AR79" s="229"/>
      <c r="AS79" s="228"/>
      <c r="AT79" s="227"/>
      <c r="AU79" s="228"/>
      <c r="AV79" s="229"/>
      <c r="AW79" s="228"/>
      <c r="AX79" s="229"/>
      <c r="AY79" s="228"/>
      <c r="AZ79" s="227"/>
      <c r="BA79" s="228"/>
      <c r="BB79" s="230"/>
      <c r="BC79" s="228"/>
      <c r="BD79" s="227"/>
      <c r="BE79" s="228"/>
      <c r="BF79" s="227"/>
    </row>
    <row r="80" spans="1:58" ht="13.5" thickBot="1" x14ac:dyDescent="0.25">
      <c r="A80" s="344" t="s">
        <v>198</v>
      </c>
      <c r="B80" s="333">
        <f>SUM(B57:B79)</f>
        <v>10010.510385879774</v>
      </c>
      <c r="C80" s="333">
        <f>SUM(C57:C79)</f>
        <v>3896.2799999999993</v>
      </c>
      <c r="D80" s="333">
        <f t="shared" ref="D80:K80" si="20">SUM(D57:D79)</f>
        <v>0</v>
      </c>
      <c r="E80" s="333">
        <f t="shared" si="20"/>
        <v>0</v>
      </c>
      <c r="F80" s="333">
        <f t="shared" si="20"/>
        <v>0</v>
      </c>
      <c r="G80" s="333">
        <f t="shared" si="20"/>
        <v>0</v>
      </c>
      <c r="H80" s="333">
        <f t="shared" si="20"/>
        <v>0</v>
      </c>
      <c r="I80" s="333">
        <f t="shared" si="20"/>
        <v>7194.0599999999995</v>
      </c>
      <c r="J80" s="333">
        <f t="shared" si="20"/>
        <v>0</v>
      </c>
      <c r="K80" s="333">
        <f t="shared" si="20"/>
        <v>0</v>
      </c>
      <c r="L80" s="292"/>
      <c r="M80" s="292"/>
      <c r="N80" s="293"/>
      <c r="O80" s="229"/>
      <c r="P80" s="228"/>
      <c r="Q80" s="229"/>
      <c r="R80" s="228"/>
      <c r="S80" s="227"/>
      <c r="T80" s="228"/>
      <c r="U80" s="227"/>
      <c r="V80" s="228"/>
      <c r="W80" s="227"/>
      <c r="X80" s="227"/>
      <c r="Y80" s="228"/>
      <c r="Z80" s="229"/>
      <c r="AA80" s="228"/>
      <c r="AB80" s="229"/>
      <c r="AC80" s="228"/>
      <c r="AD80" s="229"/>
      <c r="AE80" s="228"/>
      <c r="AF80" s="227"/>
      <c r="AG80" s="228"/>
      <c r="AH80" s="229"/>
      <c r="AI80" s="228"/>
      <c r="AJ80" s="230"/>
      <c r="AK80" s="228"/>
      <c r="AL80" s="229"/>
      <c r="AM80" s="228"/>
      <c r="AN80" s="229"/>
      <c r="AO80" s="228"/>
      <c r="AP80" s="229"/>
      <c r="AQ80" s="228"/>
      <c r="AR80" s="229"/>
      <c r="AS80" s="228"/>
      <c r="AT80" s="227"/>
      <c r="AU80" s="228"/>
      <c r="AV80" s="229"/>
      <c r="AW80" s="228"/>
      <c r="AX80" s="229"/>
      <c r="AY80" s="228"/>
      <c r="AZ80" s="227"/>
      <c r="BA80" s="228"/>
      <c r="BB80" s="230"/>
      <c r="BC80" s="228"/>
      <c r="BD80" s="227"/>
      <c r="BE80" s="228"/>
      <c r="BF80" s="227"/>
    </row>
    <row r="81" spans="1:58" x14ac:dyDescent="0.2">
      <c r="A81" s="129" t="s">
        <v>65</v>
      </c>
      <c r="B81" s="292"/>
      <c r="C81" s="292"/>
      <c r="D81" s="292"/>
      <c r="E81" s="292"/>
      <c r="F81" s="292"/>
      <c r="G81" s="292"/>
      <c r="H81" s="292"/>
      <c r="I81" s="291"/>
      <c r="J81" s="292"/>
      <c r="K81" s="292"/>
      <c r="L81" s="292"/>
      <c r="M81" s="292"/>
      <c r="N81" s="293"/>
      <c r="O81" s="229"/>
      <c r="P81" s="228"/>
      <c r="Q81" s="229"/>
      <c r="R81" s="228"/>
      <c r="S81" s="227"/>
      <c r="T81" s="228"/>
      <c r="U81" s="227"/>
      <c r="V81" s="228"/>
      <c r="W81" s="227"/>
      <c r="X81" s="227"/>
      <c r="Y81" s="228"/>
      <c r="Z81" s="229"/>
      <c r="AA81" s="228"/>
      <c r="AB81" s="229"/>
      <c r="AC81" s="228"/>
      <c r="AD81" s="229"/>
      <c r="AE81" s="228"/>
      <c r="AF81" s="227"/>
      <c r="AG81" s="228"/>
      <c r="AH81" s="229"/>
      <c r="AI81" s="228"/>
      <c r="AJ81" s="230"/>
      <c r="AK81" s="228"/>
      <c r="AL81" s="229"/>
      <c r="AM81" s="228"/>
      <c r="AN81" s="229"/>
      <c r="AO81" s="228"/>
      <c r="AP81" s="229"/>
      <c r="AQ81" s="228"/>
      <c r="AR81" s="229"/>
      <c r="AS81" s="228"/>
      <c r="AT81" s="227"/>
      <c r="AU81" s="228"/>
      <c r="AV81" s="229"/>
      <c r="AW81" s="228"/>
      <c r="AX81" s="229"/>
      <c r="AY81" s="228"/>
      <c r="AZ81" s="227"/>
      <c r="BA81" s="228"/>
      <c r="BB81" s="230"/>
      <c r="BC81" s="228"/>
      <c r="BD81" s="227"/>
      <c r="BE81" s="228"/>
      <c r="BF81" s="227"/>
    </row>
    <row r="82" spans="1:58" x14ac:dyDescent="0.2">
      <c r="A82" s="129" t="s">
        <v>199</v>
      </c>
      <c r="B82" s="292"/>
      <c r="C82" s="292"/>
      <c r="D82" s="292"/>
      <c r="E82" s="292"/>
      <c r="F82" s="292"/>
      <c r="G82" s="292"/>
      <c r="H82" s="292"/>
      <c r="I82" s="291"/>
      <c r="J82" s="292"/>
      <c r="K82" s="292"/>
      <c r="L82" s="292"/>
      <c r="M82" s="292"/>
      <c r="N82" s="293"/>
      <c r="O82" s="229"/>
      <c r="P82" s="228"/>
      <c r="Q82" s="229"/>
      <c r="R82" s="228"/>
      <c r="S82" s="227"/>
      <c r="T82" s="228"/>
      <c r="U82" s="227"/>
      <c r="V82" s="228"/>
      <c r="W82" s="227"/>
      <c r="X82" s="227"/>
      <c r="Y82" s="228"/>
      <c r="Z82" s="229"/>
      <c r="AA82" s="228"/>
      <c r="AB82" s="229"/>
      <c r="AC82" s="228"/>
      <c r="AD82" s="229"/>
      <c r="AE82" s="228"/>
      <c r="AF82" s="227"/>
      <c r="AG82" s="228"/>
      <c r="AH82" s="229"/>
      <c r="AI82" s="228"/>
      <c r="AJ82" s="230"/>
      <c r="AK82" s="228"/>
      <c r="AL82" s="229"/>
      <c r="AM82" s="228"/>
      <c r="AN82" s="229"/>
      <c r="AO82" s="228"/>
      <c r="AP82" s="229"/>
      <c r="AQ82" s="228"/>
      <c r="AR82" s="229"/>
      <c r="AS82" s="228"/>
      <c r="AT82" s="227"/>
      <c r="AU82" s="228"/>
      <c r="AV82" s="229"/>
      <c r="AW82" s="228"/>
      <c r="AX82" s="229"/>
      <c r="AY82" s="228"/>
      <c r="AZ82" s="227"/>
      <c r="BA82" s="228"/>
      <c r="BB82" s="230"/>
      <c r="BC82" s="228"/>
      <c r="BD82" s="227"/>
      <c r="BE82" s="228"/>
      <c r="BF82" s="227"/>
    </row>
    <row r="83" spans="1:58" x14ac:dyDescent="0.2">
      <c r="A83" s="110" t="s">
        <v>200</v>
      </c>
      <c r="B83" s="292"/>
      <c r="C83" s="292"/>
      <c r="D83" s="292"/>
      <c r="E83" s="292"/>
      <c r="F83" s="292"/>
      <c r="G83" s="292"/>
      <c r="H83" s="292"/>
      <c r="I83" s="291"/>
      <c r="J83" s="292"/>
      <c r="K83" s="292"/>
      <c r="L83" s="292"/>
      <c r="M83" s="292"/>
      <c r="N83" s="293"/>
      <c r="O83" s="229"/>
      <c r="P83" s="228"/>
      <c r="Q83" s="229"/>
      <c r="R83" s="228"/>
      <c r="S83" s="227"/>
      <c r="T83" s="228"/>
      <c r="U83" s="227"/>
      <c r="V83" s="228"/>
      <c r="W83" s="227"/>
      <c r="X83" s="227"/>
      <c r="Y83" s="228"/>
      <c r="Z83" s="229"/>
      <c r="AA83" s="228"/>
      <c r="AB83" s="229"/>
      <c r="AC83" s="228"/>
      <c r="AD83" s="229"/>
      <c r="AE83" s="228"/>
      <c r="AF83" s="227"/>
      <c r="AG83" s="228"/>
      <c r="AH83" s="229"/>
      <c r="AI83" s="228"/>
      <c r="AJ83" s="230"/>
      <c r="AK83" s="228"/>
      <c r="AL83" s="229"/>
      <c r="AM83" s="228"/>
      <c r="AN83" s="229"/>
      <c r="AO83" s="228"/>
      <c r="AP83" s="229"/>
      <c r="AQ83" s="228"/>
      <c r="AR83" s="229"/>
      <c r="AS83" s="228"/>
      <c r="AT83" s="227"/>
      <c r="AU83" s="228"/>
      <c r="AV83" s="229"/>
      <c r="AW83" s="228"/>
      <c r="AX83" s="229"/>
      <c r="AY83" s="228"/>
      <c r="AZ83" s="227"/>
      <c r="BA83" s="228"/>
      <c r="BB83" s="230"/>
      <c r="BC83" s="228"/>
      <c r="BD83" s="227"/>
      <c r="BE83" s="228"/>
      <c r="BF83" s="227"/>
    </row>
    <row r="84" spans="1:58" x14ac:dyDescent="0.2">
      <c r="A84" s="110" t="s">
        <v>201</v>
      </c>
      <c r="B84" s="292"/>
      <c r="C84" s="292"/>
      <c r="D84" s="292"/>
      <c r="E84" s="292"/>
      <c r="F84" s="292"/>
      <c r="G84" s="292"/>
      <c r="H84" s="292"/>
      <c r="I84" s="291"/>
      <c r="J84" s="292"/>
      <c r="K84" s="292"/>
      <c r="L84" s="292"/>
      <c r="M84" s="292"/>
      <c r="N84" s="293"/>
      <c r="O84" s="229"/>
      <c r="P84" s="228"/>
      <c r="Q84" s="229"/>
      <c r="R84" s="228"/>
      <c r="S84" s="227"/>
      <c r="T84" s="228"/>
      <c r="U84" s="227"/>
      <c r="V84" s="228"/>
      <c r="W84" s="227"/>
      <c r="X84" s="227"/>
      <c r="Y84" s="228"/>
      <c r="Z84" s="229"/>
      <c r="AA84" s="228"/>
      <c r="AB84" s="229"/>
      <c r="AC84" s="228"/>
      <c r="AD84" s="229"/>
      <c r="AE84" s="228"/>
      <c r="AF84" s="227"/>
      <c r="AG84" s="228"/>
      <c r="AH84" s="229"/>
      <c r="AI84" s="228"/>
      <c r="AJ84" s="230"/>
      <c r="AK84" s="228"/>
      <c r="AL84" s="229"/>
      <c r="AM84" s="228"/>
      <c r="AN84" s="229"/>
      <c r="AO84" s="228"/>
      <c r="AP84" s="229"/>
      <c r="AQ84" s="228"/>
      <c r="AR84" s="229"/>
      <c r="AS84" s="228"/>
      <c r="AT84" s="227"/>
      <c r="AU84" s="228"/>
      <c r="AV84" s="229"/>
      <c r="AW84" s="228"/>
      <c r="AX84" s="229"/>
      <c r="AY84" s="228"/>
      <c r="AZ84" s="227"/>
      <c r="BA84" s="228"/>
      <c r="BB84" s="230"/>
      <c r="BC84" s="228"/>
      <c r="BD84" s="227"/>
      <c r="BE84" s="228"/>
      <c r="BF84" s="227"/>
    </row>
    <row r="85" spans="1:58" x14ac:dyDescent="0.2">
      <c r="A85" s="110" t="s">
        <v>202</v>
      </c>
      <c r="B85" s="292"/>
      <c r="C85" s="292"/>
      <c r="D85" s="292"/>
      <c r="E85" s="292"/>
      <c r="F85" s="292"/>
      <c r="G85" s="292"/>
      <c r="H85" s="292"/>
      <c r="I85" s="291"/>
      <c r="J85" s="292"/>
      <c r="K85" s="292"/>
      <c r="L85" s="292"/>
      <c r="M85" s="292"/>
      <c r="N85" s="293"/>
      <c r="O85" s="229"/>
      <c r="P85" s="228"/>
      <c r="Q85" s="229"/>
      <c r="R85" s="228"/>
      <c r="S85" s="227"/>
      <c r="T85" s="228"/>
      <c r="U85" s="227"/>
      <c r="V85" s="228"/>
      <c r="W85" s="227"/>
      <c r="X85" s="227"/>
      <c r="Y85" s="228"/>
      <c r="Z85" s="229"/>
      <c r="AA85" s="228"/>
      <c r="AB85" s="229"/>
      <c r="AC85" s="228"/>
      <c r="AD85" s="229"/>
      <c r="AE85" s="228"/>
      <c r="AF85" s="227"/>
      <c r="AG85" s="228"/>
      <c r="AH85" s="229"/>
      <c r="AI85" s="228"/>
      <c r="AJ85" s="230"/>
      <c r="AK85" s="228"/>
      <c r="AL85" s="229"/>
      <c r="AM85" s="228"/>
      <c r="AN85" s="229"/>
      <c r="AO85" s="228"/>
      <c r="AP85" s="229"/>
      <c r="AQ85" s="228"/>
      <c r="AR85" s="229"/>
      <c r="AS85" s="228"/>
      <c r="AT85" s="227"/>
      <c r="AU85" s="228"/>
      <c r="AV85" s="229"/>
      <c r="AW85" s="228"/>
      <c r="AX85" s="229"/>
      <c r="AY85" s="228"/>
      <c r="AZ85" s="227"/>
      <c r="BA85" s="228"/>
      <c r="BB85" s="230"/>
      <c r="BC85" s="228"/>
      <c r="BD85" s="227"/>
      <c r="BE85" s="228"/>
      <c r="BF85" s="227"/>
    </row>
    <row r="86" spans="1:58" ht="13.5" thickBo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58" ht="16.5" thickBot="1" x14ac:dyDescent="0.3">
      <c r="A87" s="144" t="s">
        <v>57</v>
      </c>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58" ht="77.25" thickBot="1" x14ac:dyDescent="0.25">
      <c r="A88" s="256" t="s">
        <v>3</v>
      </c>
      <c r="B88" s="257" t="s">
        <v>71</v>
      </c>
      <c r="C88" s="258" t="s">
        <v>87</v>
      </c>
      <c r="D88" s="23"/>
      <c r="E88" s="15"/>
      <c r="F88" s="15"/>
      <c r="G88" s="15"/>
      <c r="H88" s="15"/>
      <c r="I88" s="15"/>
      <c r="J88" s="15"/>
      <c r="K88" s="15"/>
      <c r="L88" s="15"/>
      <c r="M88" s="15"/>
      <c r="N88" s="15"/>
      <c r="O88" s="15"/>
      <c r="P88" s="15"/>
      <c r="Q88" s="15"/>
      <c r="R88" s="15"/>
      <c r="S88" s="15"/>
      <c r="T88" s="15"/>
      <c r="U88" s="15"/>
      <c r="V88" s="15"/>
      <c r="W88" s="15"/>
      <c r="X88" s="15"/>
      <c r="Y88" s="15"/>
    </row>
    <row r="89" spans="1:58" x14ac:dyDescent="0.2">
      <c r="A89" s="261" t="s">
        <v>28</v>
      </c>
      <c r="B89" s="294">
        <f>C46*B55</f>
        <v>21119.735326307324</v>
      </c>
      <c r="C89" s="239">
        <f>B80</f>
        <v>10010.510385879774</v>
      </c>
      <c r="D89" s="15"/>
      <c r="E89" s="15"/>
      <c r="F89" s="15"/>
      <c r="G89" s="15"/>
      <c r="H89" s="15"/>
      <c r="I89" s="15"/>
      <c r="J89" s="15"/>
      <c r="K89" s="15"/>
      <c r="L89" s="15"/>
      <c r="M89" s="15"/>
      <c r="N89" s="15"/>
      <c r="O89" s="15"/>
      <c r="P89" s="15"/>
      <c r="Q89" s="15"/>
      <c r="R89" s="15"/>
      <c r="S89" s="15"/>
      <c r="T89" s="15"/>
      <c r="U89" s="15"/>
      <c r="V89" s="15"/>
      <c r="W89" s="15"/>
      <c r="X89" s="15"/>
      <c r="Y89" s="15"/>
    </row>
    <row r="90" spans="1:58" x14ac:dyDescent="0.2">
      <c r="A90" s="39" t="s">
        <v>33</v>
      </c>
      <c r="B90" s="295">
        <f>D46*C55</f>
        <v>164.39999999999998</v>
      </c>
      <c r="C90" s="43">
        <f>C80</f>
        <v>3896.2799999999993</v>
      </c>
      <c r="D90" s="44"/>
      <c r="E90" s="15"/>
      <c r="F90" s="15"/>
      <c r="G90" s="15"/>
      <c r="H90" s="15"/>
      <c r="I90" s="15"/>
      <c r="J90" s="15"/>
      <c r="K90" s="15"/>
      <c r="L90" s="15"/>
      <c r="M90" s="15"/>
      <c r="N90" s="15"/>
      <c r="O90" s="15"/>
      <c r="P90" s="15"/>
      <c r="Q90" s="15"/>
      <c r="R90" s="15"/>
      <c r="S90" s="15"/>
      <c r="T90" s="15"/>
      <c r="U90" s="15"/>
      <c r="V90" s="15"/>
      <c r="W90" s="15"/>
      <c r="X90" s="15"/>
      <c r="Y90" s="15"/>
    </row>
    <row r="91" spans="1:58" x14ac:dyDescent="0.2">
      <c r="A91" s="39" t="s">
        <v>5</v>
      </c>
      <c r="B91" s="295">
        <f>E46*D55</f>
        <v>0</v>
      </c>
      <c r="C91" s="43">
        <f>D80</f>
        <v>0</v>
      </c>
      <c r="D91" s="15"/>
      <c r="E91" s="15"/>
      <c r="F91" s="15"/>
      <c r="G91" s="15"/>
      <c r="H91" s="15"/>
      <c r="I91" s="15"/>
      <c r="J91" s="15"/>
      <c r="K91" s="15"/>
      <c r="L91" s="15"/>
      <c r="M91" s="15"/>
      <c r="N91" s="15"/>
      <c r="O91" s="15"/>
      <c r="P91" s="15"/>
      <c r="Q91" s="15"/>
      <c r="R91" s="15"/>
      <c r="S91" s="15"/>
      <c r="T91" s="15"/>
      <c r="U91" s="15"/>
      <c r="V91" s="15"/>
      <c r="W91" s="15"/>
      <c r="X91" s="15"/>
      <c r="Y91" s="15"/>
    </row>
    <row r="92" spans="1:58" x14ac:dyDescent="0.2">
      <c r="A92" s="130" t="s">
        <v>8</v>
      </c>
      <c r="B92" s="295">
        <f>F46*E55</f>
        <v>0</v>
      </c>
      <c r="C92" s="43">
        <f>E80</f>
        <v>0</v>
      </c>
      <c r="D92" s="15"/>
      <c r="E92" s="15"/>
      <c r="F92" s="15"/>
      <c r="G92" s="15"/>
      <c r="H92" s="15"/>
      <c r="I92" s="15"/>
      <c r="J92" s="15"/>
      <c r="K92" s="15"/>
      <c r="L92" s="15"/>
      <c r="M92" s="15"/>
      <c r="N92" s="15"/>
      <c r="O92" s="15"/>
      <c r="P92" s="15"/>
      <c r="Q92" s="15"/>
      <c r="R92" s="15"/>
      <c r="S92" s="15"/>
      <c r="T92" s="15"/>
      <c r="U92" s="15"/>
      <c r="V92" s="15"/>
      <c r="W92" s="15"/>
      <c r="X92" s="15"/>
      <c r="Y92" s="15"/>
    </row>
    <row r="93" spans="1:58" x14ac:dyDescent="0.2">
      <c r="A93" s="130" t="s">
        <v>34</v>
      </c>
      <c r="B93" s="295">
        <f>G46*F55</f>
        <v>0</v>
      </c>
      <c r="C93" s="43">
        <f>F80</f>
        <v>0</v>
      </c>
      <c r="D93" s="15"/>
      <c r="E93" s="15"/>
      <c r="F93" s="15"/>
      <c r="G93" s="15"/>
      <c r="H93" s="15"/>
      <c r="I93" s="15"/>
      <c r="J93" s="15"/>
      <c r="K93" s="15"/>
      <c r="L93" s="15"/>
      <c r="M93" s="15"/>
      <c r="N93" s="15"/>
      <c r="O93" s="15"/>
      <c r="P93" s="15"/>
      <c r="Q93" s="15"/>
      <c r="R93" s="15"/>
      <c r="S93" s="15"/>
      <c r="T93" s="15"/>
      <c r="U93" s="15"/>
      <c r="V93" s="15"/>
      <c r="W93" s="15"/>
      <c r="X93" s="15"/>
      <c r="Y93" s="15"/>
    </row>
    <row r="94" spans="1:58" x14ac:dyDescent="0.2">
      <c r="A94" s="130" t="s">
        <v>35</v>
      </c>
      <c r="B94" s="296">
        <f>I46*G55</f>
        <v>0</v>
      </c>
      <c r="C94" s="43">
        <f>G80</f>
        <v>0</v>
      </c>
      <c r="D94" s="15"/>
      <c r="E94" s="15"/>
      <c r="F94" s="15"/>
      <c r="G94" s="15"/>
      <c r="H94" s="15"/>
      <c r="I94" s="15"/>
      <c r="J94" s="15"/>
      <c r="K94" s="15"/>
      <c r="L94" s="15"/>
      <c r="M94" s="15"/>
      <c r="N94" s="15"/>
      <c r="O94" s="15"/>
      <c r="P94" s="15"/>
      <c r="Q94" s="15"/>
      <c r="R94" s="15"/>
      <c r="S94" s="15"/>
      <c r="T94" s="15"/>
      <c r="U94" s="15"/>
      <c r="V94" s="15"/>
      <c r="W94" s="15"/>
      <c r="X94" s="15"/>
      <c r="Y94" s="15"/>
    </row>
    <row r="95" spans="1:58" x14ac:dyDescent="0.2">
      <c r="A95" s="130" t="s">
        <v>15</v>
      </c>
      <c r="B95" s="296">
        <f>J46*H55</f>
        <v>0</v>
      </c>
      <c r="C95" s="43">
        <f>H80</f>
        <v>0</v>
      </c>
      <c r="D95" s="15"/>
      <c r="E95" s="15"/>
      <c r="F95" s="15"/>
      <c r="G95" s="15"/>
      <c r="H95" s="15"/>
      <c r="I95" s="15"/>
      <c r="J95" s="15"/>
      <c r="K95" s="15"/>
      <c r="L95" s="15"/>
      <c r="M95" s="15"/>
      <c r="N95" s="15"/>
      <c r="O95" s="15"/>
      <c r="P95" s="15"/>
      <c r="Q95" s="15"/>
      <c r="R95" s="15"/>
      <c r="S95" s="15"/>
      <c r="T95" s="15"/>
      <c r="U95" s="15"/>
      <c r="V95" s="15"/>
      <c r="W95" s="15"/>
      <c r="X95" s="15"/>
      <c r="Y95" s="15"/>
    </row>
    <row r="96" spans="1:58" x14ac:dyDescent="0.2">
      <c r="A96" s="130" t="s">
        <v>11</v>
      </c>
      <c r="B96" s="296">
        <f>K46*I55</f>
        <v>1544.607</v>
      </c>
      <c r="C96" s="131">
        <f>I80</f>
        <v>7194.0599999999995</v>
      </c>
      <c r="D96" s="15"/>
      <c r="E96" s="15"/>
      <c r="F96" s="15"/>
      <c r="G96" s="15"/>
      <c r="H96" s="15"/>
      <c r="I96" s="15"/>
      <c r="J96" s="15"/>
      <c r="K96" s="15"/>
      <c r="L96" s="15"/>
      <c r="M96" s="15"/>
      <c r="N96" s="15"/>
      <c r="O96" s="15"/>
      <c r="P96" s="15"/>
      <c r="Q96" s="15"/>
      <c r="R96" s="15"/>
      <c r="S96" s="15"/>
      <c r="T96" s="15"/>
      <c r="U96" s="15"/>
      <c r="V96" s="15"/>
      <c r="W96" s="15"/>
      <c r="X96" s="15"/>
      <c r="Y96" s="15"/>
    </row>
    <row r="97" spans="1:25" x14ac:dyDescent="0.2">
      <c r="A97" s="130" t="s">
        <v>50</v>
      </c>
      <c r="B97" s="296">
        <f>L46*J55</f>
        <v>10434.599999999999</v>
      </c>
      <c r="C97" s="131">
        <f>J80</f>
        <v>0</v>
      </c>
      <c r="D97" s="44"/>
      <c r="E97" s="15"/>
      <c r="F97" s="15"/>
      <c r="G97" s="15"/>
      <c r="H97" s="15"/>
      <c r="I97" s="15"/>
      <c r="J97" s="15"/>
      <c r="K97" s="15"/>
      <c r="L97" s="15"/>
      <c r="M97" s="15"/>
      <c r="N97" s="15"/>
      <c r="O97" s="15"/>
      <c r="P97" s="15"/>
      <c r="Q97" s="15"/>
      <c r="R97" s="15"/>
      <c r="S97" s="15"/>
      <c r="T97" s="15"/>
      <c r="U97" s="15"/>
      <c r="V97" s="15"/>
      <c r="W97" s="15"/>
      <c r="X97" s="15"/>
      <c r="Y97" s="15"/>
    </row>
    <row r="98" spans="1:25" ht="13.5" thickBot="1" x14ac:dyDescent="0.25">
      <c r="A98" s="262" t="s">
        <v>20</v>
      </c>
      <c r="B98" s="297">
        <f>N46*K55</f>
        <v>0</v>
      </c>
      <c r="C98" s="240">
        <f>K80</f>
        <v>0</v>
      </c>
      <c r="D98" s="44"/>
      <c r="E98" s="15"/>
      <c r="F98" s="15"/>
      <c r="G98" s="15"/>
      <c r="H98" s="15"/>
      <c r="I98" s="15"/>
      <c r="J98" s="15"/>
      <c r="K98" s="15"/>
      <c r="L98" s="15"/>
      <c r="M98" s="15"/>
      <c r="N98" s="15"/>
      <c r="O98" s="15"/>
      <c r="P98" s="15"/>
      <c r="Q98" s="15"/>
      <c r="R98" s="15"/>
      <c r="S98" s="15"/>
      <c r="T98" s="15"/>
      <c r="U98" s="15"/>
      <c r="V98" s="15"/>
      <c r="W98" s="15"/>
      <c r="X98" s="15"/>
      <c r="Y98" s="15"/>
    </row>
    <row r="99" spans="1:25" ht="13.5" thickBot="1" x14ac:dyDescent="0.25">
      <c r="A99" s="259" t="s">
        <v>48</v>
      </c>
      <c r="B99" s="298">
        <f>SUM(B89:B98)</f>
        <v>33263.34232630732</v>
      </c>
      <c r="C99" s="260">
        <f>SUM(C89:C98)</f>
        <v>21100.85038587977</v>
      </c>
      <c r="D99" s="15"/>
      <c r="E99" s="15"/>
      <c r="F99" s="15"/>
      <c r="G99" s="15"/>
      <c r="H99" s="15"/>
      <c r="I99" s="15"/>
      <c r="J99" s="15"/>
      <c r="K99" s="15"/>
      <c r="L99" s="15"/>
      <c r="M99" s="15"/>
      <c r="N99" s="15"/>
      <c r="O99" s="15"/>
      <c r="P99" s="15"/>
      <c r="Q99" s="15"/>
      <c r="R99" s="15"/>
      <c r="S99" s="15"/>
      <c r="T99" s="15"/>
      <c r="U99" s="15"/>
      <c r="V99" s="15"/>
      <c r="W99" s="15"/>
      <c r="X99" s="15"/>
      <c r="Y99" s="15"/>
    </row>
    <row r="100" spans="1:25"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x14ac:dyDescent="0.2">
      <c r="A101" s="15"/>
      <c r="B101" s="299" t="s">
        <v>24</v>
      </c>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sheetData>
  <mergeCells count="3">
    <mergeCell ref="A53:A54"/>
    <mergeCell ref="B56:K56"/>
    <mergeCell ref="A3:A4"/>
  </mergeCells>
  <pageMargins left="0" right="0" top="0" bottom="0" header="0.3" footer="0.3"/>
  <pageSetup paperSize="17" scale="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I114"/>
  <sheetViews>
    <sheetView workbookViewId="0"/>
  </sheetViews>
  <sheetFormatPr defaultRowHeight="12.75" x14ac:dyDescent="0.2"/>
  <cols>
    <col min="1" max="1" width="22.7109375" customWidth="1"/>
    <col min="2" max="6" width="16.7109375" customWidth="1"/>
    <col min="7" max="7" width="17.42578125" bestFit="1" customWidth="1"/>
    <col min="8" max="11" width="16.7109375" customWidth="1"/>
    <col min="12" max="12" width="9.140625" customWidth="1"/>
  </cols>
  <sheetData>
    <row r="1" spans="1:16" ht="18.75" x14ac:dyDescent="0.3">
      <c r="A1" s="52" t="s">
        <v>318</v>
      </c>
      <c r="B1" s="285"/>
      <c r="C1" s="285"/>
      <c r="D1" s="285"/>
      <c r="E1" s="7" t="s">
        <v>24</v>
      </c>
      <c r="F1" s="285"/>
      <c r="G1" s="285"/>
      <c r="H1" s="285"/>
    </row>
    <row r="2" spans="1:16" ht="18.75" x14ac:dyDescent="0.3">
      <c r="A2" s="3"/>
      <c r="B2" s="350"/>
      <c r="C2" s="285" t="s">
        <v>24</v>
      </c>
      <c r="D2" s="285" t="s">
        <v>24</v>
      </c>
      <c r="E2" s="351" t="s">
        <v>24</v>
      </c>
      <c r="F2" s="352"/>
      <c r="G2" s="353"/>
      <c r="H2" s="285"/>
    </row>
    <row r="3" spans="1:16" ht="15.75" x14ac:dyDescent="0.2">
      <c r="A3" s="564" t="s">
        <v>52</v>
      </c>
      <c r="B3" s="565"/>
      <c r="C3" s="354"/>
      <c r="D3" s="354"/>
      <c r="E3" s="354"/>
      <c r="F3" s="354"/>
      <c r="G3" s="355"/>
      <c r="H3" s="355"/>
      <c r="I3" s="355"/>
      <c r="J3" s="355"/>
      <c r="K3" s="355"/>
    </row>
    <row r="4" spans="1:16" ht="38.25" x14ac:dyDescent="0.2">
      <c r="A4" s="167" t="s">
        <v>240</v>
      </c>
      <c r="B4" s="149" t="s">
        <v>111</v>
      </c>
      <c r="C4" s="149" t="s">
        <v>132</v>
      </c>
      <c r="D4" s="167" t="s">
        <v>142</v>
      </c>
      <c r="E4" s="207"/>
      <c r="F4" s="352"/>
      <c r="G4" s="352"/>
      <c r="H4" s="352"/>
      <c r="I4" s="352"/>
      <c r="J4" s="352"/>
      <c r="K4" s="352"/>
      <c r="L4" s="352"/>
      <c r="M4" s="352"/>
      <c r="N4" s="352"/>
      <c r="O4" s="352"/>
      <c r="P4" s="352"/>
    </row>
    <row r="5" spans="1:16" x14ac:dyDescent="0.2">
      <c r="A5" s="166" t="s">
        <v>6</v>
      </c>
      <c r="B5" s="24">
        <v>58</v>
      </c>
      <c r="C5" s="24">
        <v>0</v>
      </c>
      <c r="D5" s="28">
        <f>B5+C5</f>
        <v>58</v>
      </c>
      <c r="E5" s="356"/>
      <c r="F5" s="352"/>
      <c r="G5" s="352"/>
      <c r="H5" s="352"/>
      <c r="I5" s="352"/>
      <c r="J5" s="352"/>
      <c r="K5" s="352"/>
      <c r="L5" s="352"/>
      <c r="M5" s="352"/>
      <c r="N5" s="352"/>
      <c r="O5" s="352"/>
      <c r="P5" s="352"/>
    </row>
    <row r="6" spans="1:16" x14ac:dyDescent="0.2">
      <c r="A6" s="166" t="s">
        <v>28</v>
      </c>
      <c r="B6" s="24">
        <f>$B$5</f>
        <v>58</v>
      </c>
      <c r="C6" s="24">
        <v>22</v>
      </c>
      <c r="D6" s="28">
        <f>B6+C6</f>
        <v>80</v>
      </c>
      <c r="E6" s="356"/>
      <c r="F6" s="352"/>
      <c r="G6" s="352"/>
      <c r="H6" s="352"/>
      <c r="I6" s="352"/>
      <c r="J6" s="352"/>
      <c r="K6" s="352"/>
      <c r="L6" s="352"/>
      <c r="M6" s="352"/>
      <c r="N6" s="352"/>
      <c r="O6" s="352"/>
      <c r="P6" s="352"/>
    </row>
    <row r="7" spans="1:16" x14ac:dyDescent="0.2">
      <c r="A7" s="166" t="s">
        <v>33</v>
      </c>
      <c r="B7" s="24">
        <f t="shared" ref="B7:B19" si="0">$B$5</f>
        <v>58</v>
      </c>
      <c r="C7" s="24">
        <v>95.81</v>
      </c>
      <c r="D7" s="28">
        <f>B7+C6+C7</f>
        <v>175.81</v>
      </c>
      <c r="E7" s="356"/>
      <c r="F7" s="352"/>
      <c r="G7" s="352"/>
      <c r="H7" s="352"/>
      <c r="I7" s="352"/>
      <c r="J7" s="352"/>
      <c r="K7" s="352"/>
      <c r="L7" s="352"/>
      <c r="M7" s="352"/>
      <c r="N7" s="352"/>
      <c r="O7" s="352"/>
      <c r="P7" s="352"/>
    </row>
    <row r="8" spans="1:16" x14ac:dyDescent="0.2">
      <c r="A8" s="166" t="s">
        <v>5</v>
      </c>
      <c r="B8" s="24">
        <f t="shared" si="0"/>
        <v>58</v>
      </c>
      <c r="C8" s="24">
        <v>0</v>
      </c>
      <c r="D8" s="28">
        <f>B8+C6+C8</f>
        <v>80</v>
      </c>
      <c r="E8" s="356"/>
      <c r="F8" s="352"/>
      <c r="G8" s="352"/>
      <c r="H8" s="352"/>
      <c r="I8" s="352"/>
      <c r="J8" s="352"/>
      <c r="K8" s="352"/>
      <c r="L8" s="352"/>
      <c r="M8" s="352"/>
      <c r="N8" s="352"/>
      <c r="O8" s="352"/>
      <c r="P8" s="352"/>
    </row>
    <row r="9" spans="1:16" x14ac:dyDescent="0.2">
      <c r="A9" s="166" t="s">
        <v>8</v>
      </c>
      <c r="B9" s="24">
        <f t="shared" si="0"/>
        <v>58</v>
      </c>
      <c r="C9" s="24">
        <v>0</v>
      </c>
      <c r="D9" s="28">
        <f>B9+C6+C7+C9</f>
        <v>175.81</v>
      </c>
      <c r="E9" s="356"/>
      <c r="F9" s="352"/>
      <c r="G9" s="352"/>
      <c r="H9" s="352"/>
      <c r="I9" s="352"/>
      <c r="J9" s="352"/>
      <c r="K9" s="352"/>
      <c r="L9" s="352"/>
      <c r="M9" s="352"/>
      <c r="N9" s="352"/>
      <c r="O9" s="352"/>
      <c r="P9" s="352"/>
    </row>
    <row r="10" spans="1:16" x14ac:dyDescent="0.2">
      <c r="A10" s="166" t="s">
        <v>34</v>
      </c>
      <c r="B10" s="24">
        <f t="shared" si="0"/>
        <v>58</v>
      </c>
      <c r="C10" s="24">
        <v>0</v>
      </c>
      <c r="D10" s="28">
        <f>B10+C6+C7+C9+C10</f>
        <v>175.81</v>
      </c>
      <c r="E10" s="356"/>
      <c r="F10" s="352"/>
      <c r="G10" s="352"/>
      <c r="H10" s="352"/>
      <c r="I10" s="352"/>
      <c r="J10" s="352"/>
      <c r="K10" s="352"/>
      <c r="L10" s="352"/>
      <c r="M10" s="352"/>
      <c r="N10" s="352"/>
      <c r="O10" s="352"/>
      <c r="P10" s="352"/>
    </row>
    <row r="11" spans="1:16" x14ac:dyDescent="0.2">
      <c r="A11" s="166" t="s">
        <v>35</v>
      </c>
      <c r="B11" s="24">
        <f t="shared" si="0"/>
        <v>58</v>
      </c>
      <c r="C11" s="24">
        <v>0</v>
      </c>
      <c r="D11" s="28">
        <f>B11+C6+C7+C11</f>
        <v>175.81</v>
      </c>
      <c r="E11" s="356"/>
      <c r="F11" s="352"/>
      <c r="G11" s="352"/>
      <c r="H11" s="352"/>
      <c r="I11" s="352"/>
      <c r="J11" s="352"/>
      <c r="K11" s="352"/>
      <c r="L11" s="352"/>
      <c r="M11" s="352"/>
      <c r="N11" s="352"/>
      <c r="O11" s="352"/>
      <c r="P11" s="352"/>
    </row>
    <row r="12" spans="1:16" x14ac:dyDescent="0.2">
      <c r="A12" s="16" t="s">
        <v>15</v>
      </c>
      <c r="B12" s="24">
        <f t="shared" si="0"/>
        <v>58</v>
      </c>
      <c r="C12" s="24">
        <v>0</v>
      </c>
      <c r="D12" s="28">
        <f>B12+C6+C8+C12</f>
        <v>80</v>
      </c>
      <c r="E12" s="356"/>
      <c r="F12" s="352"/>
      <c r="G12" s="352"/>
      <c r="H12" s="352"/>
      <c r="I12" s="352"/>
      <c r="J12" s="352"/>
      <c r="K12" s="352"/>
      <c r="L12" s="352"/>
      <c r="M12" s="352"/>
      <c r="N12" s="352"/>
      <c r="O12" s="352"/>
      <c r="P12" s="352"/>
    </row>
    <row r="13" spans="1:16" x14ac:dyDescent="0.2">
      <c r="A13" s="16" t="s">
        <v>43</v>
      </c>
      <c r="B13" s="24">
        <f t="shared" si="0"/>
        <v>58</v>
      </c>
      <c r="C13" s="24">
        <v>0</v>
      </c>
      <c r="D13" s="28">
        <f>B13+C13</f>
        <v>58</v>
      </c>
      <c r="E13" s="356"/>
      <c r="F13" s="352"/>
      <c r="G13" s="352"/>
      <c r="H13" s="352"/>
      <c r="I13" s="352"/>
      <c r="J13" s="352"/>
      <c r="K13" s="352"/>
      <c r="L13" s="352"/>
      <c r="M13" s="352"/>
      <c r="N13" s="352"/>
      <c r="O13" s="352"/>
      <c r="P13" s="352"/>
    </row>
    <row r="14" spans="1:16" x14ac:dyDescent="0.2">
      <c r="A14" s="16" t="s">
        <v>98</v>
      </c>
      <c r="B14" s="24">
        <f t="shared" si="0"/>
        <v>58</v>
      </c>
      <c r="C14" s="24">
        <v>0</v>
      </c>
      <c r="D14" s="28">
        <f>B14+C13+C14</f>
        <v>58</v>
      </c>
      <c r="E14" s="356"/>
      <c r="F14" s="352"/>
      <c r="G14" s="352"/>
      <c r="H14" s="352"/>
      <c r="I14" s="352"/>
      <c r="J14" s="352"/>
      <c r="K14" s="352"/>
      <c r="L14" s="352"/>
      <c r="M14" s="352"/>
      <c r="N14" s="352"/>
      <c r="O14" s="352"/>
      <c r="P14" s="352"/>
    </row>
    <row r="15" spans="1:16" x14ac:dyDescent="0.2">
      <c r="A15" s="16" t="s">
        <v>20</v>
      </c>
      <c r="B15" s="24">
        <f t="shared" si="0"/>
        <v>58</v>
      </c>
      <c r="C15" s="24">
        <v>0</v>
      </c>
      <c r="D15" s="28">
        <f>B15+C15</f>
        <v>58</v>
      </c>
      <c r="E15" s="356"/>
      <c r="F15" s="352"/>
      <c r="G15" s="352"/>
      <c r="H15" s="352"/>
      <c r="I15" s="352"/>
      <c r="J15" s="352"/>
      <c r="K15" s="352"/>
      <c r="L15" s="352"/>
      <c r="M15" s="352"/>
      <c r="N15" s="352"/>
      <c r="O15" s="352"/>
      <c r="P15" s="352"/>
    </row>
    <row r="16" spans="1:16" x14ac:dyDescent="0.2">
      <c r="A16" s="16" t="s">
        <v>11</v>
      </c>
      <c r="B16" s="24">
        <f t="shared" si="0"/>
        <v>58</v>
      </c>
      <c r="C16" s="24">
        <v>75.289999999999992</v>
      </c>
      <c r="D16" s="28">
        <f>B16+C6+C8+C16</f>
        <v>155.29</v>
      </c>
      <c r="E16" s="356"/>
      <c r="F16" s="352"/>
      <c r="G16" s="352"/>
      <c r="H16" s="352"/>
      <c r="I16" s="352"/>
      <c r="J16" s="352"/>
      <c r="K16" s="352"/>
      <c r="L16" s="352"/>
      <c r="M16" s="352"/>
      <c r="N16" s="352"/>
      <c r="O16" s="352"/>
      <c r="P16" s="352"/>
    </row>
    <row r="17" spans="1:35" x14ac:dyDescent="0.2">
      <c r="A17" s="16" t="s">
        <v>10</v>
      </c>
      <c r="B17" s="24">
        <f t="shared" si="0"/>
        <v>58</v>
      </c>
      <c r="C17" s="24">
        <v>0</v>
      </c>
      <c r="D17" s="28">
        <f>B17+C6+C17</f>
        <v>80</v>
      </c>
      <c r="E17" s="356"/>
      <c r="F17" s="352"/>
      <c r="G17" s="352"/>
      <c r="H17" s="352"/>
      <c r="I17" s="352"/>
      <c r="J17" s="352"/>
      <c r="K17" s="352"/>
      <c r="L17" s="352"/>
      <c r="M17" s="352"/>
      <c r="N17" s="352"/>
      <c r="O17" s="352"/>
      <c r="P17" s="352"/>
    </row>
    <row r="18" spans="1:35" x14ac:dyDescent="0.2">
      <c r="A18" s="16" t="s">
        <v>21</v>
      </c>
      <c r="B18" s="24">
        <f t="shared" si="0"/>
        <v>58</v>
      </c>
      <c r="C18" s="24">
        <v>0</v>
      </c>
      <c r="D18" s="28">
        <f>B18+C18</f>
        <v>58</v>
      </c>
      <c r="E18" s="26"/>
      <c r="F18" s="352"/>
      <c r="G18" s="352"/>
      <c r="H18" s="352"/>
      <c r="I18" s="352"/>
      <c r="J18" s="352"/>
      <c r="K18" s="352"/>
      <c r="L18" s="352"/>
      <c r="M18" s="352"/>
      <c r="N18" s="352"/>
      <c r="O18" s="352"/>
      <c r="P18" s="352"/>
    </row>
    <row r="19" spans="1:35" x14ac:dyDescent="0.2">
      <c r="A19" s="16" t="s">
        <v>50</v>
      </c>
      <c r="B19" s="24">
        <f t="shared" si="0"/>
        <v>58</v>
      </c>
      <c r="C19" s="24">
        <v>0</v>
      </c>
      <c r="D19" s="28">
        <f>B19+C19</f>
        <v>58</v>
      </c>
      <c r="E19" s="26"/>
      <c r="F19" s="352"/>
      <c r="G19" s="352"/>
      <c r="H19" s="352"/>
      <c r="I19" s="352"/>
      <c r="J19" s="352"/>
      <c r="K19" s="352"/>
      <c r="L19" s="352"/>
      <c r="M19" s="352"/>
      <c r="N19" s="352"/>
      <c r="O19" s="352"/>
      <c r="P19" s="352"/>
    </row>
    <row r="20" spans="1:35" x14ac:dyDescent="0.2">
      <c r="A20" s="17" t="s">
        <v>122</v>
      </c>
      <c r="B20" s="27"/>
      <c r="C20" s="26"/>
      <c r="D20" s="26"/>
      <c r="E20" s="26"/>
      <c r="F20" s="26"/>
      <c r="G20" s="355"/>
    </row>
    <row r="21" spans="1:35" ht="12.75" customHeight="1" x14ac:dyDescent="0.2">
      <c r="A21" s="195" t="s">
        <v>241</v>
      </c>
      <c r="B21" s="190"/>
      <c r="C21" s="190"/>
      <c r="D21" s="190"/>
      <c r="E21" s="190"/>
      <c r="F21" s="190"/>
      <c r="G21" s="355"/>
    </row>
    <row r="22" spans="1:35" x14ac:dyDescent="0.2">
      <c r="A22" s="190"/>
      <c r="B22" s="190"/>
      <c r="C22" s="190"/>
      <c r="D22" s="190"/>
      <c r="E22" s="190"/>
      <c r="F22" s="190"/>
      <c r="G22" s="355"/>
    </row>
    <row r="23" spans="1:35" ht="15.75" x14ac:dyDescent="0.25">
      <c r="A23" s="566" t="s">
        <v>242</v>
      </c>
      <c r="B23" s="567"/>
      <c r="C23" s="567"/>
      <c r="D23" s="567"/>
      <c r="E23" s="568"/>
      <c r="F23" s="357"/>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row>
    <row r="24" spans="1:35" ht="38.25" x14ac:dyDescent="0.2">
      <c r="A24" s="167" t="s">
        <v>3</v>
      </c>
      <c r="B24" s="358" t="s">
        <v>243</v>
      </c>
      <c r="C24" s="358" t="s">
        <v>244</v>
      </c>
      <c r="D24" s="359" t="s">
        <v>245</v>
      </c>
      <c r="E24" s="358" t="s">
        <v>246</v>
      </c>
      <c r="F24" s="34"/>
      <c r="G24" s="387"/>
      <c r="H24" s="387"/>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row>
    <row r="25" spans="1:35" x14ac:dyDescent="0.2">
      <c r="A25" s="166" t="s">
        <v>6</v>
      </c>
      <c r="B25" s="360">
        <v>4246.7</v>
      </c>
      <c r="C25" s="360">
        <v>6881</v>
      </c>
      <c r="D25" s="361">
        <f t="shared" ref="D25:D39" si="1">B25-C25</f>
        <v>-2634.3</v>
      </c>
      <c r="E25" s="360">
        <v>0</v>
      </c>
      <c r="F25" s="362"/>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row>
    <row r="26" spans="1:35" x14ac:dyDescent="0.2">
      <c r="A26" s="166" t="s">
        <v>28</v>
      </c>
      <c r="B26" s="360">
        <v>1370.0999999999995</v>
      </c>
      <c r="C26" s="360">
        <v>2814.1</v>
      </c>
      <c r="D26" s="363">
        <f t="shared" si="1"/>
        <v>-1444.0000000000005</v>
      </c>
      <c r="E26" s="360">
        <v>0</v>
      </c>
      <c r="F26" s="364"/>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row>
    <row r="27" spans="1:35" x14ac:dyDescent="0.2">
      <c r="A27" s="166" t="s">
        <v>33</v>
      </c>
      <c r="B27" s="360">
        <v>55.100000000000009</v>
      </c>
      <c r="C27" s="360">
        <v>1100.3</v>
      </c>
      <c r="D27" s="363">
        <f t="shared" si="1"/>
        <v>-1045.2</v>
      </c>
      <c r="E27" s="360">
        <v>0</v>
      </c>
      <c r="F27" s="364"/>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row>
    <row r="28" spans="1:35" x14ac:dyDescent="0.2">
      <c r="A28" s="166" t="s">
        <v>5</v>
      </c>
      <c r="B28" s="360">
        <v>130.5</v>
      </c>
      <c r="C28" s="360">
        <v>301.2</v>
      </c>
      <c r="D28" s="363">
        <f t="shared" si="1"/>
        <v>-170.7</v>
      </c>
      <c r="E28" s="360">
        <v>0</v>
      </c>
      <c r="F28" s="364"/>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row>
    <row r="29" spans="1:35" x14ac:dyDescent="0.2">
      <c r="A29" s="166" t="s">
        <v>8</v>
      </c>
      <c r="B29" s="360">
        <v>0</v>
      </c>
      <c r="C29" s="360">
        <v>104.1</v>
      </c>
      <c r="D29" s="363">
        <f t="shared" si="1"/>
        <v>-104.1</v>
      </c>
      <c r="E29" s="360">
        <v>0</v>
      </c>
      <c r="F29" s="364"/>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row>
    <row r="30" spans="1:35" x14ac:dyDescent="0.2">
      <c r="A30" s="166" t="s">
        <v>34</v>
      </c>
      <c r="B30" s="360">
        <v>0</v>
      </c>
      <c r="C30" s="360">
        <v>57.8</v>
      </c>
      <c r="D30" s="363">
        <f t="shared" si="1"/>
        <v>-57.8</v>
      </c>
      <c r="E30" s="360">
        <v>0</v>
      </c>
      <c r="F30" s="364"/>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row>
    <row r="31" spans="1:35" x14ac:dyDescent="0.2">
      <c r="A31" s="166" t="s">
        <v>35</v>
      </c>
      <c r="B31" s="360">
        <v>28.300000000000004</v>
      </c>
      <c r="C31" s="360">
        <v>33.200000000000003</v>
      </c>
      <c r="D31" s="363">
        <f t="shared" si="1"/>
        <v>-4.8999999999999986</v>
      </c>
      <c r="E31" s="360">
        <v>0</v>
      </c>
      <c r="F31" s="364"/>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row>
    <row r="32" spans="1:35" x14ac:dyDescent="0.2">
      <c r="A32" s="16" t="s">
        <v>15</v>
      </c>
      <c r="B32" s="360">
        <v>84.399999999999991</v>
      </c>
      <c r="C32" s="360">
        <v>78.7</v>
      </c>
      <c r="D32" s="363">
        <f t="shared" si="1"/>
        <v>5.6999999999999886</v>
      </c>
      <c r="E32" s="360">
        <v>0</v>
      </c>
      <c r="F32" s="36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row>
    <row r="33" spans="1:35" x14ac:dyDescent="0.2">
      <c r="A33" s="16" t="s">
        <v>43</v>
      </c>
      <c r="B33" s="360">
        <v>67.099999999999994</v>
      </c>
      <c r="C33" s="360">
        <v>245.6</v>
      </c>
      <c r="D33" s="363">
        <f t="shared" si="1"/>
        <v>-178.5</v>
      </c>
      <c r="E33" s="360">
        <v>0</v>
      </c>
      <c r="F33" s="364"/>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row>
    <row r="34" spans="1:35" x14ac:dyDescent="0.2">
      <c r="A34" s="16" t="s">
        <v>98</v>
      </c>
      <c r="B34" s="360">
        <v>0.5</v>
      </c>
      <c r="C34" s="360">
        <v>0</v>
      </c>
      <c r="D34" s="363">
        <f t="shared" si="1"/>
        <v>0.5</v>
      </c>
      <c r="E34" s="360">
        <v>0</v>
      </c>
      <c r="F34" s="364"/>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row>
    <row r="35" spans="1:35" x14ac:dyDescent="0.2">
      <c r="A35" s="16" t="s">
        <v>20</v>
      </c>
      <c r="B35" s="360">
        <v>1586.9999999999998</v>
      </c>
      <c r="C35" s="360">
        <v>2370</v>
      </c>
      <c r="D35" s="363">
        <f t="shared" si="1"/>
        <v>-783.00000000000023</v>
      </c>
      <c r="E35" s="360">
        <v>0</v>
      </c>
      <c r="F35" s="364"/>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row>
    <row r="36" spans="1:35" x14ac:dyDescent="0.2">
      <c r="A36" s="16" t="s">
        <v>11</v>
      </c>
      <c r="B36" s="360">
        <v>46.1</v>
      </c>
      <c r="C36" s="360">
        <v>169.2</v>
      </c>
      <c r="D36" s="363">
        <f t="shared" si="1"/>
        <v>-123.1</v>
      </c>
      <c r="E36" s="360">
        <v>0</v>
      </c>
      <c r="F36" s="364"/>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row>
    <row r="37" spans="1:35" x14ac:dyDescent="0.2">
      <c r="A37" s="16" t="s">
        <v>10</v>
      </c>
      <c r="B37" s="360">
        <v>282.39999999999998</v>
      </c>
      <c r="C37" s="360">
        <v>588.1</v>
      </c>
      <c r="D37" s="363">
        <f t="shared" si="1"/>
        <v>-305.70000000000005</v>
      </c>
      <c r="E37" s="360">
        <v>0</v>
      </c>
      <c r="F37" s="364"/>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row>
    <row r="38" spans="1:35" x14ac:dyDescent="0.2">
      <c r="A38" s="16" t="s">
        <v>21</v>
      </c>
      <c r="B38" s="360">
        <v>0</v>
      </c>
      <c r="C38" s="360">
        <v>7.2</v>
      </c>
      <c r="D38" s="363">
        <f t="shared" si="1"/>
        <v>-7.2</v>
      </c>
      <c r="E38" s="360">
        <v>0</v>
      </c>
      <c r="F38" s="364"/>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row>
    <row r="39" spans="1:35" x14ac:dyDescent="0.2">
      <c r="A39" s="16" t="s">
        <v>50</v>
      </c>
      <c r="B39" s="360">
        <v>139.6</v>
      </c>
      <c r="C39" s="360">
        <v>90.2</v>
      </c>
      <c r="D39" s="363">
        <f t="shared" si="1"/>
        <v>49.399999999999991</v>
      </c>
      <c r="E39" s="360">
        <v>0</v>
      </c>
      <c r="F39" s="364"/>
      <c r="G39" s="355"/>
      <c r="H39" s="355"/>
      <c r="I39" s="355"/>
      <c r="J39" s="355"/>
      <c r="K39" s="355"/>
    </row>
    <row r="40" spans="1:35" x14ac:dyDescent="0.2">
      <c r="A40" s="365"/>
      <c r="B40" s="366"/>
      <c r="C40" s="367"/>
      <c r="D40" s="366"/>
      <c r="E40" s="368"/>
      <c r="F40" s="366"/>
      <c r="G40" s="355"/>
      <c r="H40" s="355"/>
      <c r="I40" s="355"/>
      <c r="J40" s="355"/>
      <c r="K40" s="355"/>
    </row>
    <row r="41" spans="1:35" ht="15.75" x14ac:dyDescent="0.25">
      <c r="A41" s="569" t="s">
        <v>247</v>
      </c>
      <c r="B41" s="570"/>
      <c r="C41" s="571"/>
      <c r="D41" s="366"/>
      <c r="E41" s="369" t="s">
        <v>24</v>
      </c>
      <c r="F41" s="366"/>
      <c r="G41" s="355"/>
      <c r="H41" s="355"/>
      <c r="I41" s="355"/>
      <c r="J41" s="355"/>
      <c r="K41" s="355"/>
    </row>
    <row r="42" spans="1:35" ht="38.25" x14ac:dyDescent="0.2">
      <c r="A42" s="167" t="s">
        <v>3</v>
      </c>
      <c r="B42" s="358" t="s">
        <v>248</v>
      </c>
      <c r="C42" s="358" t="s">
        <v>249</v>
      </c>
      <c r="D42" s="358" t="s">
        <v>250</v>
      </c>
      <c r="E42" s="370" t="s">
        <v>24</v>
      </c>
      <c r="F42" s="371"/>
      <c r="G42" s="387"/>
      <c r="H42" s="355"/>
      <c r="I42" s="355"/>
      <c r="J42" s="355"/>
      <c r="K42" s="355"/>
    </row>
    <row r="43" spans="1:35" x14ac:dyDescent="0.2">
      <c r="A43" s="166" t="s">
        <v>6</v>
      </c>
      <c r="B43" s="363">
        <v>2634.2999999999993</v>
      </c>
      <c r="C43" s="363">
        <v>0</v>
      </c>
      <c r="D43" s="361">
        <f>B43-C43</f>
        <v>2634.2999999999993</v>
      </c>
      <c r="E43" s="364"/>
      <c r="F43" s="485"/>
      <c r="G43" s="355"/>
      <c r="H43" s="355"/>
      <c r="I43" s="355"/>
      <c r="J43" s="355"/>
      <c r="K43" s="355"/>
    </row>
    <row r="44" spans="1:35" x14ac:dyDescent="0.2">
      <c r="A44" s="166" t="s">
        <v>28</v>
      </c>
      <c r="B44" s="363">
        <v>1371.6999999999998</v>
      </c>
      <c r="C44" s="363">
        <v>0</v>
      </c>
      <c r="D44" s="363">
        <f t="shared" ref="D44:D57" si="2">B44-C44</f>
        <v>1371.6999999999998</v>
      </c>
      <c r="E44" s="489"/>
      <c r="F44" s="355"/>
      <c r="G44" s="355"/>
      <c r="H44" s="355"/>
      <c r="I44" s="355"/>
      <c r="J44" s="355"/>
      <c r="K44" s="355"/>
    </row>
    <row r="45" spans="1:35" x14ac:dyDescent="0.2">
      <c r="A45" s="166" t="s">
        <v>33</v>
      </c>
      <c r="B45" s="363">
        <v>1045.1999999999998</v>
      </c>
      <c r="C45" s="363">
        <v>0</v>
      </c>
      <c r="D45" s="363">
        <f t="shared" si="2"/>
        <v>1045.1999999999998</v>
      </c>
      <c r="E45" s="488"/>
      <c r="F45" s="355"/>
      <c r="G45" s="355"/>
      <c r="H45" s="355"/>
      <c r="I45" s="355"/>
      <c r="J45" s="355"/>
      <c r="K45" s="355"/>
    </row>
    <row r="46" spans="1:35" x14ac:dyDescent="0.2">
      <c r="A46" s="166" t="s">
        <v>5</v>
      </c>
      <c r="B46" s="363">
        <v>304.60000000000002</v>
      </c>
      <c r="C46" s="363">
        <v>0</v>
      </c>
      <c r="D46" s="363">
        <f t="shared" si="2"/>
        <v>304.60000000000002</v>
      </c>
      <c r="E46" s="364"/>
      <c r="F46" s="355"/>
      <c r="G46" s="355"/>
      <c r="H46" s="355"/>
      <c r="I46" s="355"/>
      <c r="J46" s="355"/>
      <c r="K46" s="355"/>
    </row>
    <row r="47" spans="1:35" x14ac:dyDescent="0.2">
      <c r="A47" s="166" t="s">
        <v>8</v>
      </c>
      <c r="B47" s="363">
        <v>636.09999999999991</v>
      </c>
      <c r="C47" s="363">
        <v>0</v>
      </c>
      <c r="D47" s="363">
        <f t="shared" si="2"/>
        <v>636.09999999999991</v>
      </c>
      <c r="E47" s="364"/>
      <c r="F47" s="355"/>
      <c r="G47" s="355"/>
      <c r="H47" s="355"/>
      <c r="I47" s="355"/>
      <c r="J47" s="355"/>
      <c r="K47" s="355"/>
    </row>
    <row r="48" spans="1:35" x14ac:dyDescent="0.2">
      <c r="A48" s="166" t="s">
        <v>34</v>
      </c>
      <c r="B48" s="363">
        <v>289.59999999999997</v>
      </c>
      <c r="C48" s="363">
        <v>0</v>
      </c>
      <c r="D48" s="363">
        <f t="shared" si="2"/>
        <v>289.59999999999997</v>
      </c>
      <c r="E48" s="364"/>
      <c r="F48" s="355"/>
      <c r="G48" s="355"/>
      <c r="H48" s="355"/>
      <c r="I48" s="355"/>
      <c r="J48" s="355"/>
      <c r="K48" s="355"/>
    </row>
    <row r="49" spans="1:21" x14ac:dyDescent="0.2">
      <c r="A49" s="166" t="s">
        <v>35</v>
      </c>
      <c r="B49" s="363">
        <v>0</v>
      </c>
      <c r="C49" s="363">
        <v>0</v>
      </c>
      <c r="D49" s="363">
        <f t="shared" si="2"/>
        <v>0</v>
      </c>
      <c r="E49" s="364"/>
      <c r="F49" s="355"/>
      <c r="G49" s="355"/>
      <c r="H49" s="355"/>
      <c r="I49" s="355"/>
      <c r="J49" s="355"/>
      <c r="K49" s="355"/>
    </row>
    <row r="50" spans="1:21" x14ac:dyDescent="0.2">
      <c r="A50" s="16" t="s">
        <v>15</v>
      </c>
      <c r="B50" s="363">
        <v>181.5</v>
      </c>
      <c r="C50" s="363">
        <v>0</v>
      </c>
      <c r="D50" s="363">
        <f t="shared" si="2"/>
        <v>181.5</v>
      </c>
      <c r="E50" s="364"/>
      <c r="F50" s="355"/>
      <c r="G50" s="355"/>
      <c r="H50" s="355"/>
      <c r="I50" s="355"/>
      <c r="J50" s="355"/>
      <c r="K50" s="355"/>
    </row>
    <row r="51" spans="1:21" x14ac:dyDescent="0.2">
      <c r="A51" s="16" t="s">
        <v>43</v>
      </c>
      <c r="B51" s="363">
        <v>0.3</v>
      </c>
      <c r="C51" s="363">
        <v>0</v>
      </c>
      <c r="D51" s="363">
        <f t="shared" si="2"/>
        <v>0.3</v>
      </c>
      <c r="E51" s="364"/>
      <c r="F51" s="355"/>
      <c r="G51" s="355"/>
      <c r="H51" s="355"/>
      <c r="I51" s="355"/>
      <c r="J51" s="355"/>
      <c r="K51" s="355"/>
    </row>
    <row r="52" spans="1:21" x14ac:dyDescent="0.2">
      <c r="A52" s="16" t="s">
        <v>98</v>
      </c>
      <c r="B52" s="363">
        <v>0</v>
      </c>
      <c r="C52" s="363">
        <v>0</v>
      </c>
      <c r="D52" s="363">
        <f t="shared" si="2"/>
        <v>0</v>
      </c>
      <c r="E52" s="364"/>
      <c r="F52" s="355"/>
      <c r="G52" s="355"/>
      <c r="H52" s="355"/>
      <c r="I52" s="355"/>
      <c r="J52" s="355"/>
      <c r="K52" s="355"/>
    </row>
    <row r="53" spans="1:21" x14ac:dyDescent="0.2">
      <c r="A53" s="16" t="s">
        <v>20</v>
      </c>
      <c r="B53" s="363">
        <v>0</v>
      </c>
      <c r="C53" s="363">
        <v>0</v>
      </c>
      <c r="D53" s="363">
        <f t="shared" si="2"/>
        <v>0</v>
      </c>
      <c r="E53" s="364"/>
      <c r="F53" s="355"/>
      <c r="G53" s="355"/>
      <c r="H53" s="355"/>
      <c r="I53" s="355"/>
      <c r="J53" s="355"/>
      <c r="K53" s="355"/>
    </row>
    <row r="54" spans="1:21" x14ac:dyDescent="0.2">
      <c r="A54" s="16" t="s">
        <v>11</v>
      </c>
      <c r="B54" s="363">
        <v>123.10000000000001</v>
      </c>
      <c r="C54" s="363">
        <v>0</v>
      </c>
      <c r="D54" s="363">
        <f t="shared" si="2"/>
        <v>123.10000000000001</v>
      </c>
      <c r="E54" s="364"/>
      <c r="F54" s="355"/>
      <c r="G54" s="355"/>
      <c r="H54" s="355"/>
      <c r="I54" s="355"/>
      <c r="J54" s="355"/>
      <c r="K54" s="355"/>
    </row>
    <row r="55" spans="1:21" x14ac:dyDescent="0.2">
      <c r="A55" s="16" t="s">
        <v>10</v>
      </c>
      <c r="B55" s="363">
        <v>0</v>
      </c>
      <c r="C55" s="363">
        <v>0</v>
      </c>
      <c r="D55" s="363">
        <f t="shared" si="2"/>
        <v>0</v>
      </c>
      <c r="E55" s="364"/>
      <c r="F55" s="355"/>
      <c r="G55" s="355"/>
      <c r="H55" s="355"/>
      <c r="I55" s="355"/>
      <c r="J55" s="355"/>
      <c r="K55" s="355"/>
    </row>
    <row r="56" spans="1:21" x14ac:dyDescent="0.2">
      <c r="A56" s="16" t="s">
        <v>21</v>
      </c>
      <c r="B56" s="363">
        <v>0</v>
      </c>
      <c r="C56" s="363">
        <v>0</v>
      </c>
      <c r="D56" s="363">
        <f t="shared" si="2"/>
        <v>0</v>
      </c>
      <c r="E56" s="364"/>
      <c r="F56" s="355"/>
      <c r="G56" s="355"/>
      <c r="H56" s="355"/>
      <c r="I56" s="355"/>
      <c r="J56" s="355"/>
      <c r="K56" s="355"/>
    </row>
    <row r="57" spans="1:21" x14ac:dyDescent="0.2">
      <c r="A57" s="16" t="s">
        <v>50</v>
      </c>
      <c r="B57" s="363">
        <v>0</v>
      </c>
      <c r="C57" s="363">
        <v>0</v>
      </c>
      <c r="D57" s="363">
        <f t="shared" si="2"/>
        <v>0</v>
      </c>
      <c r="E57" s="364"/>
      <c r="F57" s="355"/>
      <c r="G57" s="355"/>
      <c r="H57" s="355"/>
      <c r="I57" s="355"/>
      <c r="J57" s="355"/>
      <c r="K57" s="355"/>
    </row>
    <row r="58" spans="1:21" x14ac:dyDescent="0.2">
      <c r="A58" s="365"/>
      <c r="B58" s="366"/>
      <c r="C58" s="367"/>
      <c r="D58" s="366"/>
      <c r="E58" s="368"/>
      <c r="F58" s="366"/>
      <c r="G58" s="355"/>
      <c r="H58" s="355"/>
      <c r="I58" s="355"/>
      <c r="J58" s="355"/>
      <c r="K58" s="355"/>
      <c r="L58" s="355"/>
    </row>
    <row r="59" spans="1:21" ht="15.75" x14ac:dyDescent="0.25">
      <c r="A59" s="572" t="s">
        <v>251</v>
      </c>
      <c r="B59" s="573"/>
      <c r="C59" s="372"/>
      <c r="D59" s="372"/>
      <c r="E59" s="373"/>
      <c r="F59" s="374"/>
      <c r="G59" s="374"/>
      <c r="H59" s="374"/>
      <c r="I59" s="355"/>
      <c r="J59" s="355"/>
      <c r="K59" s="355"/>
      <c r="L59" s="355"/>
      <c r="M59" s="373"/>
      <c r="N59" s="374"/>
      <c r="O59" s="374"/>
    </row>
    <row r="60" spans="1:21" ht="63.75" x14ac:dyDescent="0.2">
      <c r="A60" s="167" t="s">
        <v>3</v>
      </c>
      <c r="B60" s="358" t="s">
        <v>243</v>
      </c>
      <c r="C60" s="358" t="s">
        <v>252</v>
      </c>
      <c r="D60" s="358" t="s">
        <v>253</v>
      </c>
      <c r="E60" s="375" t="s">
        <v>254</v>
      </c>
      <c r="F60" s="376" t="s">
        <v>255</v>
      </c>
      <c r="G60" s="375" t="s">
        <v>256</v>
      </c>
      <c r="H60" s="377"/>
      <c r="I60" s="355"/>
      <c r="J60" s="355"/>
      <c r="K60" s="355"/>
      <c r="L60" s="355"/>
      <c r="M60" s="355"/>
      <c r="N60" s="355"/>
      <c r="O60" s="355"/>
      <c r="P60" s="355"/>
      <c r="Q60" s="355"/>
      <c r="R60" s="355"/>
      <c r="S60" s="355"/>
      <c r="T60" s="355"/>
      <c r="U60" s="355"/>
    </row>
    <row r="61" spans="1:21" x14ac:dyDescent="0.2">
      <c r="A61" s="166" t="s">
        <v>44</v>
      </c>
      <c r="B61" s="40">
        <f>B25-B26-B33-B35-B38-B39</f>
        <v>1082.9000000000008</v>
      </c>
      <c r="C61" s="40">
        <f>C25-C26-C33-C35-C38-C39</f>
        <v>1353.9</v>
      </c>
      <c r="D61" s="40">
        <f>D25-D26-D33-D35-D38-D39</f>
        <v>-270.99999999999949</v>
      </c>
      <c r="E61" s="42">
        <f>B61*D5</f>
        <v>62808.200000000048</v>
      </c>
      <c r="F61" s="42">
        <f>C61*D5</f>
        <v>78526.200000000012</v>
      </c>
      <c r="G61" s="378">
        <f>E61-F61</f>
        <v>-15717.999999999964</v>
      </c>
      <c r="H61" s="93"/>
      <c r="I61" s="355"/>
      <c r="J61" s="355"/>
      <c r="K61" s="355"/>
      <c r="L61" s="355"/>
    </row>
    <row r="62" spans="1:21" x14ac:dyDescent="0.2">
      <c r="A62" s="166" t="s">
        <v>47</v>
      </c>
      <c r="B62" s="40">
        <f>B26-B27-B28-B37</f>
        <v>902.09999999999957</v>
      </c>
      <c r="C62" s="40">
        <f>C26-C27-C28-C37</f>
        <v>824.49999999999989</v>
      </c>
      <c r="D62" s="40">
        <f>D26-D27-D28-D37</f>
        <v>77.599999999999625</v>
      </c>
      <c r="E62" s="42">
        <f t="shared" ref="E62:E75" si="3">B62*D6</f>
        <v>72167.999999999971</v>
      </c>
      <c r="F62" s="42">
        <f t="shared" ref="F62:F74" si="4">C62*D6</f>
        <v>65959.999999999985</v>
      </c>
      <c r="G62" s="378">
        <f t="shared" ref="G62:G75" si="5">E62-F62</f>
        <v>6207.9999999999854</v>
      </c>
      <c r="H62" s="93"/>
    </row>
    <row r="63" spans="1:21" x14ac:dyDescent="0.2">
      <c r="A63" s="166" t="s">
        <v>46</v>
      </c>
      <c r="B63" s="40">
        <f>B27-B29-B31</f>
        <v>26.800000000000004</v>
      </c>
      <c r="C63" s="40">
        <f>C27-C29-C31</f>
        <v>962.99999999999989</v>
      </c>
      <c r="D63" s="40">
        <f>D27-D29-D31</f>
        <v>-936.2</v>
      </c>
      <c r="E63" s="42">
        <f t="shared" si="3"/>
        <v>4711.7080000000005</v>
      </c>
      <c r="F63" s="42">
        <f t="shared" si="4"/>
        <v>169305.02999999997</v>
      </c>
      <c r="G63" s="378">
        <f t="shared" si="5"/>
        <v>-164593.32199999996</v>
      </c>
      <c r="H63" s="93"/>
    </row>
    <row r="64" spans="1:21" x14ac:dyDescent="0.2">
      <c r="A64" s="166" t="s">
        <v>45</v>
      </c>
      <c r="B64" s="40">
        <f>B28-B32-B36</f>
        <v>0</v>
      </c>
      <c r="C64" s="40">
        <f>C28-C32-C36</f>
        <v>53.300000000000011</v>
      </c>
      <c r="D64" s="40">
        <f>D28-D32-D36</f>
        <v>-53.299999999999983</v>
      </c>
      <c r="E64" s="42">
        <f t="shared" si="3"/>
        <v>0</v>
      </c>
      <c r="F64" s="42">
        <f t="shared" si="4"/>
        <v>4264.0000000000009</v>
      </c>
      <c r="G64" s="378">
        <f t="shared" si="5"/>
        <v>-4264.0000000000009</v>
      </c>
      <c r="H64" s="93"/>
    </row>
    <row r="65" spans="1:19" x14ac:dyDescent="0.2">
      <c r="A65" s="166" t="s">
        <v>37</v>
      </c>
      <c r="B65" s="40">
        <f>B29-B30</f>
        <v>0</v>
      </c>
      <c r="C65" s="40">
        <f>C29-C30</f>
        <v>46.3</v>
      </c>
      <c r="D65" s="40">
        <f>D29-D30</f>
        <v>-46.3</v>
      </c>
      <c r="E65" s="42">
        <f>B65*D9</f>
        <v>0</v>
      </c>
      <c r="F65" s="42">
        <f t="shared" si="4"/>
        <v>8140.0029999999997</v>
      </c>
      <c r="G65" s="378">
        <f t="shared" si="5"/>
        <v>-8140.0029999999997</v>
      </c>
      <c r="H65" s="93"/>
    </row>
    <row r="66" spans="1:19" x14ac:dyDescent="0.2">
      <c r="A66" s="166" t="s">
        <v>34</v>
      </c>
      <c r="B66" s="40">
        <f t="shared" ref="B66:B68" si="6">B30</f>
        <v>0</v>
      </c>
      <c r="C66" s="40">
        <f t="shared" ref="C66:D68" si="7">C30</f>
        <v>57.8</v>
      </c>
      <c r="D66" s="40">
        <f t="shared" si="7"/>
        <v>-57.8</v>
      </c>
      <c r="E66" s="42">
        <f t="shared" si="3"/>
        <v>0</v>
      </c>
      <c r="F66" s="42">
        <f t="shared" si="4"/>
        <v>10161.817999999999</v>
      </c>
      <c r="G66" s="378">
        <f t="shared" si="5"/>
        <v>-10161.817999999999</v>
      </c>
      <c r="H66" s="93"/>
    </row>
    <row r="67" spans="1:19" x14ac:dyDescent="0.2">
      <c r="A67" s="166" t="s">
        <v>35</v>
      </c>
      <c r="B67" s="40">
        <f t="shared" si="6"/>
        <v>28.300000000000004</v>
      </c>
      <c r="C67" s="40">
        <f t="shared" si="7"/>
        <v>33.200000000000003</v>
      </c>
      <c r="D67" s="40">
        <f t="shared" si="7"/>
        <v>-4.8999999999999986</v>
      </c>
      <c r="E67" s="42">
        <f t="shared" si="3"/>
        <v>4975.4230000000007</v>
      </c>
      <c r="F67" s="42">
        <f t="shared" si="4"/>
        <v>5836.8920000000007</v>
      </c>
      <c r="G67" s="378">
        <f t="shared" si="5"/>
        <v>-861.46900000000005</v>
      </c>
      <c r="H67" s="93"/>
    </row>
    <row r="68" spans="1:19" x14ac:dyDescent="0.2">
      <c r="A68" s="166" t="s">
        <v>15</v>
      </c>
      <c r="B68" s="40">
        <f t="shared" si="6"/>
        <v>84.399999999999991</v>
      </c>
      <c r="C68" s="40">
        <f t="shared" si="7"/>
        <v>78.7</v>
      </c>
      <c r="D68" s="40">
        <f t="shared" si="7"/>
        <v>5.6999999999999886</v>
      </c>
      <c r="E68" s="42">
        <f t="shared" si="3"/>
        <v>6751.9999999999991</v>
      </c>
      <c r="F68" s="42">
        <f t="shared" si="4"/>
        <v>6296</v>
      </c>
      <c r="G68" s="378">
        <f t="shared" si="5"/>
        <v>455.99999999999909</v>
      </c>
      <c r="H68" s="93"/>
    </row>
    <row r="69" spans="1:19" x14ac:dyDescent="0.2">
      <c r="A69" s="166" t="s">
        <v>99</v>
      </c>
      <c r="B69" s="40">
        <f>B33-B34</f>
        <v>66.599999999999994</v>
      </c>
      <c r="C69" s="40">
        <f>C33-C34</f>
        <v>245.6</v>
      </c>
      <c r="D69" s="40">
        <f>D33-D34</f>
        <v>-179</v>
      </c>
      <c r="E69" s="42">
        <f t="shared" si="3"/>
        <v>3862.7999999999997</v>
      </c>
      <c r="F69" s="42">
        <f t="shared" si="4"/>
        <v>14244.8</v>
      </c>
      <c r="G69" s="378">
        <f t="shared" si="5"/>
        <v>-10382</v>
      </c>
      <c r="H69" s="93"/>
    </row>
    <row r="70" spans="1:19" x14ac:dyDescent="0.2">
      <c r="A70" s="166" t="s">
        <v>98</v>
      </c>
      <c r="B70" s="40">
        <f t="shared" ref="B70:B75" si="8">B34</f>
        <v>0.5</v>
      </c>
      <c r="C70" s="40">
        <f t="shared" ref="C70:D75" si="9">C34</f>
        <v>0</v>
      </c>
      <c r="D70" s="40">
        <f t="shared" si="9"/>
        <v>0.5</v>
      </c>
      <c r="E70" s="42">
        <f t="shared" si="3"/>
        <v>29</v>
      </c>
      <c r="F70" s="42">
        <f t="shared" si="4"/>
        <v>0</v>
      </c>
      <c r="G70" s="378">
        <f t="shared" si="5"/>
        <v>29</v>
      </c>
      <c r="H70" s="93"/>
    </row>
    <row r="71" spans="1:19" x14ac:dyDescent="0.2">
      <c r="A71" s="16" t="s">
        <v>20</v>
      </c>
      <c r="B71" s="40">
        <f t="shared" si="8"/>
        <v>1586.9999999999998</v>
      </c>
      <c r="C71" s="40">
        <f t="shared" si="9"/>
        <v>2370</v>
      </c>
      <c r="D71" s="40">
        <f t="shared" si="9"/>
        <v>-783.00000000000023</v>
      </c>
      <c r="E71" s="42">
        <f t="shared" si="3"/>
        <v>92045.999999999985</v>
      </c>
      <c r="F71" s="42">
        <f t="shared" si="4"/>
        <v>137460</v>
      </c>
      <c r="G71" s="378">
        <f t="shared" si="5"/>
        <v>-45414.000000000015</v>
      </c>
      <c r="H71" s="93"/>
    </row>
    <row r="72" spans="1:19" x14ac:dyDescent="0.2">
      <c r="A72" s="16" t="s">
        <v>11</v>
      </c>
      <c r="B72" s="40">
        <f t="shared" si="8"/>
        <v>46.1</v>
      </c>
      <c r="C72" s="40">
        <f t="shared" si="9"/>
        <v>169.2</v>
      </c>
      <c r="D72" s="40">
        <f t="shared" si="9"/>
        <v>-123.1</v>
      </c>
      <c r="E72" s="42">
        <f t="shared" si="3"/>
        <v>7158.8689999999997</v>
      </c>
      <c r="F72" s="42">
        <f t="shared" si="4"/>
        <v>26275.067999999996</v>
      </c>
      <c r="G72" s="378">
        <f t="shared" si="5"/>
        <v>-19116.198999999997</v>
      </c>
      <c r="H72" s="93"/>
    </row>
    <row r="73" spans="1:19" x14ac:dyDescent="0.2">
      <c r="A73" s="16" t="s">
        <v>10</v>
      </c>
      <c r="B73" s="40">
        <f>B37</f>
        <v>282.39999999999998</v>
      </c>
      <c r="C73" s="40">
        <f t="shared" si="9"/>
        <v>588.1</v>
      </c>
      <c r="D73" s="40">
        <f t="shared" si="9"/>
        <v>-305.70000000000005</v>
      </c>
      <c r="E73" s="42">
        <f t="shared" si="3"/>
        <v>22592</v>
      </c>
      <c r="F73" s="42">
        <f t="shared" si="4"/>
        <v>47048</v>
      </c>
      <c r="G73" s="378">
        <f t="shared" si="5"/>
        <v>-24456</v>
      </c>
      <c r="H73" s="93"/>
    </row>
    <row r="74" spans="1:19" x14ac:dyDescent="0.2">
      <c r="A74" s="16" t="s">
        <v>21</v>
      </c>
      <c r="B74" s="40">
        <f t="shared" si="8"/>
        <v>0</v>
      </c>
      <c r="C74" s="40">
        <f t="shared" si="9"/>
        <v>7.2</v>
      </c>
      <c r="D74" s="40">
        <f t="shared" si="9"/>
        <v>-7.2</v>
      </c>
      <c r="E74" s="42">
        <f t="shared" si="3"/>
        <v>0</v>
      </c>
      <c r="F74" s="42">
        <f t="shared" si="4"/>
        <v>417.6</v>
      </c>
      <c r="G74" s="378">
        <f t="shared" si="5"/>
        <v>-417.6</v>
      </c>
      <c r="H74" s="93"/>
    </row>
    <row r="75" spans="1:19" x14ac:dyDescent="0.2">
      <c r="A75" s="16" t="s">
        <v>50</v>
      </c>
      <c r="B75" s="40">
        <f t="shared" si="8"/>
        <v>139.6</v>
      </c>
      <c r="C75" s="40">
        <f t="shared" si="9"/>
        <v>90.2</v>
      </c>
      <c r="D75" s="40">
        <f t="shared" si="9"/>
        <v>49.399999999999991</v>
      </c>
      <c r="E75" s="42">
        <f t="shared" si="3"/>
        <v>8096.7999999999993</v>
      </c>
      <c r="F75" s="42">
        <f>C75*D19</f>
        <v>5231.6000000000004</v>
      </c>
      <c r="G75" s="378">
        <f t="shared" si="5"/>
        <v>2865.1999999999989</v>
      </c>
      <c r="H75" s="93"/>
      <c r="K75" s="355"/>
      <c r="L75" s="355"/>
      <c r="M75" s="355"/>
      <c r="N75" s="355"/>
      <c r="O75" s="355"/>
      <c r="P75" s="355"/>
      <c r="Q75" s="355"/>
      <c r="R75" s="355"/>
      <c r="S75" s="355"/>
    </row>
    <row r="76" spans="1:19" x14ac:dyDescent="0.2">
      <c r="A76" s="58" t="s">
        <v>48</v>
      </c>
      <c r="B76" s="46">
        <f t="shared" ref="B76:G76" si="10">SUM(B61:B75)</f>
        <v>4246.7000000000007</v>
      </c>
      <c r="C76" s="46">
        <f t="shared" si="10"/>
        <v>6881</v>
      </c>
      <c r="D76" s="46">
        <f t="shared" si="10"/>
        <v>-2634.2999999999997</v>
      </c>
      <c r="E76" s="59">
        <f t="shared" si="10"/>
        <v>285200.8</v>
      </c>
      <c r="F76" s="59">
        <f t="shared" si="10"/>
        <v>579167.01099999994</v>
      </c>
      <c r="G76" s="59">
        <f t="shared" si="10"/>
        <v>-293966.21099999995</v>
      </c>
      <c r="H76" s="379"/>
      <c r="K76" s="355"/>
      <c r="L76" s="355"/>
      <c r="M76" s="355"/>
      <c r="N76" s="355"/>
      <c r="O76" s="355"/>
      <c r="P76" s="355"/>
      <c r="Q76" s="355"/>
      <c r="R76" s="355"/>
      <c r="S76" s="355"/>
    </row>
    <row r="77" spans="1:19" x14ac:dyDescent="0.2">
      <c r="A77" s="350"/>
      <c r="B77" s="380"/>
      <c r="C77" s="380"/>
      <c r="D77" s="380"/>
      <c r="E77" s="381"/>
      <c r="F77" s="380"/>
      <c r="G77" s="380"/>
      <c r="H77" s="380"/>
      <c r="I77" s="382"/>
      <c r="K77" s="355"/>
      <c r="L77" s="355"/>
      <c r="M77" s="355"/>
      <c r="N77" s="355"/>
      <c r="O77" s="355"/>
      <c r="P77" s="355"/>
      <c r="Q77" s="355"/>
      <c r="R77" s="355"/>
      <c r="S77" s="355"/>
    </row>
    <row r="78" spans="1:19" ht="15.75" x14ac:dyDescent="0.25">
      <c r="A78" s="572" t="s">
        <v>257</v>
      </c>
      <c r="B78" s="573"/>
      <c r="C78" s="383"/>
      <c r="D78" s="383"/>
      <c r="F78" s="384"/>
      <c r="G78" s="372" t="s">
        <v>24</v>
      </c>
      <c r="H78" s="372"/>
      <c r="K78" s="355"/>
      <c r="L78" s="355"/>
      <c r="M78" s="355"/>
      <c r="N78" s="355"/>
      <c r="O78" s="355"/>
      <c r="P78" s="355"/>
      <c r="Q78" s="355"/>
      <c r="R78" s="355"/>
      <c r="S78" s="355"/>
    </row>
    <row r="79" spans="1:19" ht="63.75" x14ac:dyDescent="0.2">
      <c r="A79" s="385" t="s">
        <v>3</v>
      </c>
      <c r="B79" s="517" t="s">
        <v>134</v>
      </c>
      <c r="C79" s="168" t="s">
        <v>135</v>
      </c>
      <c r="D79" s="168" t="s">
        <v>136</v>
      </c>
      <c r="E79" s="168" t="s">
        <v>137</v>
      </c>
      <c r="F79" s="169" t="s">
        <v>112</v>
      </c>
      <c r="G79" s="167" t="s">
        <v>140</v>
      </c>
      <c r="H79" s="167" t="s">
        <v>258</v>
      </c>
      <c r="I79" s="167" t="s">
        <v>259</v>
      </c>
      <c r="K79" s="355"/>
      <c r="L79" s="355"/>
      <c r="M79" s="355"/>
      <c r="N79" s="355"/>
      <c r="O79" s="355"/>
      <c r="P79" s="355"/>
      <c r="Q79" s="355"/>
      <c r="R79" s="355"/>
      <c r="S79" s="355"/>
    </row>
    <row r="80" spans="1:19" x14ac:dyDescent="0.2">
      <c r="A80" s="166" t="s">
        <v>44</v>
      </c>
      <c r="B80" s="40">
        <f>E25-E26-E33-E35-E38-E39</f>
        <v>0</v>
      </c>
      <c r="C80" s="24">
        <f>B80*D5</f>
        <v>0</v>
      </c>
      <c r="D80" s="24">
        <v>0</v>
      </c>
      <c r="E80" s="24">
        <v>0</v>
      </c>
      <c r="F80" s="24">
        <v>0</v>
      </c>
      <c r="G80" s="42">
        <v>0</v>
      </c>
      <c r="H80" s="24">
        <v>0</v>
      </c>
      <c r="I80" s="24">
        <v>0</v>
      </c>
      <c r="K80" s="355"/>
      <c r="L80" s="355"/>
      <c r="M80" s="355"/>
      <c r="N80" s="355"/>
      <c r="O80" s="355"/>
      <c r="P80" s="355"/>
      <c r="Q80" s="355"/>
      <c r="R80" s="355"/>
      <c r="S80" s="355"/>
    </row>
    <row r="81" spans="1:19" x14ac:dyDescent="0.2">
      <c r="A81" s="166" t="s">
        <v>47</v>
      </c>
      <c r="B81" s="40">
        <f>E26-E27-E28-E37</f>
        <v>0</v>
      </c>
      <c r="C81" s="24">
        <f t="shared" ref="C81:C94" si="11">B81*D6</f>
        <v>0</v>
      </c>
      <c r="D81" s="24">
        <v>0</v>
      </c>
      <c r="E81" s="24">
        <v>0</v>
      </c>
      <c r="F81" s="24">
        <v>0</v>
      </c>
      <c r="G81" s="42">
        <v>0</v>
      </c>
      <c r="H81" s="24">
        <v>0</v>
      </c>
      <c r="I81" s="24">
        <v>0</v>
      </c>
      <c r="K81" s="355"/>
      <c r="L81" s="355"/>
      <c r="M81" s="355"/>
      <c r="N81" s="355"/>
      <c r="O81" s="355"/>
      <c r="P81" s="355"/>
      <c r="Q81" s="355"/>
      <c r="R81" s="355"/>
      <c r="S81" s="355"/>
    </row>
    <row r="82" spans="1:19" x14ac:dyDescent="0.2">
      <c r="A82" s="166" t="s">
        <v>46</v>
      </c>
      <c r="B82" s="40">
        <f>E27-E29-E31</f>
        <v>0</v>
      </c>
      <c r="C82" s="24">
        <f t="shared" si="11"/>
        <v>0</v>
      </c>
      <c r="D82" s="24">
        <v>0</v>
      </c>
      <c r="E82" s="24">
        <v>0</v>
      </c>
      <c r="F82" s="24">
        <v>0</v>
      </c>
      <c r="G82" s="42">
        <v>0</v>
      </c>
      <c r="H82" s="24">
        <v>0</v>
      </c>
      <c r="I82" s="24">
        <v>0</v>
      </c>
      <c r="K82" s="355"/>
      <c r="L82" s="355"/>
      <c r="M82" s="355"/>
      <c r="N82" s="355"/>
      <c r="O82" s="355"/>
      <c r="P82" s="355"/>
      <c r="Q82" s="355"/>
      <c r="R82" s="355"/>
      <c r="S82" s="355"/>
    </row>
    <row r="83" spans="1:19" x14ac:dyDescent="0.2">
      <c r="A83" s="166" t="s">
        <v>45</v>
      </c>
      <c r="B83" s="40">
        <f>E28-E32-E36</f>
        <v>0</v>
      </c>
      <c r="C83" s="24">
        <f t="shared" si="11"/>
        <v>0</v>
      </c>
      <c r="D83" s="24">
        <v>0</v>
      </c>
      <c r="E83" s="24">
        <v>0</v>
      </c>
      <c r="F83" s="24">
        <v>0</v>
      </c>
      <c r="G83" s="42">
        <v>0</v>
      </c>
      <c r="H83" s="24">
        <v>0</v>
      </c>
      <c r="I83" s="24">
        <v>0</v>
      </c>
      <c r="K83" s="355"/>
      <c r="L83" s="355"/>
      <c r="M83" s="355"/>
      <c r="N83" s="355"/>
      <c r="O83" s="355"/>
      <c r="P83" s="355"/>
      <c r="Q83" s="355"/>
      <c r="R83" s="355"/>
      <c r="S83" s="355"/>
    </row>
    <row r="84" spans="1:19" x14ac:dyDescent="0.2">
      <c r="A84" s="166" t="s">
        <v>37</v>
      </c>
      <c r="B84" s="40">
        <f>E29-E30</f>
        <v>0</v>
      </c>
      <c r="C84" s="24">
        <f t="shared" si="11"/>
        <v>0</v>
      </c>
      <c r="D84" s="24">
        <v>0</v>
      </c>
      <c r="E84" s="24">
        <v>0</v>
      </c>
      <c r="F84" s="24">
        <v>0</v>
      </c>
      <c r="G84" s="42">
        <v>0</v>
      </c>
      <c r="H84" s="24">
        <v>0</v>
      </c>
      <c r="I84" s="24">
        <v>0</v>
      </c>
      <c r="K84" s="355"/>
      <c r="L84" s="355"/>
      <c r="M84" s="355"/>
      <c r="N84" s="355"/>
      <c r="O84" s="355"/>
      <c r="P84" s="355"/>
      <c r="Q84" s="355"/>
      <c r="R84" s="355"/>
      <c r="S84" s="355"/>
    </row>
    <row r="85" spans="1:19" x14ac:dyDescent="0.2">
      <c r="A85" s="166" t="s">
        <v>34</v>
      </c>
      <c r="B85" s="40">
        <f>E30</f>
        <v>0</v>
      </c>
      <c r="C85" s="24">
        <f t="shared" si="11"/>
        <v>0</v>
      </c>
      <c r="D85" s="24">
        <v>0</v>
      </c>
      <c r="E85" s="24">
        <v>0</v>
      </c>
      <c r="F85" s="24">
        <v>0</v>
      </c>
      <c r="G85" s="42">
        <v>0</v>
      </c>
      <c r="H85" s="24">
        <v>0</v>
      </c>
      <c r="I85" s="24">
        <v>0</v>
      </c>
      <c r="K85" s="355"/>
      <c r="L85" s="355"/>
      <c r="M85" s="355"/>
      <c r="N85" s="355"/>
      <c r="O85" s="355"/>
      <c r="P85" s="355"/>
      <c r="Q85" s="355"/>
      <c r="R85" s="355"/>
      <c r="S85" s="355"/>
    </row>
    <row r="86" spans="1:19" x14ac:dyDescent="0.2">
      <c r="A86" s="166" t="s">
        <v>35</v>
      </c>
      <c r="B86" s="40">
        <f>E31</f>
        <v>0</v>
      </c>
      <c r="C86" s="24">
        <f t="shared" si="11"/>
        <v>0</v>
      </c>
      <c r="D86" s="24">
        <v>0</v>
      </c>
      <c r="E86" s="24">
        <v>0</v>
      </c>
      <c r="F86" s="24">
        <v>0</v>
      </c>
      <c r="G86" s="42">
        <v>0</v>
      </c>
      <c r="H86" s="24">
        <v>0</v>
      </c>
      <c r="I86" s="24">
        <v>0</v>
      </c>
      <c r="K86" s="355"/>
      <c r="L86" s="355"/>
      <c r="M86" s="355"/>
      <c r="N86" s="355"/>
      <c r="O86" s="355"/>
      <c r="P86" s="355"/>
      <c r="Q86" s="355"/>
      <c r="R86" s="355"/>
      <c r="S86" s="355"/>
    </row>
    <row r="87" spans="1:19" x14ac:dyDescent="0.2">
      <c r="A87" s="166" t="s">
        <v>15</v>
      </c>
      <c r="B87" s="40">
        <f>E32</f>
        <v>0</v>
      </c>
      <c r="C87" s="24">
        <f t="shared" si="11"/>
        <v>0</v>
      </c>
      <c r="D87" s="24">
        <v>0</v>
      </c>
      <c r="E87" s="24">
        <v>0</v>
      </c>
      <c r="F87" s="24">
        <v>0</v>
      </c>
      <c r="G87" s="42">
        <v>0</v>
      </c>
      <c r="H87" s="24">
        <v>0</v>
      </c>
      <c r="I87" s="24">
        <v>0</v>
      </c>
      <c r="K87" s="355"/>
      <c r="L87" s="355"/>
      <c r="M87" s="355"/>
      <c r="N87" s="355"/>
      <c r="O87" s="355"/>
      <c r="P87" s="355"/>
      <c r="Q87" s="355"/>
      <c r="R87" s="355"/>
      <c r="S87" s="355"/>
    </row>
    <row r="88" spans="1:19" x14ac:dyDescent="0.2">
      <c r="A88" s="166" t="s">
        <v>99</v>
      </c>
      <c r="B88" s="40">
        <f>E33-E34</f>
        <v>0</v>
      </c>
      <c r="C88" s="24">
        <f t="shared" si="11"/>
        <v>0</v>
      </c>
      <c r="D88" s="24">
        <v>0</v>
      </c>
      <c r="E88" s="24">
        <v>0</v>
      </c>
      <c r="F88" s="24">
        <v>0</v>
      </c>
      <c r="G88" s="42">
        <v>0</v>
      </c>
      <c r="H88" s="24">
        <v>0</v>
      </c>
      <c r="I88" s="24">
        <v>0</v>
      </c>
    </row>
    <row r="89" spans="1:19" x14ac:dyDescent="0.2">
      <c r="A89" s="16" t="s">
        <v>98</v>
      </c>
      <c r="B89" s="40">
        <f t="shared" ref="B89:B94" si="12">E34</f>
        <v>0</v>
      </c>
      <c r="C89" s="24">
        <f t="shared" si="11"/>
        <v>0</v>
      </c>
      <c r="D89" s="24">
        <v>0</v>
      </c>
      <c r="E89" s="24">
        <v>0</v>
      </c>
      <c r="F89" s="24">
        <v>0</v>
      </c>
      <c r="G89" s="42">
        <v>0</v>
      </c>
      <c r="H89" s="24">
        <v>0</v>
      </c>
      <c r="I89" s="24">
        <v>0</v>
      </c>
    </row>
    <row r="90" spans="1:19" x14ac:dyDescent="0.2">
      <c r="A90" s="16" t="s">
        <v>20</v>
      </c>
      <c r="B90" s="40">
        <f t="shared" si="12"/>
        <v>0</v>
      </c>
      <c r="C90" s="24">
        <f t="shared" si="11"/>
        <v>0</v>
      </c>
      <c r="D90" s="24">
        <v>0</v>
      </c>
      <c r="E90" s="24">
        <v>0</v>
      </c>
      <c r="F90" s="24">
        <v>0</v>
      </c>
      <c r="G90" s="42">
        <v>0</v>
      </c>
      <c r="H90" s="24">
        <v>0</v>
      </c>
      <c r="I90" s="24">
        <v>0</v>
      </c>
    </row>
    <row r="91" spans="1:19" x14ac:dyDescent="0.2">
      <c r="A91" s="16" t="s">
        <v>11</v>
      </c>
      <c r="B91" s="40">
        <f t="shared" si="12"/>
        <v>0</v>
      </c>
      <c r="C91" s="24">
        <f t="shared" si="11"/>
        <v>0</v>
      </c>
      <c r="D91" s="24">
        <v>0</v>
      </c>
      <c r="E91" s="24">
        <v>0</v>
      </c>
      <c r="F91" s="24">
        <v>0</v>
      </c>
      <c r="G91" s="42">
        <v>0</v>
      </c>
      <c r="H91" s="24">
        <v>0</v>
      </c>
      <c r="I91" s="24">
        <v>0</v>
      </c>
    </row>
    <row r="92" spans="1:19" x14ac:dyDescent="0.2">
      <c r="A92" s="16" t="s">
        <v>10</v>
      </c>
      <c r="B92" s="40">
        <f>E37</f>
        <v>0</v>
      </c>
      <c r="C92" s="24">
        <f t="shared" si="11"/>
        <v>0</v>
      </c>
      <c r="D92" s="24">
        <v>0</v>
      </c>
      <c r="E92" s="24">
        <v>0</v>
      </c>
      <c r="F92" s="24">
        <v>0</v>
      </c>
      <c r="G92" s="42">
        <v>0</v>
      </c>
      <c r="H92" s="24">
        <v>0</v>
      </c>
      <c r="I92" s="24">
        <v>0</v>
      </c>
    </row>
    <row r="93" spans="1:19" x14ac:dyDescent="0.2">
      <c r="A93" s="16" t="s">
        <v>21</v>
      </c>
      <c r="B93" s="40">
        <f t="shared" si="12"/>
        <v>0</v>
      </c>
      <c r="C93" s="24">
        <f t="shared" si="11"/>
        <v>0</v>
      </c>
      <c r="D93" s="24">
        <v>0</v>
      </c>
      <c r="E93" s="24">
        <v>0</v>
      </c>
      <c r="F93" s="24">
        <v>0</v>
      </c>
      <c r="G93" s="42">
        <v>0</v>
      </c>
      <c r="H93" s="24">
        <v>0</v>
      </c>
      <c r="I93" s="24">
        <v>0</v>
      </c>
    </row>
    <row r="94" spans="1:19" x14ac:dyDescent="0.2">
      <c r="A94" s="16" t="s">
        <v>50</v>
      </c>
      <c r="B94" s="40">
        <f t="shared" si="12"/>
        <v>0</v>
      </c>
      <c r="C94" s="24">
        <f t="shared" si="11"/>
        <v>0</v>
      </c>
      <c r="D94" s="24">
        <v>0</v>
      </c>
      <c r="E94" s="24">
        <v>0</v>
      </c>
      <c r="F94" s="24">
        <v>0</v>
      </c>
      <c r="G94" s="42">
        <v>0</v>
      </c>
      <c r="H94" s="24">
        <v>0</v>
      </c>
      <c r="I94" s="24">
        <v>0</v>
      </c>
    </row>
    <row r="95" spans="1:19" x14ac:dyDescent="0.2">
      <c r="A95" s="58" t="s">
        <v>48</v>
      </c>
      <c r="B95" s="46">
        <f t="shared" ref="B95:I95" si="13">SUM(B80:B94)</f>
        <v>0</v>
      </c>
      <c r="C95" s="35">
        <f t="shared" si="13"/>
        <v>0</v>
      </c>
      <c r="D95" s="35">
        <f>SUM(D80:D94)</f>
        <v>0</v>
      </c>
      <c r="E95" s="35">
        <f>SUM(E80:E92)</f>
        <v>0</v>
      </c>
      <c r="F95" s="35">
        <f>SUM(F80:F94)</f>
        <v>0</v>
      </c>
      <c r="G95" s="35">
        <f>SUM(G80:G94)</f>
        <v>0</v>
      </c>
      <c r="H95" s="35">
        <f t="shared" si="13"/>
        <v>0</v>
      </c>
      <c r="I95" s="35">
        <f t="shared" si="13"/>
        <v>0</v>
      </c>
    </row>
    <row r="97" spans="1:4" ht="15.75" x14ac:dyDescent="0.25">
      <c r="A97" s="561" t="s">
        <v>109</v>
      </c>
      <c r="B97" s="562"/>
      <c r="C97" s="562"/>
      <c r="D97" s="563"/>
    </row>
    <row r="98" spans="1:4" ht="38.25" x14ac:dyDescent="0.2">
      <c r="A98" s="20" t="s">
        <v>58</v>
      </c>
      <c r="B98" s="20" t="s">
        <v>110</v>
      </c>
      <c r="C98" s="20" t="s">
        <v>156</v>
      </c>
      <c r="D98" s="20" t="s">
        <v>59</v>
      </c>
    </row>
    <row r="99" spans="1:4" x14ac:dyDescent="0.2">
      <c r="A99" s="166" t="s">
        <v>28</v>
      </c>
      <c r="B99" s="150">
        <v>0</v>
      </c>
      <c r="C99" s="42">
        <f>C6</f>
        <v>22</v>
      </c>
      <c r="D99" s="42">
        <f>B99*C99</f>
        <v>0</v>
      </c>
    </row>
    <row r="100" spans="1:4" x14ac:dyDescent="0.2">
      <c r="A100" s="166" t="s">
        <v>33</v>
      </c>
      <c r="B100" s="150">
        <v>0</v>
      </c>
      <c r="C100" s="42">
        <f t="shared" ref="C100:C112" si="14">C7</f>
        <v>95.81</v>
      </c>
      <c r="D100" s="42">
        <f t="shared" ref="D100:D112" si="15">B100*C100</f>
        <v>0</v>
      </c>
    </row>
    <row r="101" spans="1:4" x14ac:dyDescent="0.2">
      <c r="A101" s="166" t="s">
        <v>5</v>
      </c>
      <c r="B101" s="150">
        <v>0</v>
      </c>
      <c r="C101" s="42">
        <f t="shared" si="14"/>
        <v>0</v>
      </c>
      <c r="D101" s="42">
        <f t="shared" si="15"/>
        <v>0</v>
      </c>
    </row>
    <row r="102" spans="1:4" x14ac:dyDescent="0.2">
      <c r="A102" s="166" t="s">
        <v>8</v>
      </c>
      <c r="B102" s="150">
        <v>0</v>
      </c>
      <c r="C102" s="42">
        <f t="shared" si="14"/>
        <v>0</v>
      </c>
      <c r="D102" s="42">
        <f t="shared" si="15"/>
        <v>0</v>
      </c>
    </row>
    <row r="103" spans="1:4" x14ac:dyDescent="0.2">
      <c r="A103" s="166" t="s">
        <v>34</v>
      </c>
      <c r="B103" s="150">
        <v>0</v>
      </c>
      <c r="C103" s="42">
        <f t="shared" si="14"/>
        <v>0</v>
      </c>
      <c r="D103" s="42">
        <f t="shared" si="15"/>
        <v>0</v>
      </c>
    </row>
    <row r="104" spans="1:4" x14ac:dyDescent="0.2">
      <c r="A104" s="166" t="s">
        <v>35</v>
      </c>
      <c r="B104" s="150">
        <v>0</v>
      </c>
      <c r="C104" s="42">
        <f t="shared" si="14"/>
        <v>0</v>
      </c>
      <c r="D104" s="42">
        <f t="shared" si="15"/>
        <v>0</v>
      </c>
    </row>
    <row r="105" spans="1:4" x14ac:dyDescent="0.2">
      <c r="A105" s="16" t="s">
        <v>15</v>
      </c>
      <c r="B105" s="150">
        <v>0</v>
      </c>
      <c r="C105" s="42">
        <f t="shared" si="14"/>
        <v>0</v>
      </c>
      <c r="D105" s="42">
        <f t="shared" si="15"/>
        <v>0</v>
      </c>
    </row>
    <row r="106" spans="1:4" x14ac:dyDescent="0.2">
      <c r="A106" s="16" t="s">
        <v>43</v>
      </c>
      <c r="B106" s="150">
        <v>0</v>
      </c>
      <c r="C106" s="42">
        <f t="shared" si="14"/>
        <v>0</v>
      </c>
      <c r="D106" s="42">
        <f t="shared" si="15"/>
        <v>0</v>
      </c>
    </row>
    <row r="107" spans="1:4" x14ac:dyDescent="0.2">
      <c r="A107" s="16" t="s">
        <v>98</v>
      </c>
      <c r="B107" s="150">
        <v>0</v>
      </c>
      <c r="C107" s="42">
        <f t="shared" si="14"/>
        <v>0</v>
      </c>
      <c r="D107" s="42">
        <f t="shared" si="15"/>
        <v>0</v>
      </c>
    </row>
    <row r="108" spans="1:4" x14ac:dyDescent="0.2">
      <c r="A108" s="16" t="s">
        <v>20</v>
      </c>
      <c r="B108" s="150">
        <v>0</v>
      </c>
      <c r="C108" s="42">
        <f t="shared" si="14"/>
        <v>0</v>
      </c>
      <c r="D108" s="42">
        <f t="shared" si="15"/>
        <v>0</v>
      </c>
    </row>
    <row r="109" spans="1:4" x14ac:dyDescent="0.2">
      <c r="A109" s="16" t="s">
        <v>11</v>
      </c>
      <c r="B109" s="150">
        <v>0</v>
      </c>
      <c r="C109" s="42">
        <f t="shared" si="14"/>
        <v>75.289999999999992</v>
      </c>
      <c r="D109" s="42">
        <f t="shared" si="15"/>
        <v>0</v>
      </c>
    </row>
    <row r="110" spans="1:4" x14ac:dyDescent="0.2">
      <c r="A110" s="16" t="s">
        <v>10</v>
      </c>
      <c r="B110" s="150">
        <v>0</v>
      </c>
      <c r="C110" s="42">
        <f t="shared" si="14"/>
        <v>0</v>
      </c>
      <c r="D110" s="42">
        <f t="shared" si="15"/>
        <v>0</v>
      </c>
    </row>
    <row r="111" spans="1:4" x14ac:dyDescent="0.2">
      <c r="A111" s="193" t="s">
        <v>21</v>
      </c>
      <c r="B111" s="150">
        <v>0</v>
      </c>
      <c r="C111" s="42">
        <f t="shared" si="14"/>
        <v>0</v>
      </c>
      <c r="D111" s="42">
        <f t="shared" si="15"/>
        <v>0</v>
      </c>
    </row>
    <row r="112" spans="1:4" x14ac:dyDescent="0.2">
      <c r="A112" s="193" t="s">
        <v>50</v>
      </c>
      <c r="B112" s="150">
        <v>0</v>
      </c>
      <c r="C112" s="42">
        <f t="shared" si="14"/>
        <v>0</v>
      </c>
      <c r="D112" s="42">
        <f t="shared" si="15"/>
        <v>0</v>
      </c>
    </row>
    <row r="113" spans="1:5" x14ac:dyDescent="0.2">
      <c r="A113" s="152" t="s">
        <v>48</v>
      </c>
      <c r="B113" s="166" t="s">
        <v>24</v>
      </c>
      <c r="C113" s="166"/>
      <c r="D113" s="59">
        <f>SUM(D99:D110)</f>
        <v>0</v>
      </c>
      <c r="E113" s="386" t="s">
        <v>24</v>
      </c>
    </row>
    <row r="114" spans="1:5" x14ac:dyDescent="0.2">
      <c r="A114" s="17" t="s">
        <v>157</v>
      </c>
      <c r="B114" s="15"/>
      <c r="C114" s="15"/>
      <c r="D114" s="15"/>
    </row>
  </sheetData>
  <mergeCells count="6">
    <mergeCell ref="A97:D97"/>
    <mergeCell ref="A3:B3"/>
    <mergeCell ref="A23:E23"/>
    <mergeCell ref="A41:C41"/>
    <mergeCell ref="A59:B59"/>
    <mergeCell ref="A78:B7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65"/>
  <sheetViews>
    <sheetView workbookViewId="0"/>
  </sheetViews>
  <sheetFormatPr defaultRowHeight="12.75" x14ac:dyDescent="0.2"/>
  <cols>
    <col min="1" max="1" width="29.7109375" customWidth="1"/>
    <col min="2" max="9" width="10.7109375" customWidth="1"/>
    <col min="10" max="10" width="13.5703125" bestFit="1" customWidth="1"/>
    <col min="11" max="12" width="10.7109375" customWidth="1"/>
    <col min="13" max="13" width="7.28515625" bestFit="1" customWidth="1"/>
  </cols>
  <sheetData>
    <row r="1" spans="1:14" ht="18.75" x14ac:dyDescent="0.3">
      <c r="A1" s="92" t="s">
        <v>319</v>
      </c>
      <c r="B1" s="285"/>
      <c r="C1" s="285"/>
      <c r="D1" s="285"/>
      <c r="E1" s="353" t="s">
        <v>24</v>
      </c>
      <c r="F1" s="353" t="s">
        <v>24</v>
      </c>
      <c r="G1" s="353" t="s">
        <v>24</v>
      </c>
      <c r="H1" s="285"/>
      <c r="I1" s="285"/>
      <c r="J1" s="285"/>
      <c r="K1" s="285"/>
      <c r="L1" s="285"/>
      <c r="M1" s="285"/>
    </row>
    <row r="2" spans="1:14" x14ac:dyDescent="0.2">
      <c r="A2" s="13"/>
      <c r="B2" s="285"/>
      <c r="C2" s="285"/>
      <c r="D2" s="285"/>
      <c r="E2" s="285"/>
      <c r="F2" s="285"/>
      <c r="G2" s="285"/>
      <c r="H2" s="285"/>
      <c r="I2" s="285"/>
      <c r="J2" s="285"/>
      <c r="K2" s="285"/>
      <c r="L2" s="285"/>
      <c r="M2" s="285"/>
    </row>
    <row r="3" spans="1:14" ht="15.75" x14ac:dyDescent="0.25">
      <c r="A3" s="153" t="s">
        <v>0</v>
      </c>
      <c r="B3" s="15"/>
      <c r="C3" s="15"/>
      <c r="D3" s="89" t="s">
        <v>24</v>
      </c>
      <c r="E3" s="15"/>
      <c r="F3" s="15"/>
      <c r="G3" s="15"/>
      <c r="H3" s="15"/>
      <c r="I3" s="15"/>
      <c r="J3" s="15"/>
      <c r="K3" s="15"/>
      <c r="L3" s="15"/>
      <c r="M3" s="15"/>
    </row>
    <row r="4" spans="1:14" x14ac:dyDescent="0.2">
      <c r="A4" s="166" t="s">
        <v>1</v>
      </c>
      <c r="B4" s="155">
        <v>0.17699999999999999</v>
      </c>
      <c r="C4" s="15"/>
      <c r="D4" s="61" t="s">
        <v>24</v>
      </c>
      <c r="E4" s="22" t="s">
        <v>24</v>
      </c>
      <c r="F4" s="22" t="s">
        <v>24</v>
      </c>
      <c r="G4" s="22" t="s">
        <v>24</v>
      </c>
      <c r="H4" s="22" t="s">
        <v>24</v>
      </c>
      <c r="I4" s="22" t="s">
        <v>24</v>
      </c>
      <c r="J4" s="22" t="s">
        <v>24</v>
      </c>
      <c r="K4" s="15"/>
      <c r="L4" s="15"/>
      <c r="M4" s="15"/>
    </row>
    <row r="5" spans="1:14" x14ac:dyDescent="0.2">
      <c r="A5" s="154" t="s">
        <v>2</v>
      </c>
      <c r="B5" s="128">
        <v>5.0999999999999997E-2</v>
      </c>
      <c r="C5" s="15"/>
      <c r="D5" s="25" t="s">
        <v>24</v>
      </c>
      <c r="E5" s="60" t="s">
        <v>24</v>
      </c>
      <c r="F5" s="62" t="s">
        <v>24</v>
      </c>
      <c r="G5" s="62" t="s">
        <v>24</v>
      </c>
      <c r="H5" s="62" t="s">
        <v>24</v>
      </c>
      <c r="I5" s="62" t="s">
        <v>24</v>
      </c>
      <c r="J5" s="22" t="s">
        <v>24</v>
      </c>
      <c r="K5" s="22" t="s">
        <v>24</v>
      </c>
      <c r="L5" s="22"/>
      <c r="M5" s="22"/>
    </row>
    <row r="6" spans="1:14" x14ac:dyDescent="0.2">
      <c r="A6" s="166" t="s">
        <v>4</v>
      </c>
      <c r="B6" s="156">
        <v>1.117</v>
      </c>
      <c r="C6" s="15"/>
      <c r="D6" s="25" t="s">
        <v>24</v>
      </c>
      <c r="E6" s="63" t="s">
        <v>24</v>
      </c>
      <c r="F6" s="57" t="s">
        <v>24</v>
      </c>
      <c r="G6" s="64" t="s">
        <v>24</v>
      </c>
      <c r="H6" s="65" t="s">
        <v>24</v>
      </c>
      <c r="I6" s="65" t="s">
        <v>24</v>
      </c>
      <c r="J6" s="65" t="s">
        <v>24</v>
      </c>
      <c r="K6" s="66" t="s">
        <v>24</v>
      </c>
      <c r="L6" s="66"/>
      <c r="M6" s="66"/>
    </row>
    <row r="7" spans="1:14" x14ac:dyDescent="0.2">
      <c r="A7" s="166" t="s">
        <v>146</v>
      </c>
      <c r="B7" s="192">
        <v>142757.20000000001</v>
      </c>
      <c r="C7" s="284" t="s">
        <v>24</v>
      </c>
      <c r="D7" s="285"/>
      <c r="E7" s="60" t="s">
        <v>24</v>
      </c>
      <c r="F7" s="68" t="s">
        <v>24</v>
      </c>
      <c r="G7" s="57" t="s">
        <v>24</v>
      </c>
      <c r="H7" s="306" t="s">
        <v>24</v>
      </c>
      <c r="I7" s="57" t="s">
        <v>24</v>
      </c>
      <c r="J7" s="64" t="s">
        <v>24</v>
      </c>
      <c r="K7" s="65"/>
      <c r="L7" s="65"/>
      <c r="M7" s="65"/>
    </row>
    <row r="8" spans="1:14" x14ac:dyDescent="0.2">
      <c r="A8" s="166" t="s">
        <v>23</v>
      </c>
      <c r="B8" s="157">
        <v>1.1088132118501957</v>
      </c>
      <c r="C8" s="490"/>
      <c r="D8" s="69" t="s">
        <v>24</v>
      </c>
      <c r="E8" s="60" t="s">
        <v>24</v>
      </c>
      <c r="F8" s="68" t="s">
        <v>24</v>
      </c>
      <c r="G8" s="64" t="s">
        <v>24</v>
      </c>
      <c r="H8" s="64" t="s">
        <v>24</v>
      </c>
      <c r="I8" s="64" t="s">
        <v>24</v>
      </c>
      <c r="J8" s="64" t="s">
        <v>24</v>
      </c>
      <c r="K8" s="65" t="s">
        <v>24</v>
      </c>
      <c r="L8" s="65"/>
      <c r="M8" s="65"/>
    </row>
    <row r="9" spans="1:14" x14ac:dyDescent="0.2">
      <c r="A9" s="15" t="s">
        <v>147</v>
      </c>
      <c r="B9" s="15"/>
      <c r="C9" s="15"/>
      <c r="D9" s="17" t="s">
        <v>24</v>
      </c>
      <c r="E9" s="70"/>
      <c r="F9" s="51"/>
      <c r="G9" s="70"/>
      <c r="H9" s="71" t="s">
        <v>24</v>
      </c>
      <c r="I9" s="15"/>
      <c r="J9" s="15"/>
      <c r="K9" s="15"/>
      <c r="L9" s="15"/>
      <c r="M9" s="15"/>
    </row>
    <row r="10" spans="1:14" x14ac:dyDescent="0.2">
      <c r="A10" s="17"/>
      <c r="B10" s="27"/>
      <c r="C10" s="27"/>
      <c r="D10" s="27"/>
      <c r="E10" s="31" t="s">
        <v>24</v>
      </c>
      <c r="F10" s="32"/>
      <c r="G10" s="32"/>
      <c r="H10" s="32"/>
      <c r="I10" s="33"/>
      <c r="J10" s="33"/>
      <c r="K10" s="33"/>
      <c r="L10" s="33"/>
      <c r="M10" s="33"/>
    </row>
    <row r="11" spans="1:14" ht="15.75" x14ac:dyDescent="0.25">
      <c r="A11" s="145" t="s">
        <v>114</v>
      </c>
      <c r="B11" s="27"/>
      <c r="C11" s="27"/>
      <c r="D11" s="27"/>
      <c r="E11" s="33"/>
      <c r="F11" s="34"/>
      <c r="G11" s="15"/>
      <c r="H11" s="285"/>
      <c r="I11" s="285"/>
      <c r="J11" s="285"/>
      <c r="K11" s="285"/>
      <c r="L11" s="285"/>
      <c r="M11" s="285"/>
    </row>
    <row r="12" spans="1:14" ht="63.75" x14ac:dyDescent="0.2">
      <c r="A12" s="167" t="s">
        <v>3</v>
      </c>
      <c r="B12" s="167" t="s">
        <v>55</v>
      </c>
      <c r="C12" s="167" t="s">
        <v>305</v>
      </c>
      <c r="D12" s="167" t="s">
        <v>306</v>
      </c>
      <c r="E12" s="167" t="s">
        <v>450</v>
      </c>
      <c r="F12" s="167" t="s">
        <v>119</v>
      </c>
      <c r="G12" s="167" t="s">
        <v>77</v>
      </c>
      <c r="H12" s="15"/>
      <c r="I12" s="207"/>
      <c r="J12" s="285"/>
      <c r="K12" s="285"/>
      <c r="L12" s="285"/>
      <c r="M12" s="285"/>
      <c r="N12" s="285"/>
    </row>
    <row r="13" spans="1:14" x14ac:dyDescent="0.2">
      <c r="A13" s="166" t="s">
        <v>6</v>
      </c>
      <c r="B13" s="37">
        <f>J63</f>
        <v>150111.70000000001</v>
      </c>
      <c r="C13" s="139">
        <f>('BRA Resource Clearing Results'!F26*'BRA Resource Clearing Results'!B5-'3rdIA Resource Clearing Results'!D25*'3rdIA Resource Clearing Results'!B5)/('BRA Resource Clearing Results'!F26-'3rdIA Resource Clearing Results'!D25)</f>
        <v>29.430322939517712</v>
      </c>
      <c r="D13" s="139">
        <f>('BRA Resource Clearing Results'!F26*'BRA Resource Clearing Results'!C5-'3rdIA Resource Clearing Results'!D25*'3rdIA Resource Clearing Results'!C5)/('BRA Resource Clearing Results'!F26-'3rdIA Resource Clearing Results'!D25)</f>
        <v>0</v>
      </c>
      <c r="E13" s="28">
        <f>'BRA Resource Clearing Results'!G65+'3rdIA Resource Clearing Results'!I80</f>
        <v>0</v>
      </c>
      <c r="F13" s="491">
        <f>E13/B13</f>
        <v>0</v>
      </c>
      <c r="G13" s="140">
        <f t="shared" ref="G13:G22" si="0">C13+D13+F13</f>
        <v>29.430322939517712</v>
      </c>
      <c r="H13" s="15"/>
      <c r="I13" s="285"/>
      <c r="J13" s="285"/>
      <c r="K13" s="285"/>
      <c r="L13" s="285"/>
      <c r="M13" s="285"/>
      <c r="N13" s="285"/>
    </row>
    <row r="14" spans="1:14" x14ac:dyDescent="0.2">
      <c r="A14" s="166" t="s">
        <v>28</v>
      </c>
      <c r="B14" s="37">
        <f>J42+J46+J52+J54+J55+J57+J58+J59+J60+J61+J62</f>
        <v>67458.556983038783</v>
      </c>
      <c r="C14" s="139">
        <f>$C$13</f>
        <v>29.430322939517712</v>
      </c>
      <c r="D14" s="139">
        <f>D13+('BRA Resource Clearing Results'!F27*'BRA Resource Clearing Results'!C6-'3rdIA Resource Clearing Results'!D26*'3rdIA Resource Clearing Results'!C6)/('BRA Resource Clearing Results'!F27-'3rdIA Resource Clearing Results'!D26)</f>
        <v>20.601456675700337</v>
      </c>
      <c r="E14" s="28">
        <f>'BRA Resource Clearing Results'!G66+'3rdIA Resource Clearing Results'!I81</f>
        <v>0</v>
      </c>
      <c r="F14" s="491">
        <f>F13+E14/B14</f>
        <v>0</v>
      </c>
      <c r="G14" s="140">
        <f t="shared" si="0"/>
        <v>50.031779615218049</v>
      </c>
      <c r="H14" s="15"/>
      <c r="I14" s="285"/>
      <c r="J14" s="285"/>
      <c r="K14" s="285"/>
      <c r="L14" s="285"/>
      <c r="M14" s="285"/>
      <c r="N14" s="285"/>
    </row>
    <row r="15" spans="1:14" x14ac:dyDescent="0.2">
      <c r="A15" s="166" t="s">
        <v>33</v>
      </c>
      <c r="B15" s="37">
        <f>J42+J52+J54+J57+J61+J62</f>
        <v>36860.318627624896</v>
      </c>
      <c r="C15" s="139">
        <f>$C$13</f>
        <v>29.430322939517712</v>
      </c>
      <c r="D15" s="139">
        <f>D14+('BRA Resource Clearing Results'!F28*'BRA Resource Clearing Results'!C7-'3rdIA Resource Clearing Results'!D27*'3rdIA Resource Clearing Results'!C7)/('BRA Resource Clearing Results'!F28-'3rdIA Resource Clearing Results'!D27)</f>
        <v>27.732456354199496</v>
      </c>
      <c r="E15" s="28">
        <f>'BRA Resource Clearing Results'!G67+'3rdIA Resource Clearing Results'!I82</f>
        <v>0</v>
      </c>
      <c r="F15" s="491">
        <f>F14+E15/B15</f>
        <v>0</v>
      </c>
      <c r="G15" s="140">
        <f t="shared" si="0"/>
        <v>57.162779293717207</v>
      </c>
      <c r="H15" s="44"/>
      <c r="I15" s="285"/>
      <c r="J15" s="285"/>
      <c r="K15" s="285"/>
      <c r="L15" s="285"/>
      <c r="M15" s="285"/>
      <c r="N15" s="285"/>
    </row>
    <row r="16" spans="1:14" x14ac:dyDescent="0.2">
      <c r="A16" s="166" t="s">
        <v>5</v>
      </c>
      <c r="B16" s="37">
        <f>J46+J59</f>
        <v>14893.49590058094</v>
      </c>
      <c r="C16" s="139">
        <f t="shared" ref="C16:C22" si="1">$C$13</f>
        <v>29.430322939517712</v>
      </c>
      <c r="D16" s="139">
        <f>D14+('BRA Resource Clearing Results'!F29*'BRA Resource Clearing Results'!C8-'3rdIA Resource Clearing Results'!D28*'3rdIA Resource Clearing Results'!C8)/('BRA Resource Clearing Results'!F29-'3rdIA Resource Clearing Results'!D28)</f>
        <v>20.601456675700337</v>
      </c>
      <c r="E16" s="28">
        <f>'BRA Resource Clearing Results'!G68+'3rdIA Resource Clearing Results'!I83</f>
        <v>0</v>
      </c>
      <c r="F16" s="491">
        <f>F14+E16/B16</f>
        <v>0</v>
      </c>
      <c r="G16" s="140">
        <f t="shared" si="0"/>
        <v>50.031779615218049</v>
      </c>
      <c r="H16" s="15"/>
      <c r="I16" s="285"/>
      <c r="J16" s="285"/>
      <c r="K16" s="285"/>
      <c r="L16" s="285"/>
      <c r="M16" s="285"/>
      <c r="N16" s="285"/>
    </row>
    <row r="17" spans="1:14" x14ac:dyDescent="0.2">
      <c r="A17" s="166" t="s">
        <v>15</v>
      </c>
      <c r="B17" s="37">
        <f>J59</f>
        <v>7167.4561976434015</v>
      </c>
      <c r="C17" s="139">
        <f t="shared" si="1"/>
        <v>29.430322939517712</v>
      </c>
      <c r="D17" s="139">
        <f>D14+('BRA Resource Clearing Results'!F30*'BRA Resource Clearing Results'!C9-'3rdIA Resource Clearing Results'!D29*'3rdIA Resource Clearing Results'!C9)/('BRA Resource Clearing Results'!F30-'3rdIA Resource Clearing Results'!D29)</f>
        <v>20.601456675700337</v>
      </c>
      <c r="E17" s="28">
        <f>'BRA Resource Clearing Results'!G72+'3rdIA Resource Clearing Results'!I87</f>
        <v>0</v>
      </c>
      <c r="F17" s="491">
        <f>F16+E17/B17</f>
        <v>0</v>
      </c>
      <c r="G17" s="140">
        <f t="shared" si="0"/>
        <v>50.031779615218049</v>
      </c>
      <c r="H17" s="15"/>
      <c r="I17" s="285"/>
      <c r="J17" s="285"/>
      <c r="K17" s="285"/>
      <c r="L17" s="285"/>
      <c r="M17" s="285"/>
      <c r="N17" s="285"/>
    </row>
    <row r="18" spans="1:14" x14ac:dyDescent="0.2">
      <c r="A18" s="16" t="s">
        <v>20</v>
      </c>
      <c r="B18" s="37">
        <f>J47</f>
        <v>23327.982976086652</v>
      </c>
      <c r="C18" s="139">
        <f t="shared" si="1"/>
        <v>29.430322939517712</v>
      </c>
      <c r="D18" s="139">
        <f>D13+('BRA Resource Clearing Results'!F36*'BRA Resource Clearing Results'!C15-'3rdIA Resource Clearing Results'!D35*'3rdIA Resource Clearing Results'!C15)/('BRA Resource Clearing Results'!F36-'3rdIA Resource Clearing Results'!D35)</f>
        <v>0</v>
      </c>
      <c r="E18" s="28">
        <f>'BRA Resource Clearing Results'!G75+'3rdIA Resource Clearing Results'!I90</f>
        <v>0</v>
      </c>
      <c r="F18" s="491">
        <f>F13+E18/B18</f>
        <v>0</v>
      </c>
      <c r="G18" s="140">
        <f t="shared" si="0"/>
        <v>29.430322939517712</v>
      </c>
      <c r="H18" s="15"/>
      <c r="I18" s="386"/>
      <c r="J18" s="285"/>
      <c r="K18" s="285"/>
      <c r="L18" s="285"/>
      <c r="M18" s="285"/>
      <c r="N18" s="285"/>
    </row>
    <row r="19" spans="1:14" x14ac:dyDescent="0.2">
      <c r="A19" s="16" t="s">
        <v>11</v>
      </c>
      <c r="B19" s="37">
        <f>J46</f>
        <v>7726.039702937539</v>
      </c>
      <c r="C19" s="139">
        <f t="shared" si="1"/>
        <v>29.430322939517712</v>
      </c>
      <c r="D19" s="139">
        <f>D16+('BRA Resource Clearing Results'!F37*'BRA Resource Clearing Results'!C16-'3rdIA Resource Clearing Results'!D36*'3rdIA Resource Clearing Results'!C16)/('BRA Resource Clearing Results'!F37-'3rdIA Resource Clearing Results'!D36)</f>
        <v>46.39224459569175</v>
      </c>
      <c r="E19" s="28">
        <f>'BRA Resource Clearing Results'!G76+'3rdIA Resource Clearing Results'!I91</f>
        <v>299.29999999999995</v>
      </c>
      <c r="F19" s="491">
        <f>F16+E19/B19</f>
        <v>3.8739122695189136E-2</v>
      </c>
      <c r="G19" s="140">
        <f t="shared" si="0"/>
        <v>75.861306657904649</v>
      </c>
      <c r="H19" s="44"/>
      <c r="I19" s="285"/>
      <c r="J19" s="285"/>
      <c r="K19" s="285"/>
      <c r="L19" s="285"/>
      <c r="M19" s="285"/>
      <c r="N19" s="285"/>
    </row>
    <row r="20" spans="1:14" x14ac:dyDescent="0.2">
      <c r="A20" s="16" t="s">
        <v>10</v>
      </c>
      <c r="B20" s="37">
        <f>J60</f>
        <v>8695.8199349670485</v>
      </c>
      <c r="C20" s="139">
        <f t="shared" si="1"/>
        <v>29.430322939517712</v>
      </c>
      <c r="D20" s="139">
        <f>D14+('BRA Resource Clearing Results'!F38*'BRA Resource Clearing Results'!C17-'3rdIA Resource Clearing Results'!D37*'3rdIA Resource Clearing Results'!C17)/('BRA Resource Clearing Results'!F38-'3rdIA Resource Clearing Results'!D37)</f>
        <v>20.601456675700337</v>
      </c>
      <c r="E20" s="28">
        <f>'BRA Resource Clearing Results'!G77+'3rdIA Resource Clearing Results'!I92</f>
        <v>0</v>
      </c>
      <c r="F20" s="491">
        <f>F14+E20/B20</f>
        <v>0</v>
      </c>
      <c r="G20" s="140">
        <f t="shared" si="0"/>
        <v>50.031779615218049</v>
      </c>
      <c r="H20" s="15"/>
      <c r="I20" s="285"/>
      <c r="J20" s="285" t="s">
        <v>24</v>
      </c>
      <c r="K20" s="285"/>
      <c r="L20" s="285"/>
      <c r="M20" s="285"/>
      <c r="N20" s="285"/>
    </row>
    <row r="21" spans="1:14" x14ac:dyDescent="0.2">
      <c r="A21" s="16" t="s">
        <v>21</v>
      </c>
      <c r="B21" s="37">
        <f>J48</f>
        <v>3880.3594724756827</v>
      </c>
      <c r="C21" s="139">
        <f t="shared" si="1"/>
        <v>29.430322939517712</v>
      </c>
      <c r="D21" s="139">
        <f>D13+('BRA Resource Clearing Results'!F39*'BRA Resource Clearing Results'!C18-'3rdIA Resource Clearing Results'!D38*'3rdIA Resource Clearing Results'!C18)/('BRA Resource Clearing Results'!F39-'3rdIA Resource Clearing Results'!D38)</f>
        <v>0</v>
      </c>
      <c r="E21" s="28">
        <f>'BRA Resource Clearing Results'!G78+'3rdIA Resource Clearing Results'!I93</f>
        <v>0</v>
      </c>
      <c r="F21" s="491">
        <f>F13+E21/B21</f>
        <v>0</v>
      </c>
      <c r="G21" s="140">
        <f t="shared" si="0"/>
        <v>29.430322939517712</v>
      </c>
      <c r="H21" s="15"/>
      <c r="I21" s="285"/>
      <c r="J21" s="285" t="s">
        <v>24</v>
      </c>
      <c r="K21" s="285"/>
      <c r="L21" s="285"/>
      <c r="M21" s="285"/>
      <c r="N21" s="285"/>
    </row>
    <row r="22" spans="1:14" x14ac:dyDescent="0.2">
      <c r="A22" s="16" t="s">
        <v>50</v>
      </c>
      <c r="B22" s="37">
        <f>J49</f>
        <v>5254.4005828378022</v>
      </c>
      <c r="C22" s="139">
        <f t="shared" si="1"/>
        <v>29.430322939517712</v>
      </c>
      <c r="D22" s="139">
        <f>D13+('BRA Resource Clearing Results'!F40*'BRA Resource Clearing Results'!C19-'3rdIA Resource Clearing Results'!D39*'3rdIA Resource Clearing Results'!C19)/('BRA Resource Clearing Results'!F40-'3rdIA Resource Clearing Results'!D39)</f>
        <v>68.974037600716201</v>
      </c>
      <c r="E22" s="28">
        <f>'BRA Resource Clearing Results'!G79+'3rdIA Resource Clearing Results'!I94</f>
        <v>0</v>
      </c>
      <c r="F22" s="491">
        <f>F13+E22/B22</f>
        <v>0</v>
      </c>
      <c r="G22" s="140">
        <f t="shared" si="0"/>
        <v>98.40436054023391</v>
      </c>
      <c r="H22" s="15"/>
      <c r="I22" s="285"/>
      <c r="J22" s="285"/>
      <c r="K22" s="285"/>
      <c r="L22" s="285"/>
      <c r="M22" s="285"/>
      <c r="N22" s="285"/>
    </row>
    <row r="23" spans="1:14" x14ac:dyDescent="0.2">
      <c r="A23" s="17" t="s">
        <v>159</v>
      </c>
      <c r="B23" s="27"/>
      <c r="C23" s="47"/>
      <c r="D23" s="47"/>
      <c r="E23" s="47"/>
      <c r="F23" s="49"/>
      <c r="G23" s="93"/>
      <c r="H23" s="27"/>
      <c r="I23" s="27"/>
      <c r="J23" s="47"/>
      <c r="K23" s="27"/>
      <c r="L23" s="27"/>
      <c r="M23" s="27"/>
    </row>
    <row r="24" spans="1:14" x14ac:dyDescent="0.2">
      <c r="A24" s="17"/>
      <c r="B24" s="27"/>
      <c r="C24" s="47"/>
      <c r="D24" s="47"/>
      <c r="E24" s="47"/>
      <c r="F24" s="49"/>
      <c r="G24" s="93"/>
      <c r="H24" s="27"/>
      <c r="I24" s="27"/>
      <c r="J24" s="47"/>
      <c r="K24" s="27"/>
      <c r="L24" s="27"/>
      <c r="M24" s="27"/>
    </row>
    <row r="25" spans="1:14" x14ac:dyDescent="0.2">
      <c r="A25" s="17"/>
      <c r="B25" s="27"/>
      <c r="C25" s="47"/>
      <c r="D25" s="72" t="s">
        <v>24</v>
      </c>
      <c r="E25" s="72" t="s">
        <v>24</v>
      </c>
      <c r="F25" s="49"/>
      <c r="G25" s="25"/>
      <c r="H25" s="27"/>
      <c r="I25" s="27"/>
      <c r="J25" s="47"/>
      <c r="K25" s="27"/>
      <c r="L25" s="27"/>
      <c r="M25" s="27"/>
    </row>
    <row r="26" spans="1:14" ht="31.5" x14ac:dyDescent="0.25">
      <c r="A26" s="158" t="s">
        <v>103</v>
      </c>
      <c r="B26" s="15"/>
      <c r="C26" s="181" t="s">
        <v>24</v>
      </c>
      <c r="D26" s="15"/>
      <c r="E26" s="51"/>
      <c r="F26" s="231" t="s">
        <v>24</v>
      </c>
      <c r="G26" s="231"/>
      <c r="I26" s="237" t="s">
        <v>148</v>
      </c>
      <c r="J26" s="181" t="s">
        <v>24</v>
      </c>
      <c r="K26" s="15"/>
      <c r="L26" s="51" t="s">
        <v>24</v>
      </c>
      <c r="M26" s="231" t="s">
        <v>24</v>
      </c>
    </row>
    <row r="27" spans="1:14" ht="127.5" x14ac:dyDescent="0.2">
      <c r="A27" s="170" t="s">
        <v>54</v>
      </c>
      <c r="B27" s="167" t="s">
        <v>160</v>
      </c>
      <c r="C27" s="149" t="s">
        <v>72</v>
      </c>
      <c r="D27" s="149" t="s">
        <v>104</v>
      </c>
      <c r="E27" s="149" t="s">
        <v>451</v>
      </c>
      <c r="F27" s="149" t="s">
        <v>452</v>
      </c>
      <c r="G27" s="149" t="s">
        <v>113</v>
      </c>
      <c r="H27" s="15"/>
      <c r="I27" s="175" t="s">
        <v>7</v>
      </c>
      <c r="J27" s="174" t="s">
        <v>149</v>
      </c>
      <c r="K27" s="174" t="s">
        <v>150</v>
      </c>
      <c r="L27" s="207"/>
      <c r="M27" s="207"/>
      <c r="N27" s="207"/>
    </row>
    <row r="28" spans="1:14" x14ac:dyDescent="0.2">
      <c r="A28" s="166" t="s">
        <v>37</v>
      </c>
      <c r="B28" s="166"/>
      <c r="C28" s="40">
        <f>'BRA Resource Clearing Results'!D49-'3rdIA Resource Clearing Results'!D65</f>
        <v>2687.3</v>
      </c>
      <c r="D28" s="28">
        <f>('BRA Resource Clearing Results'!F29*'BRA Resource Clearing Results'!C8-'3rdIA Resource Clearing Results'!D28*'3rdIA Resource Clearing Results'!C8)/('BRA Resource Clearing Results'!F29-'3rdIA Resource Clearing Results'!D28)</f>
        <v>0</v>
      </c>
      <c r="E28" s="28">
        <f>'BRA Resource Clearing Results'!G69+'3rdIA Resource Clearing Results'!H84</f>
        <v>0</v>
      </c>
      <c r="F28" s="166"/>
      <c r="G28" s="166"/>
      <c r="H28" s="15"/>
      <c r="I28" s="16" t="s">
        <v>11</v>
      </c>
      <c r="J28" s="235">
        <v>160</v>
      </c>
      <c r="K28" s="28">
        <f>J28*VLOOKUP(I28,$A$42:$L$62,9,0)*$B$6*VLOOKUP(I28,$A$42:$L$62,12,0)</f>
        <v>15303.614377224509</v>
      </c>
      <c r="L28" s="574"/>
      <c r="M28" s="446"/>
      <c r="N28" s="25"/>
    </row>
    <row r="29" spans="1:14" x14ac:dyDescent="0.2">
      <c r="A29" s="166" t="s">
        <v>34</v>
      </c>
      <c r="B29" s="166"/>
      <c r="C29" s="40">
        <f>'BRA Resource Clearing Results'!D50-'3rdIA Resource Clearing Results'!D66</f>
        <v>3528.6000000000004</v>
      </c>
      <c r="D29" s="28">
        <f>D28+('BRA Resource Clearing Results'!F30*'BRA Resource Clearing Results'!C9-'3rdIA Resource Clearing Results'!D29*'3rdIA Resource Clearing Results'!C9)/('BRA Resource Clearing Results'!F30-'3rdIA Resource Clearing Results'!D29)</f>
        <v>0</v>
      </c>
      <c r="E29" s="28">
        <f>'BRA Resource Clearing Results'!G70+'3rdIA Resource Clearing Results'!I85</f>
        <v>0</v>
      </c>
      <c r="F29" s="166"/>
      <c r="G29" s="166"/>
      <c r="H29" s="15"/>
      <c r="I29" s="16" t="s">
        <v>17</v>
      </c>
      <c r="J29" s="235">
        <v>35</v>
      </c>
      <c r="K29" s="28">
        <f t="shared" ref="K29:K30" si="2">J29*VLOOKUP(I29,$A$42:$L$62,9,0)*$B$6*VLOOKUP(I29,$A$42:$L$62,12,0)</f>
        <v>7422.6795454452522</v>
      </c>
      <c r="L29" s="574"/>
      <c r="M29" s="216"/>
      <c r="N29" s="25"/>
    </row>
    <row r="30" spans="1:14" x14ac:dyDescent="0.2">
      <c r="A30" s="58" t="s">
        <v>8</v>
      </c>
      <c r="B30" s="138">
        <f>G15</f>
        <v>57.162779293717207</v>
      </c>
      <c r="C30" s="40">
        <f>C29+C28</f>
        <v>6215.9000000000005</v>
      </c>
      <c r="D30" s="443">
        <f>(C29*D29+C28*D28)/C30</f>
        <v>0</v>
      </c>
      <c r="E30" s="486">
        <f>E28+E29</f>
        <v>0</v>
      </c>
      <c r="F30" s="142">
        <f>('BRA Resource Clearing Results'!G69+'BRA Resource Clearing Results'!G70)/J61</f>
        <v>0</v>
      </c>
      <c r="G30" s="143">
        <f>B30+D30+F30</f>
        <v>57.162779293717207</v>
      </c>
      <c r="H30" s="15"/>
      <c r="I30" s="16" t="s">
        <v>15</v>
      </c>
      <c r="J30" s="235">
        <v>110</v>
      </c>
      <c r="K30" s="28">
        <f t="shared" si="2"/>
        <v>6815.0240957093974</v>
      </c>
      <c r="L30" s="574"/>
      <c r="M30" s="233"/>
      <c r="N30" s="25"/>
    </row>
    <row r="31" spans="1:14" x14ac:dyDescent="0.2">
      <c r="A31" s="166" t="s">
        <v>36</v>
      </c>
      <c r="B31" s="166"/>
      <c r="C31" s="40">
        <v>3423.4999999999986</v>
      </c>
      <c r="D31" s="24">
        <v>0</v>
      </c>
      <c r="E31" s="28">
        <v>0</v>
      </c>
      <c r="F31" s="166"/>
      <c r="G31" s="166"/>
      <c r="I31" s="162" t="s">
        <v>151</v>
      </c>
      <c r="J31" s="236">
        <f>SUM(J28:J30)</f>
        <v>305</v>
      </c>
      <c r="K31" s="215">
        <f>SUM(K28:K30)</f>
        <v>29541.318018379156</v>
      </c>
      <c r="L31" s="574"/>
      <c r="M31" s="209"/>
      <c r="N31" s="25"/>
    </row>
    <row r="32" spans="1:14" x14ac:dyDescent="0.2">
      <c r="A32" s="166" t="s">
        <v>35</v>
      </c>
      <c r="B32" s="166"/>
      <c r="C32" s="40">
        <f>'BRA Resource Clearing Results'!B51-'3rdIA Resource Clearing Results'!D31</f>
        <v>1453.4</v>
      </c>
      <c r="D32" s="28">
        <f>D31+('BRA Resource Clearing Results'!F32*'BRA Resource Clearing Results'!C11-'3rdIA Resource Clearing Results'!D31*'3rdIA Resource Clearing Results'!C11)/('BRA Resource Clearing Results'!F32-'3rdIA Resource Clearing Results'!D31)</f>
        <v>371.31391564607128</v>
      </c>
      <c r="E32" s="28">
        <f>'BRA Resource Clearing Results'!G71+'3rdIA Resource Clearing Results'!H86</f>
        <v>0</v>
      </c>
      <c r="F32" s="166"/>
      <c r="G32" s="166"/>
      <c r="H32" s="15"/>
      <c r="I32" s="15"/>
      <c r="J32" s="285"/>
      <c r="K32" s="285"/>
      <c r="L32" s="285"/>
      <c r="M32" s="29"/>
      <c r="N32" s="25"/>
    </row>
    <row r="33" spans="1:14" x14ac:dyDescent="0.2">
      <c r="A33" s="58" t="s">
        <v>17</v>
      </c>
      <c r="B33" s="138">
        <f>G15</f>
        <v>57.162779293717207</v>
      </c>
      <c r="C33" s="36">
        <f>C31+C32</f>
        <v>4876.8999999999987</v>
      </c>
      <c r="D33" s="443">
        <f>(C32*D32+C31*D31)/C33</f>
        <v>110.65792716684783</v>
      </c>
      <c r="E33" s="486">
        <f>E31+E32</f>
        <v>0</v>
      </c>
      <c r="F33" s="487">
        <f>E33/J52</f>
        <v>0</v>
      </c>
      <c r="G33" s="143">
        <f>B33+D33+F33</f>
        <v>167.82070646056502</v>
      </c>
      <c r="H33" s="15"/>
      <c r="I33" s="15"/>
      <c r="J33" s="285"/>
      <c r="K33" s="285"/>
      <c r="L33" s="285"/>
      <c r="M33" s="29"/>
      <c r="N33" s="25"/>
    </row>
    <row r="34" spans="1:14" x14ac:dyDescent="0.2">
      <c r="A34" s="166" t="s">
        <v>99</v>
      </c>
      <c r="B34" s="166"/>
      <c r="C34" s="36">
        <f>'BRA Resource Clearing Results'!D53-'3rdIA Resource Clearing Results'!D69</f>
        <v>8010.5000000000009</v>
      </c>
      <c r="D34" s="28">
        <f>('BRA Resource Clearing Results'!F33*'BRA Resource Clearing Results'!C12-'3rdIA Resource Clearing Results'!D32*'3rdIA Resource Clearing Results'!C12)/('BRA Resource Clearing Results'!F33-'3rdIA Resource Clearing Results'!D32)</f>
        <v>0</v>
      </c>
      <c r="E34" s="28">
        <f>'BRA Resource Clearing Results'!G73+'3rdIA Resource Clearing Results'!H88</f>
        <v>0</v>
      </c>
      <c r="F34" s="166"/>
      <c r="G34" s="166"/>
      <c r="H34" s="15"/>
      <c r="I34" s="216"/>
      <c r="J34" s="285"/>
      <c r="K34" s="285"/>
      <c r="L34" s="285"/>
      <c r="M34" s="29"/>
      <c r="N34" s="25"/>
    </row>
    <row r="35" spans="1:14" x14ac:dyDescent="0.2">
      <c r="A35" s="166" t="s">
        <v>98</v>
      </c>
      <c r="B35" s="166"/>
      <c r="C35" s="40">
        <f>'BRA Resource Clearing Results'!D54-'3rdIA Resource Clearing Results'!D70</f>
        <v>1884.7</v>
      </c>
      <c r="D35" s="28">
        <f>D34+('BRA Resource Clearing Results'!F34*'BRA Resource Clearing Results'!C13-'3rdIA Resource Clearing Results'!D33*'3rdIA Resource Clearing Results'!C13)/('BRA Resource Clearing Results'!F34-'3rdIA Resource Clearing Results'!D33)</f>
        <v>0</v>
      </c>
      <c r="E35" s="28">
        <f>'BRA Resource Clearing Results'!G74+'3rdIA Resource Clearing Results'!H89</f>
        <v>0</v>
      </c>
      <c r="F35" s="166"/>
      <c r="G35" s="166"/>
      <c r="H35" s="15"/>
      <c r="I35" s="15"/>
      <c r="J35" s="285"/>
      <c r="K35" s="285"/>
      <c r="L35" s="285"/>
      <c r="M35" s="285" t="s">
        <v>24</v>
      </c>
      <c r="N35" s="285"/>
    </row>
    <row r="36" spans="1:14" x14ac:dyDescent="0.2">
      <c r="A36" s="58" t="s">
        <v>43</v>
      </c>
      <c r="B36" s="138">
        <f>G13</f>
        <v>29.430322939517712</v>
      </c>
      <c r="C36" s="40">
        <f>C35+C34</f>
        <v>9895.2000000000007</v>
      </c>
      <c r="D36" s="443">
        <f>(C35*D35+C34*D34)/C36</f>
        <v>0</v>
      </c>
      <c r="E36" s="486">
        <f>E34+E35</f>
        <v>0</v>
      </c>
      <c r="F36" s="487">
        <f>E36/J45</f>
        <v>0</v>
      </c>
      <c r="G36" s="143">
        <f>B36+D36+F36</f>
        <v>29.430322939517712</v>
      </c>
      <c r="H36" s="15"/>
      <c r="I36" s="15"/>
      <c r="J36" s="285"/>
      <c r="K36" s="285"/>
      <c r="L36" s="285"/>
      <c r="M36" s="285"/>
      <c r="N36" s="285"/>
    </row>
    <row r="37" spans="1:14" x14ac:dyDescent="0.2">
      <c r="A37" s="96" t="s">
        <v>161</v>
      </c>
      <c r="B37" s="96"/>
      <c r="C37" s="75"/>
      <c r="D37" s="75"/>
      <c r="E37" s="75"/>
      <c r="F37" s="75"/>
      <c r="G37" s="94"/>
      <c r="H37" s="15"/>
      <c r="I37" s="15"/>
      <c r="J37" s="15"/>
      <c r="K37" s="15"/>
      <c r="L37" s="15"/>
      <c r="M37" s="15"/>
    </row>
    <row r="38" spans="1:14" x14ac:dyDescent="0.2">
      <c r="A38" s="96"/>
      <c r="B38" s="96"/>
      <c r="C38" s="75"/>
      <c r="D38" s="75"/>
      <c r="E38" s="75"/>
      <c r="F38" s="75"/>
      <c r="G38" s="94"/>
      <c r="H38" s="15"/>
      <c r="I38" s="15"/>
      <c r="J38" s="15"/>
      <c r="K38" s="15"/>
      <c r="L38" s="15"/>
      <c r="M38" s="15"/>
    </row>
    <row r="39" spans="1:14" x14ac:dyDescent="0.2">
      <c r="A39" s="25"/>
      <c r="B39" s="29"/>
      <c r="C39" s="29"/>
      <c r="D39" s="29" t="s">
        <v>24</v>
      </c>
      <c r="E39" s="38"/>
      <c r="F39" s="76" t="s">
        <v>24</v>
      </c>
      <c r="G39" s="313" t="s">
        <v>24</v>
      </c>
      <c r="H39" s="69"/>
      <c r="I39" s="69"/>
      <c r="J39" s="69"/>
      <c r="K39" s="69"/>
      <c r="L39" s="69"/>
      <c r="M39" s="69" t="s">
        <v>24</v>
      </c>
    </row>
    <row r="40" spans="1:14" ht="15.75" x14ac:dyDescent="0.25">
      <c r="A40" s="165" t="s">
        <v>307</v>
      </c>
      <c r="B40" s="90"/>
      <c r="C40" s="15"/>
      <c r="D40" s="15"/>
      <c r="E40" s="78"/>
      <c r="F40" s="78"/>
      <c r="G40" s="78"/>
      <c r="H40" s="78"/>
      <c r="I40" s="78"/>
      <c r="J40" s="78"/>
      <c r="K40" s="78"/>
      <c r="L40" s="78"/>
      <c r="M40" s="78"/>
    </row>
    <row r="41" spans="1:14" ht="76.5" x14ac:dyDescent="0.2">
      <c r="A41" s="147" t="s">
        <v>7</v>
      </c>
      <c r="B41" s="147" t="s">
        <v>27</v>
      </c>
      <c r="C41" s="147" t="s">
        <v>26</v>
      </c>
      <c r="D41" s="147" t="s">
        <v>31</v>
      </c>
      <c r="E41" s="147" t="s">
        <v>320</v>
      </c>
      <c r="F41" s="147" t="s">
        <v>22</v>
      </c>
      <c r="G41" s="147" t="s">
        <v>321</v>
      </c>
      <c r="H41" s="159" t="s">
        <v>23</v>
      </c>
      <c r="I41" s="159" t="s">
        <v>308</v>
      </c>
      <c r="J41" s="147" t="s">
        <v>309</v>
      </c>
      <c r="K41" s="221" t="s">
        <v>310</v>
      </c>
      <c r="L41" s="221" t="s">
        <v>169</v>
      </c>
      <c r="M41" s="147" t="s">
        <v>7</v>
      </c>
    </row>
    <row r="42" spans="1:14" x14ac:dyDescent="0.2">
      <c r="A42" s="166" t="s">
        <v>16</v>
      </c>
      <c r="B42" s="82" t="s">
        <v>28</v>
      </c>
      <c r="C42" s="82" t="s">
        <v>33</v>
      </c>
      <c r="D42" s="82"/>
      <c r="E42" s="160">
        <v>2310</v>
      </c>
      <c r="F42" s="84">
        <f>G42/E42</f>
        <v>1.0173160173160174</v>
      </c>
      <c r="G42" s="85">
        <v>2350</v>
      </c>
      <c r="H42" s="84">
        <f>$B$8</f>
        <v>1.1088132118501957</v>
      </c>
      <c r="I42" s="84">
        <f>H42*F42</f>
        <v>1.1280134406268225</v>
      </c>
      <c r="J42" s="85">
        <f>E42*I42*$B$6</f>
        <v>2910.5792404461713</v>
      </c>
      <c r="K42" s="222">
        <f>G15</f>
        <v>57.162779293717207</v>
      </c>
      <c r="L42" s="302">
        <v>57.357146584344044</v>
      </c>
      <c r="M42" s="166" t="s">
        <v>16</v>
      </c>
    </row>
    <row r="43" spans="1:14" x14ac:dyDescent="0.2">
      <c r="A43" s="16" t="s">
        <v>162</v>
      </c>
      <c r="B43" s="82"/>
      <c r="C43" s="82"/>
      <c r="D43" s="82"/>
      <c r="E43" s="160">
        <v>10954.3</v>
      </c>
      <c r="F43" s="84">
        <f>G43/E43</f>
        <v>1.0268387756406161</v>
      </c>
      <c r="G43" s="85">
        <v>11248.3</v>
      </c>
      <c r="H43" s="84">
        <f t="shared" ref="H43:H62" si="3">$B$8</f>
        <v>1.1088132118501957</v>
      </c>
      <c r="I43" s="84">
        <f>H43*F43</f>
        <v>1.1385724008703939</v>
      </c>
      <c r="J43" s="85">
        <f t="shared" ref="J43:J61" si="4">E43*I43*$B$6</f>
        <v>13931.518498004538</v>
      </c>
      <c r="K43" s="222">
        <f>G13</f>
        <v>29.430322939517712</v>
      </c>
      <c r="L43" s="302">
        <v>29.50457118031947</v>
      </c>
      <c r="M43" s="166" t="s">
        <v>162</v>
      </c>
    </row>
    <row r="44" spans="1:14" x14ac:dyDescent="0.2">
      <c r="A44" s="166" t="s">
        <v>19</v>
      </c>
      <c r="B44" s="82" t="s">
        <v>24</v>
      </c>
      <c r="C44" s="82"/>
      <c r="D44" s="82"/>
      <c r="E44" s="160">
        <v>8452.2000000000007</v>
      </c>
      <c r="F44" s="84">
        <f t="shared" ref="F44:F62" si="5">G44/E44</f>
        <v>1.0269515629066988</v>
      </c>
      <c r="G44" s="85">
        <v>8680</v>
      </c>
      <c r="H44" s="84">
        <f t="shared" si="3"/>
        <v>1.1088132118501957</v>
      </c>
      <c r="I44" s="84">
        <f>H44*F44</f>
        <v>1.1386974608811549</v>
      </c>
      <c r="J44" s="85">
        <f t="shared" si="4"/>
        <v>10750.565024286283</v>
      </c>
      <c r="K44" s="222">
        <f>G13</f>
        <v>29.430322939517712</v>
      </c>
      <c r="L44" s="302">
        <v>29.50457118031947</v>
      </c>
      <c r="M44" s="166" t="s">
        <v>19</v>
      </c>
    </row>
    <row r="45" spans="1:14" x14ac:dyDescent="0.2">
      <c r="A45" s="166" t="s">
        <v>43</v>
      </c>
      <c r="B45" s="82"/>
      <c r="C45" s="82"/>
      <c r="D45" s="82" t="s">
        <v>43</v>
      </c>
      <c r="E45" s="160">
        <v>11550</v>
      </c>
      <c r="F45" s="84">
        <f t="shared" si="5"/>
        <v>1.0372294372294373</v>
      </c>
      <c r="G45" s="85">
        <v>11980</v>
      </c>
      <c r="H45" s="84">
        <f t="shared" si="3"/>
        <v>1.1088132118501957</v>
      </c>
      <c r="I45" s="84">
        <f>H45*F45</f>
        <v>1.1500937037199432</v>
      </c>
      <c r="J45" s="85">
        <f t="shared" si="4"/>
        <v>14837.76140448729</v>
      </c>
      <c r="K45" s="222">
        <f>G36</f>
        <v>29.430322939517712</v>
      </c>
      <c r="L45" s="302">
        <v>29.50457118031947</v>
      </c>
      <c r="M45" s="166" t="s">
        <v>43</v>
      </c>
    </row>
    <row r="46" spans="1:14" x14ac:dyDescent="0.2">
      <c r="A46" s="166" t="s">
        <v>11</v>
      </c>
      <c r="B46" s="82" t="s">
        <v>28</v>
      </c>
      <c r="C46" s="82" t="s">
        <v>5</v>
      </c>
      <c r="D46" s="82" t="s">
        <v>11</v>
      </c>
      <c r="E46" s="160">
        <v>6200</v>
      </c>
      <c r="F46" s="84">
        <f>G46/E46</f>
        <v>1.0061290322580645</v>
      </c>
      <c r="G46" s="85">
        <v>6238</v>
      </c>
      <c r="H46" s="84">
        <f t="shared" si="3"/>
        <v>1.1088132118501957</v>
      </c>
      <c r="I46" s="84">
        <f>H46*F46</f>
        <v>1.1156091637937937</v>
      </c>
      <c r="J46" s="85">
        <f>E46*I46*$B$6</f>
        <v>7726.039702937539</v>
      </c>
      <c r="K46" s="222">
        <f>G19</f>
        <v>75.861306657904649</v>
      </c>
      <c r="L46" s="302">
        <v>76.755372728925764</v>
      </c>
      <c r="M46" s="166" t="s">
        <v>11</v>
      </c>
    </row>
    <row r="47" spans="1:14" x14ac:dyDescent="0.2">
      <c r="A47" s="166" t="s">
        <v>20</v>
      </c>
      <c r="B47" s="82"/>
      <c r="C47" s="82"/>
      <c r="D47" s="82" t="s">
        <v>20</v>
      </c>
      <c r="E47" s="160">
        <v>18720</v>
      </c>
      <c r="F47" s="84">
        <f t="shared" si="5"/>
        <v>1.0061431623931625</v>
      </c>
      <c r="G47" s="85">
        <v>18835</v>
      </c>
      <c r="H47" s="84">
        <f t="shared" si="3"/>
        <v>1.1088132118501957</v>
      </c>
      <c r="I47" s="84">
        <f t="shared" ref="I47:I61" si="6">H47*F47</f>
        <v>1.1156248314742754</v>
      </c>
      <c r="J47" s="85">
        <f t="shared" si="4"/>
        <v>23327.982976086652</v>
      </c>
      <c r="K47" s="222">
        <f>G18</f>
        <v>29.430322939517712</v>
      </c>
      <c r="L47" s="302">
        <v>29.50457118031947</v>
      </c>
      <c r="M47" s="166" t="s">
        <v>20</v>
      </c>
    </row>
    <row r="48" spans="1:14" x14ac:dyDescent="0.2">
      <c r="A48" s="166" t="s">
        <v>21</v>
      </c>
      <c r="B48" s="82"/>
      <c r="C48" s="82"/>
      <c r="D48" s="82" t="s">
        <v>21</v>
      </c>
      <c r="E48" s="160">
        <v>3140</v>
      </c>
      <c r="F48" s="84">
        <f t="shared" si="5"/>
        <v>0.99777070063694262</v>
      </c>
      <c r="G48" s="85">
        <v>3133</v>
      </c>
      <c r="H48" s="84">
        <f t="shared" si="3"/>
        <v>1.1088132118501957</v>
      </c>
      <c r="I48" s="84">
        <f t="shared" si="6"/>
        <v>1.1063413352632685</v>
      </c>
      <c r="J48" s="85">
        <f t="shared" si="4"/>
        <v>3880.3594724756827</v>
      </c>
      <c r="K48" s="222">
        <f>G21</f>
        <v>29.430322939517712</v>
      </c>
      <c r="L48" s="302">
        <v>29.50457118031947</v>
      </c>
      <c r="M48" s="166" t="s">
        <v>21</v>
      </c>
    </row>
    <row r="49" spans="1:13" x14ac:dyDescent="0.2">
      <c r="A49" s="166" t="s">
        <v>163</v>
      </c>
      <c r="B49" s="82"/>
      <c r="C49" s="82"/>
      <c r="D49" s="82" t="s">
        <v>50</v>
      </c>
      <c r="E49" s="160">
        <v>4205.6000000000004</v>
      </c>
      <c r="F49" s="84">
        <f t="shared" si="5"/>
        <v>1.0087502377782003</v>
      </c>
      <c r="G49" s="85">
        <v>4242.3999999999996</v>
      </c>
      <c r="H49" s="84">
        <f t="shared" si="3"/>
        <v>1.1088132118501957</v>
      </c>
      <c r="I49" s="84">
        <f t="shared" si="6"/>
        <v>1.1185155911054949</v>
      </c>
      <c r="J49" s="85">
        <f t="shared" si="4"/>
        <v>5254.4005828378022</v>
      </c>
      <c r="K49" s="222">
        <f>G22</f>
        <v>98.40436054023391</v>
      </c>
      <c r="L49" s="302">
        <v>98.478608781035675</v>
      </c>
      <c r="M49" s="166" t="s">
        <v>163</v>
      </c>
    </row>
    <row r="50" spans="1:13" x14ac:dyDescent="0.2">
      <c r="A50" s="166" t="s">
        <v>42</v>
      </c>
      <c r="B50" s="82"/>
      <c r="C50" s="82"/>
      <c r="D50" s="82"/>
      <c r="E50" s="160">
        <v>2620</v>
      </c>
      <c r="F50" s="84">
        <f t="shared" si="5"/>
        <v>0.99961832061068701</v>
      </c>
      <c r="G50" s="85">
        <v>2619</v>
      </c>
      <c r="H50" s="84">
        <f t="shared" si="3"/>
        <v>1.1088132118501957</v>
      </c>
      <c r="I50" s="84">
        <f t="shared" si="6"/>
        <v>1.1083900007006344</v>
      </c>
      <c r="J50" s="85">
        <f t="shared" si="4"/>
        <v>3243.7476726504347</v>
      </c>
      <c r="K50" s="222">
        <f>G13</f>
        <v>29.430322939517712</v>
      </c>
      <c r="L50" s="302">
        <v>29.50457118031947</v>
      </c>
      <c r="M50" s="166" t="s">
        <v>42</v>
      </c>
    </row>
    <row r="51" spans="1:13" x14ac:dyDescent="0.2">
      <c r="A51" s="166" t="s">
        <v>181</v>
      </c>
      <c r="B51" s="82"/>
      <c r="C51" s="82"/>
      <c r="D51" s="82"/>
      <c r="E51" s="160">
        <v>3460.6</v>
      </c>
      <c r="F51" s="84">
        <f t="shared" si="5"/>
        <v>1.0440675027451887</v>
      </c>
      <c r="G51" s="85">
        <v>3613.1</v>
      </c>
      <c r="H51" s="84">
        <f t="shared" si="3"/>
        <v>1.1088132118501957</v>
      </c>
      <c r="I51" s="84">
        <f t="shared" si="6"/>
        <v>1.1576758411073056</v>
      </c>
      <c r="J51" s="85">
        <f t="shared" si="4"/>
        <v>4474.9846185770466</v>
      </c>
      <c r="K51" s="222">
        <f>G13</f>
        <v>29.430322939517712</v>
      </c>
      <c r="L51" s="302">
        <v>29.50457118031947</v>
      </c>
      <c r="M51" s="166" t="s">
        <v>30</v>
      </c>
    </row>
    <row r="52" spans="1:13" x14ac:dyDescent="0.2">
      <c r="A52" s="166" t="s">
        <v>17</v>
      </c>
      <c r="B52" s="82" t="s">
        <v>28</v>
      </c>
      <c r="C52" s="82" t="s">
        <v>33</v>
      </c>
      <c r="D52" s="82" t="s">
        <v>17</v>
      </c>
      <c r="E52" s="160">
        <v>3660</v>
      </c>
      <c r="F52" s="84">
        <f t="shared" si="5"/>
        <v>1.012568306010929</v>
      </c>
      <c r="G52" s="85">
        <v>3706</v>
      </c>
      <c r="H52" s="84">
        <f t="shared" si="3"/>
        <v>1.1088132118501957</v>
      </c>
      <c r="I52" s="84">
        <f t="shared" si="6"/>
        <v>1.1227491156056899</v>
      </c>
      <c r="J52" s="85">
        <f t="shared" si="4"/>
        <v>4590.0453894014936</v>
      </c>
      <c r="K52" s="222">
        <f>G33</f>
        <v>167.82070646056502</v>
      </c>
      <c r="L52" s="302">
        <v>169.10512599448228</v>
      </c>
      <c r="M52" s="166" t="s">
        <v>17</v>
      </c>
    </row>
    <row r="53" spans="1:13" x14ac:dyDescent="0.2">
      <c r="A53" s="166" t="s">
        <v>164</v>
      </c>
      <c r="B53" s="82"/>
      <c r="C53" s="82"/>
      <c r="D53" s="82"/>
      <c r="E53" s="160">
        <v>2313.8000000000002</v>
      </c>
      <c r="F53" s="84">
        <f t="shared" si="5"/>
        <v>1.0041057999827123</v>
      </c>
      <c r="G53" s="85">
        <v>2323.3000000000002</v>
      </c>
      <c r="H53" s="84">
        <f t="shared" si="3"/>
        <v>1.1088132118501957</v>
      </c>
      <c r="I53" s="84">
        <f t="shared" si="6"/>
        <v>1.1133657771162413</v>
      </c>
      <c r="J53" s="85">
        <f t="shared" si="4"/>
        <v>2877.510106097272</v>
      </c>
      <c r="K53" s="222">
        <f>G13</f>
        <v>29.430322939517712</v>
      </c>
      <c r="L53" s="302">
        <v>29.50457118031947</v>
      </c>
      <c r="M53" s="166" t="s">
        <v>164</v>
      </c>
    </row>
    <row r="54" spans="1:13" x14ac:dyDescent="0.2">
      <c r="A54" s="166" t="s">
        <v>12</v>
      </c>
      <c r="B54" s="82" t="s">
        <v>28</v>
      </c>
      <c r="C54" s="82" t="s">
        <v>33</v>
      </c>
      <c r="D54" s="82"/>
      <c r="E54" s="160">
        <v>5730</v>
      </c>
      <c r="F54" s="84">
        <f t="shared" si="5"/>
        <v>0.99354275741710296</v>
      </c>
      <c r="G54" s="85">
        <v>5693</v>
      </c>
      <c r="H54" s="84">
        <f t="shared" si="3"/>
        <v>1.1088132118501957</v>
      </c>
      <c r="I54" s="84">
        <f t="shared" si="6"/>
        <v>1.1016533359621576</v>
      </c>
      <c r="J54" s="85">
        <f t="shared" si="4"/>
        <v>7051.0330280255539</v>
      </c>
      <c r="K54" s="222">
        <f>G15</f>
        <v>57.162779293717207</v>
      </c>
      <c r="L54" s="302">
        <v>57.357146584344044</v>
      </c>
      <c r="M54" s="166" t="s">
        <v>12</v>
      </c>
    </row>
    <row r="55" spans="1:13" x14ac:dyDescent="0.2">
      <c r="A55" s="166" t="s">
        <v>13</v>
      </c>
      <c r="B55" s="82" t="s">
        <v>28</v>
      </c>
      <c r="C55" s="82"/>
      <c r="D55" s="82"/>
      <c r="E55" s="160">
        <v>2900</v>
      </c>
      <c r="F55" s="84">
        <f t="shared" si="5"/>
        <v>1.0058620689655173</v>
      </c>
      <c r="G55" s="85">
        <v>2917</v>
      </c>
      <c r="H55" s="84">
        <f t="shared" si="3"/>
        <v>1.1088132118501957</v>
      </c>
      <c r="I55" s="84">
        <f t="shared" si="6"/>
        <v>1.1153131513679382</v>
      </c>
      <c r="J55" s="85">
        <f t="shared" si="4"/>
        <v>3612.8338912261625</v>
      </c>
      <c r="K55" s="222">
        <f>G14</f>
        <v>50.031779615218049</v>
      </c>
      <c r="L55" s="302">
        <v>50.221050796350866</v>
      </c>
      <c r="M55" s="166" t="s">
        <v>13</v>
      </c>
    </row>
    <row r="56" spans="1:13" x14ac:dyDescent="0.2">
      <c r="A56" s="166" t="s">
        <v>182</v>
      </c>
      <c r="B56" s="82"/>
      <c r="C56" s="82"/>
      <c r="D56" s="82"/>
      <c r="E56" s="160">
        <v>60</v>
      </c>
      <c r="F56" s="84">
        <f t="shared" si="5"/>
        <v>1</v>
      </c>
      <c r="G56" s="85">
        <v>60</v>
      </c>
      <c r="H56" s="84">
        <f t="shared" si="3"/>
        <v>1.1088132118501957</v>
      </c>
      <c r="I56" s="84">
        <f t="shared" si="6"/>
        <v>1.1088132118501957</v>
      </c>
      <c r="J56" s="85">
        <f t="shared" si="4"/>
        <v>74.312661458200111</v>
      </c>
      <c r="K56" s="222">
        <f>G13</f>
        <v>29.430322939517712</v>
      </c>
      <c r="L56" s="302">
        <v>29.50457118031947</v>
      </c>
      <c r="M56" s="166" t="s">
        <v>182</v>
      </c>
    </row>
    <row r="57" spans="1:13" x14ac:dyDescent="0.2">
      <c r="A57" s="166" t="s">
        <v>9</v>
      </c>
      <c r="B57" s="82" t="s">
        <v>28</v>
      </c>
      <c r="C57" s="82" t="s">
        <v>33</v>
      </c>
      <c r="D57" s="82"/>
      <c r="E57" s="160">
        <v>8030</v>
      </c>
      <c r="F57" s="84">
        <f t="shared" si="5"/>
        <v>1.009090909090909</v>
      </c>
      <c r="G57" s="85">
        <v>8103</v>
      </c>
      <c r="H57" s="84">
        <f t="shared" si="3"/>
        <v>1.1088132118501957</v>
      </c>
      <c r="I57" s="84">
        <f t="shared" si="6"/>
        <v>1.1188933319579246</v>
      </c>
      <c r="J57" s="85">
        <f t="shared" si="4"/>
        <v>10035.924929929924</v>
      </c>
      <c r="K57" s="222">
        <f>G15</f>
        <v>57.162779293717207</v>
      </c>
      <c r="L57" s="302">
        <v>57.357146584344044</v>
      </c>
      <c r="M57" s="166" t="s">
        <v>9</v>
      </c>
    </row>
    <row r="58" spans="1:13" x14ac:dyDescent="0.2">
      <c r="A58" s="166" t="s">
        <v>14</v>
      </c>
      <c r="B58" s="82" t="s">
        <v>28</v>
      </c>
      <c r="C58" s="82"/>
      <c r="D58" s="82"/>
      <c r="E58" s="160">
        <v>2730</v>
      </c>
      <c r="F58" s="84">
        <f t="shared" si="5"/>
        <v>1.0043956043956044</v>
      </c>
      <c r="G58" s="85">
        <v>2742</v>
      </c>
      <c r="H58" s="84">
        <f t="shared" si="3"/>
        <v>1.1088132118501957</v>
      </c>
      <c r="I58" s="84">
        <f t="shared" si="6"/>
        <v>1.1136871160781086</v>
      </c>
      <c r="J58" s="85">
        <f t="shared" si="4"/>
        <v>3396.0886286397449</v>
      </c>
      <c r="K58" s="222">
        <f>G14</f>
        <v>50.031779615218049</v>
      </c>
      <c r="L58" s="302">
        <v>50.221050796350866</v>
      </c>
      <c r="M58" s="166" t="s">
        <v>14</v>
      </c>
    </row>
    <row r="59" spans="1:13" x14ac:dyDescent="0.2">
      <c r="A59" s="166" t="s">
        <v>15</v>
      </c>
      <c r="B59" s="82" t="s">
        <v>28</v>
      </c>
      <c r="C59" s="82" t="s">
        <v>5</v>
      </c>
      <c r="D59" s="82" t="s">
        <v>15</v>
      </c>
      <c r="E59" s="160">
        <v>5810</v>
      </c>
      <c r="F59" s="84">
        <f t="shared" si="5"/>
        <v>0.99604130808950087</v>
      </c>
      <c r="G59" s="85">
        <v>5787</v>
      </c>
      <c r="H59" s="84">
        <f t="shared" si="3"/>
        <v>1.1088132118501957</v>
      </c>
      <c r="I59" s="84">
        <f t="shared" si="6"/>
        <v>1.1044237619581898</v>
      </c>
      <c r="J59" s="85">
        <f t="shared" si="4"/>
        <v>7167.4561976434015</v>
      </c>
      <c r="K59" s="222">
        <f>G17</f>
        <v>50.031779615218049</v>
      </c>
      <c r="L59" s="302">
        <v>50.221050796350866</v>
      </c>
      <c r="M59" s="166" t="s">
        <v>15</v>
      </c>
    </row>
    <row r="60" spans="1:13" x14ac:dyDescent="0.2">
      <c r="A60" s="166" t="s">
        <v>10</v>
      </c>
      <c r="B60" s="82" t="s">
        <v>28</v>
      </c>
      <c r="C60" s="82"/>
      <c r="D60" s="82" t="s">
        <v>10</v>
      </c>
      <c r="E60" s="160">
        <v>7034.2</v>
      </c>
      <c r="F60" s="84">
        <f t="shared" si="5"/>
        <v>0.99812345398197377</v>
      </c>
      <c r="G60" s="85">
        <v>7021</v>
      </c>
      <c r="H60" s="84">
        <f t="shared" si="3"/>
        <v>1.1088132118501957</v>
      </c>
      <c r="I60" s="84">
        <f t="shared" si="6"/>
        <v>1.1067324728327632</v>
      </c>
      <c r="J60" s="85">
        <f t="shared" si="4"/>
        <v>8695.8199349670485</v>
      </c>
      <c r="K60" s="222">
        <f>G20</f>
        <v>50.031779615218049</v>
      </c>
      <c r="L60" s="302">
        <v>50.221050796350866</v>
      </c>
      <c r="M60" s="166" t="s">
        <v>10</v>
      </c>
    </row>
    <row r="61" spans="1:13" x14ac:dyDescent="0.2">
      <c r="A61" s="166" t="s">
        <v>8</v>
      </c>
      <c r="B61" s="82" t="s">
        <v>28</v>
      </c>
      <c r="C61" s="82" t="s">
        <v>33</v>
      </c>
      <c r="D61" s="82" t="s">
        <v>8</v>
      </c>
      <c r="E61" s="160">
        <v>9420</v>
      </c>
      <c r="F61" s="84">
        <f t="shared" si="5"/>
        <v>1.0107218683651804</v>
      </c>
      <c r="G61" s="85">
        <v>9521</v>
      </c>
      <c r="H61" s="84">
        <f t="shared" si="3"/>
        <v>1.1088132118501957</v>
      </c>
      <c r="I61" s="84">
        <f t="shared" si="6"/>
        <v>1.1207017611492263</v>
      </c>
      <c r="J61" s="85">
        <f t="shared" si="4"/>
        <v>11792.18082905872</v>
      </c>
      <c r="K61" s="222">
        <f>G30</f>
        <v>57.162779293717207</v>
      </c>
      <c r="L61" s="302">
        <v>57.357146584344036</v>
      </c>
      <c r="M61" s="166" t="s">
        <v>8</v>
      </c>
    </row>
    <row r="62" spans="1:13" x14ac:dyDescent="0.2">
      <c r="A62" s="166" t="s">
        <v>18</v>
      </c>
      <c r="B62" s="82" t="s">
        <v>28</v>
      </c>
      <c r="C62" s="82" t="s">
        <v>33</v>
      </c>
      <c r="D62" s="82"/>
      <c r="E62" s="160">
        <v>390</v>
      </c>
      <c r="F62" s="84">
        <f t="shared" si="5"/>
        <v>0.99487179487179489</v>
      </c>
      <c r="G62" s="85">
        <v>388</v>
      </c>
      <c r="H62" s="84">
        <f t="shared" si="3"/>
        <v>1.1088132118501957</v>
      </c>
      <c r="I62" s="84">
        <f>H62*F62</f>
        <v>1.1031269902509639</v>
      </c>
      <c r="J62" s="85">
        <f>E62*I62*$B$6</f>
        <v>480.55521076302745</v>
      </c>
      <c r="K62" s="222">
        <f>G15</f>
        <v>57.162779293717207</v>
      </c>
      <c r="L62" s="302">
        <v>57.357146584344044</v>
      </c>
      <c r="M62" s="166" t="s">
        <v>18</v>
      </c>
    </row>
    <row r="63" spans="1:13" x14ac:dyDescent="0.2">
      <c r="A63" s="88" t="s">
        <v>65</v>
      </c>
      <c r="B63" s="17"/>
      <c r="C63" s="25"/>
      <c r="D63" s="25"/>
      <c r="E63" s="161">
        <f>SUM(E42:E62)</f>
        <v>119690.70000000001</v>
      </c>
      <c r="F63" s="162"/>
      <c r="G63" s="163">
        <f>SUM(G42:G62)</f>
        <v>121200.1</v>
      </c>
      <c r="H63" s="58"/>
      <c r="I63" s="58"/>
      <c r="J63" s="164">
        <f>SUM(J42:J62)</f>
        <v>150111.70000000001</v>
      </c>
      <c r="K63" s="234"/>
      <c r="L63" s="307" t="s">
        <v>24</v>
      </c>
      <c r="M63" s="307"/>
    </row>
    <row r="64" spans="1:13" x14ac:dyDescent="0.2">
      <c r="A64" s="88" t="s">
        <v>165</v>
      </c>
      <c r="B64" s="25"/>
      <c r="C64" s="25"/>
      <c r="D64" s="25"/>
      <c r="E64" s="25"/>
      <c r="F64" s="25"/>
      <c r="G64" s="95" t="s">
        <v>24</v>
      </c>
      <c r="H64" s="25"/>
      <c r="I64" s="25"/>
      <c r="J64" s="25"/>
      <c r="K64" s="25"/>
      <c r="L64" s="308"/>
      <c r="M64" s="308"/>
    </row>
    <row r="65" spans="1:13" x14ac:dyDescent="0.2">
      <c r="A65" s="263" t="s">
        <v>166</v>
      </c>
      <c r="B65" s="200"/>
      <c r="C65" s="200"/>
      <c r="D65" s="200"/>
      <c r="E65" s="200"/>
      <c r="F65" s="200"/>
      <c r="G65" s="200"/>
      <c r="H65" s="200"/>
      <c r="I65" s="200"/>
      <c r="J65" s="200"/>
      <c r="K65" s="200"/>
      <c r="L65" s="308"/>
      <c r="M65" s="308"/>
    </row>
  </sheetData>
  <mergeCells count="1">
    <mergeCell ref="L28:L3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G79"/>
  <sheetViews>
    <sheetView zoomScaleNormal="100" workbookViewId="0"/>
  </sheetViews>
  <sheetFormatPr defaultRowHeight="12.75" x14ac:dyDescent="0.2"/>
  <cols>
    <col min="1" max="42" width="16.7109375" customWidth="1"/>
  </cols>
  <sheetData>
    <row r="1" spans="1:29" ht="18.75" x14ac:dyDescent="0.3">
      <c r="A1" s="97" t="s">
        <v>322</v>
      </c>
      <c r="B1" s="285"/>
      <c r="C1" s="285" t="s">
        <v>24</v>
      </c>
      <c r="D1" s="285"/>
      <c r="E1" s="285"/>
      <c r="F1" s="391" t="s">
        <v>24</v>
      </c>
      <c r="G1" s="285"/>
      <c r="H1" s="285"/>
      <c r="I1" s="285"/>
      <c r="J1" s="285"/>
      <c r="K1" s="285"/>
      <c r="L1" s="285"/>
      <c r="M1" s="285"/>
      <c r="N1" s="285"/>
      <c r="O1" s="285"/>
      <c r="P1" s="285"/>
      <c r="Q1" s="285"/>
      <c r="R1" s="285"/>
      <c r="S1" s="285"/>
      <c r="T1" s="285"/>
      <c r="U1" s="285"/>
      <c r="V1" s="285"/>
      <c r="W1" s="285"/>
      <c r="X1" s="285"/>
      <c r="Y1" s="285"/>
      <c r="Z1" s="285"/>
      <c r="AA1" s="285"/>
      <c r="AB1" s="285"/>
      <c r="AC1" s="285"/>
    </row>
    <row r="2" spans="1:29" ht="18.75" x14ac:dyDescent="0.3">
      <c r="A2" s="1" t="s">
        <v>24</v>
      </c>
      <c r="B2" s="285"/>
      <c r="C2" s="285" t="s">
        <v>24</v>
      </c>
      <c r="D2" s="392" t="s">
        <v>24</v>
      </c>
      <c r="E2" s="393" t="s">
        <v>24</v>
      </c>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1:29" ht="18.75" x14ac:dyDescent="0.3">
      <c r="A3" s="394" t="s">
        <v>60</v>
      </c>
      <c r="B3" s="1"/>
      <c r="C3" s="395" t="s">
        <v>24</v>
      </c>
      <c r="D3" s="351"/>
      <c r="F3" s="351"/>
      <c r="G3" s="353"/>
      <c r="H3" s="353"/>
      <c r="I3" s="353" t="s">
        <v>24</v>
      </c>
      <c r="J3" s="285"/>
      <c r="K3" s="396"/>
      <c r="L3" s="396"/>
      <c r="AC3" s="396"/>
    </row>
    <row r="4" spans="1:29" ht="89.25" x14ac:dyDescent="0.2">
      <c r="A4" s="149" t="s">
        <v>3</v>
      </c>
      <c r="B4" s="167" t="s">
        <v>261</v>
      </c>
      <c r="C4" s="167" t="s">
        <v>262</v>
      </c>
      <c r="D4" s="167" t="s">
        <v>263</v>
      </c>
      <c r="E4" s="149" t="s">
        <v>63</v>
      </c>
      <c r="F4" s="149" t="s">
        <v>264</v>
      </c>
      <c r="G4" s="149" t="s">
        <v>69</v>
      </c>
      <c r="H4" s="149" t="s">
        <v>265</v>
      </c>
      <c r="I4" s="397" t="s">
        <v>266</v>
      </c>
      <c r="J4" s="492"/>
      <c r="M4" s="398"/>
      <c r="N4" s="398"/>
      <c r="O4" s="398"/>
      <c r="P4" s="398"/>
      <c r="Q4" s="398"/>
      <c r="R4" s="398"/>
      <c r="S4" s="398"/>
      <c r="T4" s="398"/>
      <c r="U4" s="398"/>
      <c r="V4" s="398"/>
      <c r="W4" s="398"/>
    </row>
    <row r="5" spans="1:29" x14ac:dyDescent="0.2">
      <c r="A5" s="282" t="s">
        <v>28</v>
      </c>
      <c r="B5" s="399">
        <f>'3rd IA Load Pricing Results'!B14</f>
        <v>67458.556983038783</v>
      </c>
      <c r="C5" s="400">
        <f>'BRA Resource Clearing Results'!F27-'3rdIA Resource Clearing Results'!D26</f>
        <v>65643.3</v>
      </c>
      <c r="D5" s="405">
        <v>1730.6863127494778</v>
      </c>
      <c r="E5" s="102">
        <f>'3rdIA Resource Clearing Results'!D99</f>
        <v>0</v>
      </c>
      <c r="F5" s="40">
        <f>D5-E5</f>
        <v>1730.6863127494778</v>
      </c>
      <c r="G5" s="40">
        <f>'3rd IA ICTRs'!C46</f>
        <v>1174.15189061043</v>
      </c>
      <c r="H5" s="40">
        <f>'3rd IA ICTRs'!C13+'3rd IA ICTRs'!C32</f>
        <v>556.53442213904771</v>
      </c>
      <c r="I5" s="401">
        <f>F5-G5-H5</f>
        <v>0</v>
      </c>
      <c r="J5" s="218"/>
      <c r="K5" s="345"/>
      <c r="M5" s="403"/>
      <c r="N5" s="403"/>
      <c r="O5" s="403"/>
      <c r="P5" s="403"/>
      <c r="Q5" s="403"/>
      <c r="R5" s="403"/>
      <c r="S5" s="403"/>
      <c r="T5" s="403"/>
      <c r="U5" s="403"/>
      <c r="V5" s="403"/>
      <c r="W5" s="403"/>
    </row>
    <row r="6" spans="1:29" x14ac:dyDescent="0.2">
      <c r="A6" s="282" t="s">
        <v>33</v>
      </c>
      <c r="B6" s="399">
        <f>'3rd IA Load Pricing Results'!B15</f>
        <v>36860.318627624896</v>
      </c>
      <c r="C6" s="400">
        <f>'BRA Resource Clearing Results'!F28-'3rdIA Resource Clearing Results'!D27</f>
        <v>31726.2</v>
      </c>
      <c r="D6" s="405">
        <v>5115.6175750448783</v>
      </c>
      <c r="E6" s="102">
        <f>'3rdIA Resource Clearing Results'!D100</f>
        <v>0</v>
      </c>
      <c r="F6" s="404">
        <f t="shared" ref="F6:F16" si="0">D6-E6</f>
        <v>5115.6175750448783</v>
      </c>
      <c r="G6" s="40">
        <f>'3rd IA ICTRs'!D46</f>
        <v>40</v>
      </c>
      <c r="H6" s="40">
        <f>'3rd IA ICTRs'!D13+'3rd IA ICTRs'!D32</f>
        <v>948</v>
      </c>
      <c r="I6" s="401">
        <f t="shared" ref="I6:I16" si="1">F6-G6-H6</f>
        <v>4127.6175750448783</v>
      </c>
      <c r="J6" s="218"/>
      <c r="M6" s="403" t="s">
        <v>24</v>
      </c>
      <c r="N6" s="403"/>
      <c r="O6" s="403"/>
      <c r="P6" s="403"/>
      <c r="Q6" s="403"/>
      <c r="R6" s="403"/>
      <c r="S6" s="403"/>
      <c r="T6" s="403"/>
      <c r="U6" s="403"/>
      <c r="V6" s="403"/>
      <c r="W6" s="403"/>
    </row>
    <row r="7" spans="1:29" x14ac:dyDescent="0.2">
      <c r="A7" s="282" t="s">
        <v>5</v>
      </c>
      <c r="B7" s="399">
        <f>'3rd IA Load Pricing Results'!B16</f>
        <v>14893.49590058094</v>
      </c>
      <c r="C7" s="400">
        <f>'BRA Resource Clearing Results'!F29-'3rdIA Resource Clearing Results'!D28</f>
        <v>8639.1</v>
      </c>
      <c r="D7" s="405">
        <f t="shared" ref="D7:D16" si="2">B7-C7</f>
        <v>6254.3959005809393</v>
      </c>
      <c r="E7" s="102">
        <f>'3rdIA Resource Clearing Results'!D101</f>
        <v>0</v>
      </c>
      <c r="F7" s="404">
        <f t="shared" si="0"/>
        <v>6254.3959005809393</v>
      </c>
      <c r="G7" s="40">
        <f>'3rd IA ICTRs'!E46</f>
        <v>0</v>
      </c>
      <c r="H7" s="40">
        <f>'3rd IA ICTRs'!E13+'3rd IA ICTRs'!E32</f>
        <v>493</v>
      </c>
      <c r="I7" s="401">
        <f t="shared" si="1"/>
        <v>5761.3959005809393</v>
      </c>
      <c r="J7" s="218"/>
      <c r="M7" s="403"/>
      <c r="N7" s="403"/>
      <c r="O7" s="403"/>
      <c r="P7" s="403"/>
      <c r="Q7" s="403"/>
      <c r="R7" s="403"/>
      <c r="S7" s="403"/>
      <c r="T7" s="403"/>
      <c r="U7" s="403"/>
      <c r="V7" s="403"/>
      <c r="W7" s="403"/>
    </row>
    <row r="8" spans="1:29" x14ac:dyDescent="0.2">
      <c r="A8" s="282" t="s">
        <v>40</v>
      </c>
      <c r="B8" s="399">
        <f>'3rd IA Load Pricing Results'!J61</f>
        <v>11792.18082905872</v>
      </c>
      <c r="C8" s="400">
        <f>'3rd IA Load Pricing Results'!C30</f>
        <v>6215.9000000000005</v>
      </c>
      <c r="D8" s="400">
        <v>5576.2808290587191</v>
      </c>
      <c r="E8" s="102">
        <f>IF('3rdIA Resource Clearing Results'!D102+'3rdIA Resource Clearing Results'!D103=0,0,('3rdIA Resource Clearing Results'!D102+'3rdIA Resource Clearing Results'!D103)/L21)</f>
        <v>0</v>
      </c>
      <c r="F8" s="404">
        <f t="shared" si="0"/>
        <v>5576.2808290587191</v>
      </c>
      <c r="G8" s="103">
        <f>'3rd IA ICTRs'!F46+'3rd IA ICTRs'!G46</f>
        <v>1709</v>
      </c>
      <c r="H8" s="36">
        <f>'3rd IA ICTRs'!F13+'3rd IA ICTRs'!F32+'3rd IA ICTRs'!G13+'3rd IA ICTRs'!G32</f>
        <v>1289.4000000000001</v>
      </c>
      <c r="I8" s="401">
        <f>F8-G8-H8</f>
        <v>2577.880829058719</v>
      </c>
      <c r="J8" s="218"/>
      <c r="L8" s="402"/>
      <c r="M8" s="403"/>
      <c r="N8" s="403"/>
      <c r="O8" s="403"/>
      <c r="P8" s="403"/>
      <c r="Q8" s="403"/>
      <c r="R8" s="403"/>
      <c r="S8" s="403"/>
      <c r="T8" s="403"/>
      <c r="U8" s="403"/>
      <c r="V8" s="403"/>
      <c r="W8" s="403"/>
    </row>
    <row r="9" spans="1:29" x14ac:dyDescent="0.2">
      <c r="A9" s="282" t="s">
        <v>38</v>
      </c>
      <c r="B9" s="399">
        <f>'3rd IA Load Pricing Results'!J52</f>
        <v>4590.0453894014936</v>
      </c>
      <c r="C9" s="400">
        <f>'3rd IA Load Pricing Results'!C33</f>
        <v>4876.8999999999987</v>
      </c>
      <c r="D9" s="400">
        <f>B9-C9</f>
        <v>-286.85461059850513</v>
      </c>
      <c r="E9" s="102">
        <v>0</v>
      </c>
      <c r="F9" s="406">
        <f t="shared" si="0"/>
        <v>-286.85461059850513</v>
      </c>
      <c r="G9" s="40">
        <f>'3rd IA ICTRs'!I46</f>
        <v>0</v>
      </c>
      <c r="H9" s="36">
        <f>'3rd IA ICTRs'!I13+'3rd IA ICTRs'!I32</f>
        <v>0</v>
      </c>
      <c r="I9" s="401">
        <f>F9-G9-H9</f>
        <v>-286.85461059850513</v>
      </c>
      <c r="J9" s="218"/>
      <c r="M9" s="403"/>
      <c r="N9" s="403"/>
      <c r="O9" s="403"/>
      <c r="P9" s="403"/>
      <c r="Q9" s="403"/>
      <c r="R9" s="403"/>
      <c r="S9" s="403"/>
      <c r="T9" s="403"/>
      <c r="U9" s="403"/>
      <c r="V9" s="403"/>
      <c r="W9" s="403"/>
    </row>
    <row r="10" spans="1:29" x14ac:dyDescent="0.2">
      <c r="A10" s="282" t="s">
        <v>15</v>
      </c>
      <c r="B10" s="399">
        <f>'3rd IA Load Pricing Results'!B17</f>
        <v>7167.4561976434015</v>
      </c>
      <c r="C10" s="400">
        <f>'BRA Resource Clearing Results'!F33-'3rdIA Resource Clearing Results'!D32</f>
        <v>3411.2000000000003</v>
      </c>
      <c r="D10" s="405">
        <f t="shared" si="2"/>
        <v>3756.2561976434013</v>
      </c>
      <c r="E10" s="102">
        <v>0</v>
      </c>
      <c r="F10" s="40">
        <f t="shared" si="0"/>
        <v>3756.2561976434013</v>
      </c>
      <c r="G10" s="40">
        <f>'3rd IA ICTRs'!J46</f>
        <v>0</v>
      </c>
      <c r="H10" s="40">
        <f>'3rd IA ICTRs'!J13+'3rd IA ICTRs'!J32</f>
        <v>175</v>
      </c>
      <c r="I10" s="401">
        <f>F10-G10-H10</f>
        <v>3581.2561976434013</v>
      </c>
      <c r="J10" s="218"/>
      <c r="M10" s="403"/>
      <c r="N10" s="403"/>
      <c r="O10" s="403"/>
      <c r="P10" s="403"/>
      <c r="Q10" s="403"/>
      <c r="R10" s="403"/>
      <c r="S10" s="403"/>
      <c r="T10" s="403"/>
      <c r="U10" s="403"/>
      <c r="V10" s="403"/>
      <c r="W10" s="403"/>
    </row>
    <row r="11" spans="1:29" x14ac:dyDescent="0.2">
      <c r="A11" s="282" t="s">
        <v>100</v>
      </c>
      <c r="B11" s="399">
        <f>'3rd IA Load Pricing Results'!J45</f>
        <v>14837.76140448729</v>
      </c>
      <c r="C11" s="400">
        <f>'3rd IA Load Pricing Results'!C36</f>
        <v>9895.2000000000007</v>
      </c>
      <c r="D11" s="400">
        <v>4942.5614044872891</v>
      </c>
      <c r="E11" s="102">
        <v>0</v>
      </c>
      <c r="F11" s="40">
        <f t="shared" si="0"/>
        <v>4942.5614044872891</v>
      </c>
      <c r="G11" s="40">
        <v>0</v>
      </c>
      <c r="H11" s="40">
        <v>0</v>
      </c>
      <c r="I11" s="401">
        <f t="shared" si="1"/>
        <v>4942.5614044872891</v>
      </c>
      <c r="J11" s="218"/>
      <c r="M11" s="403"/>
      <c r="N11" s="403"/>
      <c r="O11" s="403"/>
      <c r="P11" s="403"/>
      <c r="Q11" s="403"/>
      <c r="R11" s="403"/>
      <c r="S11" s="403"/>
      <c r="T11" s="403"/>
      <c r="U11" s="403"/>
      <c r="V11" s="403"/>
      <c r="W11" s="403"/>
    </row>
    <row r="12" spans="1:29" x14ac:dyDescent="0.2">
      <c r="A12" s="282" t="s">
        <v>20</v>
      </c>
      <c r="B12" s="399">
        <f>'3rd IA Load Pricing Results'!B18</f>
        <v>23327.982976086652</v>
      </c>
      <c r="C12" s="400">
        <f>'BRA Resource Clearing Results'!F36-'3rdIA Resource Clearing Results'!D35</f>
        <v>25935</v>
      </c>
      <c r="D12" s="405">
        <f t="shared" si="2"/>
        <v>-2607.0170239133477</v>
      </c>
      <c r="E12" s="102">
        <v>0</v>
      </c>
      <c r="F12" s="40">
        <f t="shared" si="0"/>
        <v>-2607.0170239133477</v>
      </c>
      <c r="G12" s="40">
        <f>'3rd IA ICTRs'!N46</f>
        <v>0</v>
      </c>
      <c r="H12" s="40">
        <f>'3rd IA ICTRs'!M13+'3rd IA ICTRs'!M32</f>
        <v>0</v>
      </c>
      <c r="I12" s="401">
        <f t="shared" si="1"/>
        <v>-2607.0170239133477</v>
      </c>
      <c r="J12" s="218"/>
      <c r="M12" s="403"/>
      <c r="N12" s="403"/>
      <c r="O12" s="403"/>
      <c r="P12" s="403"/>
      <c r="Q12" s="403"/>
      <c r="R12" s="403"/>
      <c r="S12" s="403"/>
      <c r="T12" s="403"/>
      <c r="U12" s="403"/>
      <c r="V12" s="403"/>
      <c r="W12" s="403"/>
    </row>
    <row r="13" spans="1:29" x14ac:dyDescent="0.2">
      <c r="A13" s="282" t="s">
        <v>11</v>
      </c>
      <c r="B13" s="399">
        <f>'3rd IA Load Pricing Results'!B19</f>
        <v>7726.039702937539</v>
      </c>
      <c r="C13" s="400">
        <f>'BRA Resource Clearing Results'!F37-'3rdIA Resource Clearing Results'!D36</f>
        <v>2794.7</v>
      </c>
      <c r="D13" s="400">
        <f t="shared" si="2"/>
        <v>4931.3397029375392</v>
      </c>
      <c r="E13" s="102">
        <v>0</v>
      </c>
      <c r="F13" s="40">
        <f t="shared" si="0"/>
        <v>4931.3397029375392</v>
      </c>
      <c r="G13" s="40">
        <f>'3rd IA ICTRs'!K46</f>
        <v>65.7</v>
      </c>
      <c r="H13" s="40">
        <f>'3rd IA ICTRs'!K13+'3rd IA ICTRs'!K32</f>
        <v>306</v>
      </c>
      <c r="I13" s="401">
        <f t="shared" si="1"/>
        <v>4559.6397029375394</v>
      </c>
      <c r="J13" s="218"/>
      <c r="M13" s="403"/>
      <c r="N13" s="403"/>
      <c r="O13" s="403"/>
      <c r="P13" s="403"/>
      <c r="Q13" s="403"/>
      <c r="R13" s="403"/>
      <c r="S13" s="403"/>
      <c r="T13" s="403"/>
      <c r="U13" s="403"/>
      <c r="V13" s="403"/>
      <c r="W13" s="403"/>
    </row>
    <row r="14" spans="1:29" x14ac:dyDescent="0.2">
      <c r="A14" s="282" t="s">
        <v>10</v>
      </c>
      <c r="B14" s="399">
        <f>'3rd IA Load Pricing Results'!B20</f>
        <v>8695.8199349670485</v>
      </c>
      <c r="C14" s="400">
        <f>'BRA Resource Clearing Results'!F38-'3rdIA Resource Clearing Results'!D37</f>
        <v>10303.400000000001</v>
      </c>
      <c r="D14" s="400">
        <f t="shared" si="2"/>
        <v>-1607.5800650329529</v>
      </c>
      <c r="E14" s="102">
        <v>0</v>
      </c>
      <c r="F14" s="40">
        <f t="shared" si="0"/>
        <v>-1607.5800650329529</v>
      </c>
      <c r="G14" s="40">
        <v>0</v>
      </c>
      <c r="H14" s="40">
        <v>0</v>
      </c>
      <c r="I14" s="401">
        <f t="shared" si="1"/>
        <v>-1607.5800650329529</v>
      </c>
      <c r="J14" s="218"/>
      <c r="M14" s="403"/>
      <c r="N14" s="403"/>
      <c r="O14" s="403"/>
      <c r="P14" s="403"/>
      <c r="Q14" s="403"/>
      <c r="R14" s="403"/>
      <c r="S14" s="403"/>
      <c r="T14" s="403"/>
      <c r="U14" s="403"/>
      <c r="V14" s="403"/>
      <c r="W14" s="403"/>
    </row>
    <row r="15" spans="1:29" x14ac:dyDescent="0.2">
      <c r="A15" s="104" t="s">
        <v>21</v>
      </c>
      <c r="B15" s="399">
        <f>'3rd IA Load Pricing Results'!B21</f>
        <v>3880.3594724756827</v>
      </c>
      <c r="C15" s="400">
        <f>'BRA Resource Clearing Results'!F39-'3rdIA Resource Clearing Results'!D38</f>
        <v>992.6</v>
      </c>
      <c r="D15" s="400">
        <f t="shared" si="2"/>
        <v>2887.7594724756827</v>
      </c>
      <c r="E15" s="102">
        <v>0</v>
      </c>
      <c r="F15" s="40">
        <f t="shared" si="0"/>
        <v>2887.7594724756827</v>
      </c>
      <c r="G15" s="40">
        <v>0</v>
      </c>
      <c r="H15" s="40">
        <v>0</v>
      </c>
      <c r="I15" s="401">
        <f t="shared" si="1"/>
        <v>2887.7594724756827</v>
      </c>
      <c r="J15" s="218"/>
      <c r="M15" s="403"/>
      <c r="N15" s="403"/>
      <c r="O15" s="403"/>
      <c r="P15" s="403"/>
      <c r="Q15" s="403"/>
      <c r="R15" s="403"/>
      <c r="S15" s="403"/>
      <c r="T15" s="403"/>
      <c r="U15" s="403"/>
      <c r="V15" s="403"/>
      <c r="W15" s="403"/>
    </row>
    <row r="16" spans="1:29" x14ac:dyDescent="0.2">
      <c r="A16" s="407" t="s">
        <v>50</v>
      </c>
      <c r="B16" s="399">
        <f>'3rd IA Load Pricing Results'!B22</f>
        <v>5254.4005828378022</v>
      </c>
      <c r="C16" s="400">
        <f>'BRA Resource Clearing Results'!F40-'3rdIA Resource Clearing Results'!D39</f>
        <v>2010.6</v>
      </c>
      <c r="D16" s="400">
        <f t="shared" si="2"/>
        <v>3243.8005828378023</v>
      </c>
      <c r="E16" s="102">
        <v>0</v>
      </c>
      <c r="F16" s="40">
        <f t="shared" si="0"/>
        <v>3243.8005828378023</v>
      </c>
      <c r="G16" s="40">
        <f>'3rd IA ICTRs'!L46</f>
        <v>155</v>
      </c>
      <c r="H16" s="40">
        <f>'3rd IA ICTRs'!L13+'3rd IA ICTRs'!L32</f>
        <v>0</v>
      </c>
      <c r="I16" s="401">
        <f t="shared" si="1"/>
        <v>3088.8005828378023</v>
      </c>
      <c r="J16" s="218"/>
      <c r="M16" s="403"/>
      <c r="N16" s="403"/>
      <c r="O16" s="403"/>
      <c r="P16" s="403"/>
      <c r="Q16" s="403"/>
      <c r="R16" s="403"/>
      <c r="S16" s="403"/>
      <c r="T16" s="403" t="s">
        <v>24</v>
      </c>
      <c r="U16" s="403"/>
      <c r="V16" s="403"/>
      <c r="W16" s="403"/>
    </row>
    <row r="17" spans="1:33" x14ac:dyDescent="0.2">
      <c r="A17" s="15" t="s">
        <v>267</v>
      </c>
      <c r="B17" s="25"/>
      <c r="C17" s="25"/>
      <c r="D17" s="47"/>
      <c r="E17" s="17"/>
      <c r="F17" s="47"/>
      <c r="G17" s="48"/>
      <c r="H17" s="408"/>
      <c r="I17" s="48"/>
      <c r="J17" s="374"/>
      <c r="K17" s="382"/>
      <c r="N17" s="403"/>
      <c r="O17" s="403"/>
      <c r="P17" s="403"/>
      <c r="Q17" s="403"/>
      <c r="R17" s="403"/>
      <c r="S17" s="403"/>
      <c r="T17" s="403" t="s">
        <v>24</v>
      </c>
      <c r="U17" s="403"/>
      <c r="V17" s="403"/>
      <c r="W17" s="403"/>
      <c r="X17" s="403"/>
      <c r="Y17" s="403"/>
      <c r="Z17" s="403"/>
      <c r="AA17" s="403"/>
      <c r="AB17" s="403"/>
    </row>
    <row r="18" spans="1:33" x14ac:dyDescent="0.2">
      <c r="A18" s="409"/>
      <c r="B18" s="10"/>
      <c r="C18" s="10"/>
      <c r="D18" s="383"/>
      <c r="E18" s="10"/>
      <c r="F18" s="383"/>
      <c r="G18" s="410"/>
      <c r="H18" s="411"/>
      <c r="I18" s="410"/>
      <c r="J18" s="374"/>
      <c r="K18" s="382"/>
      <c r="N18" s="403"/>
      <c r="O18" s="403"/>
      <c r="P18" s="403"/>
      <c r="Q18" s="403"/>
      <c r="R18" s="403"/>
      <c r="S18" s="403"/>
      <c r="T18" s="403"/>
      <c r="U18" s="403"/>
      <c r="V18" s="403"/>
      <c r="W18" s="403"/>
      <c r="X18" s="403"/>
      <c r="Y18" s="403"/>
      <c r="Z18" s="403"/>
      <c r="AA18" s="403"/>
      <c r="AB18" s="403"/>
    </row>
    <row r="19" spans="1:33" ht="14.25" x14ac:dyDescent="0.2">
      <c r="A19" s="555" t="s">
        <v>76</v>
      </c>
      <c r="B19" s="555"/>
      <c r="C19" s="555"/>
      <c r="D19" s="555"/>
      <c r="E19" s="412"/>
      <c r="F19" s="413"/>
      <c r="G19" s="413"/>
      <c r="H19" s="413"/>
      <c r="I19" s="413"/>
      <c r="J19" s="413"/>
      <c r="K19" s="413"/>
      <c r="L19" s="413"/>
      <c r="M19" s="413"/>
      <c r="N19" s="413"/>
      <c r="O19" s="413"/>
      <c r="P19" s="413"/>
      <c r="Q19" s="413"/>
      <c r="R19" s="413"/>
      <c r="S19" s="413"/>
      <c r="T19" s="413"/>
      <c r="U19" s="413"/>
      <c r="V19" s="413"/>
      <c r="W19" s="414" t="s">
        <v>24</v>
      </c>
      <c r="X19" s="413"/>
      <c r="Y19" s="413"/>
      <c r="Z19" s="413"/>
      <c r="AA19" s="413"/>
      <c r="AB19" s="413"/>
      <c r="AC19" s="413"/>
    </row>
    <row r="20" spans="1:33" ht="15" x14ac:dyDescent="0.25">
      <c r="A20" s="555"/>
      <c r="B20" s="555"/>
      <c r="C20" s="555"/>
      <c r="D20" s="555"/>
      <c r="E20" s="577" t="s">
        <v>28</v>
      </c>
      <c r="F20" s="577"/>
      <c r="G20" s="577" t="s">
        <v>33</v>
      </c>
      <c r="H20" s="577"/>
      <c r="I20" s="577" t="s">
        <v>5</v>
      </c>
      <c r="J20" s="577"/>
      <c r="K20" s="577" t="s">
        <v>40</v>
      </c>
      <c r="L20" s="577"/>
      <c r="M20" s="577" t="s">
        <v>38</v>
      </c>
      <c r="N20" s="577"/>
      <c r="O20" s="577" t="s">
        <v>15</v>
      </c>
      <c r="P20" s="577"/>
      <c r="Q20" s="577" t="s">
        <v>100</v>
      </c>
      <c r="R20" s="577"/>
      <c r="S20" s="577" t="s">
        <v>20</v>
      </c>
      <c r="T20" s="577"/>
      <c r="U20" s="577" t="s">
        <v>11</v>
      </c>
      <c r="V20" s="577"/>
      <c r="W20" s="577" t="s">
        <v>10</v>
      </c>
      <c r="X20" s="578"/>
      <c r="Y20" s="575" t="s">
        <v>21</v>
      </c>
      <c r="Z20" s="575"/>
      <c r="AA20" s="575" t="s">
        <v>50</v>
      </c>
      <c r="AB20" s="575"/>
      <c r="AC20" s="415"/>
      <c r="AD20" s="415"/>
      <c r="AE20" s="415"/>
      <c r="AF20" s="15"/>
    </row>
    <row r="21" spans="1:33" ht="45" x14ac:dyDescent="0.25">
      <c r="A21" s="579"/>
      <c r="B21" s="579"/>
      <c r="C21" s="579"/>
      <c r="D21" s="579"/>
      <c r="E21" s="416" t="s">
        <v>268</v>
      </c>
      <c r="F21" s="417">
        <f>'3rd IA Load Pricing Results'!D14</f>
        <v>20.601456675700337</v>
      </c>
      <c r="G21" s="416" t="s">
        <v>268</v>
      </c>
      <c r="H21" s="417">
        <f>'3rd IA Load Pricing Results'!D15-'3rd IA Load Pricing Results'!D14</f>
        <v>7.1309996784991583</v>
      </c>
      <c r="I21" s="416" t="s">
        <v>268</v>
      </c>
      <c r="J21" s="417">
        <f>'3rd IA Load Pricing Results'!D16-'3rd IA Load Pricing Results'!D14</f>
        <v>0</v>
      </c>
      <c r="K21" s="416" t="s">
        <v>268</v>
      </c>
      <c r="L21" s="417">
        <f>'3rd IA Load Pricing Results'!D31</f>
        <v>0</v>
      </c>
      <c r="M21" s="416" t="s">
        <v>268</v>
      </c>
      <c r="N21" s="417">
        <f>'3rd IA Load Pricing Results'!D33</f>
        <v>110.65792716684783</v>
      </c>
      <c r="O21" s="416" t="s">
        <v>268</v>
      </c>
      <c r="P21" s="417">
        <f>'3rd IA Load Pricing Results'!D17-'3rd IA Load Pricing Results'!D16</f>
        <v>0</v>
      </c>
      <c r="Q21" s="416" t="s">
        <v>268</v>
      </c>
      <c r="R21" s="418">
        <f>'3rd IA Load Pricing Results'!D37</f>
        <v>0</v>
      </c>
      <c r="S21" s="416" t="s">
        <v>268</v>
      </c>
      <c r="T21" s="418">
        <f>'3rd IA Load Pricing Results'!D18</f>
        <v>0</v>
      </c>
      <c r="U21" s="416" t="s">
        <v>268</v>
      </c>
      <c r="V21" s="418">
        <f>'3rd IA Load Pricing Results'!D19-'3rd IA Load Pricing Results'!D16</f>
        <v>25.790787919991413</v>
      </c>
      <c r="W21" s="416" t="s">
        <v>268</v>
      </c>
      <c r="X21" s="419">
        <f>'3rd IA Load Pricing Results'!D20-'3rd IA Load Pricing Results'!D14</f>
        <v>0</v>
      </c>
      <c r="Y21" s="416" t="s">
        <v>268</v>
      </c>
      <c r="Z21" s="418">
        <f>'3rd IA Load Pricing Results'!D21</f>
        <v>0</v>
      </c>
      <c r="AA21" s="416" t="s">
        <v>268</v>
      </c>
      <c r="AB21" s="418">
        <f>'3rd IA Load Pricing Results'!D22</f>
        <v>68.974037600716201</v>
      </c>
      <c r="AC21" s="420"/>
      <c r="AD21" s="415"/>
      <c r="AE21" s="415"/>
      <c r="AF21" s="15"/>
    </row>
    <row r="22" spans="1:33" ht="76.5" x14ac:dyDescent="0.2">
      <c r="A22" s="421" t="s">
        <v>7</v>
      </c>
      <c r="B22" s="174" t="s">
        <v>27</v>
      </c>
      <c r="C22" s="174" t="s">
        <v>26</v>
      </c>
      <c r="D22" s="174" t="s">
        <v>31</v>
      </c>
      <c r="E22" s="174" t="s">
        <v>269</v>
      </c>
      <c r="F22" s="174" t="s">
        <v>270</v>
      </c>
      <c r="G22" s="174" t="s">
        <v>269</v>
      </c>
      <c r="H22" s="174" t="s">
        <v>270</v>
      </c>
      <c r="I22" s="174" t="s">
        <v>269</v>
      </c>
      <c r="J22" s="174" t="s">
        <v>270</v>
      </c>
      <c r="K22" s="174" t="s">
        <v>269</v>
      </c>
      <c r="L22" s="174" t="s">
        <v>270</v>
      </c>
      <c r="M22" s="174" t="s">
        <v>269</v>
      </c>
      <c r="N22" s="174" t="s">
        <v>270</v>
      </c>
      <c r="O22" s="174" t="s">
        <v>269</v>
      </c>
      <c r="P22" s="174" t="s">
        <v>270</v>
      </c>
      <c r="Q22" s="174" t="s">
        <v>269</v>
      </c>
      <c r="R22" s="174" t="s">
        <v>270</v>
      </c>
      <c r="S22" s="174" t="s">
        <v>269</v>
      </c>
      <c r="T22" s="174" t="s">
        <v>270</v>
      </c>
      <c r="U22" s="174" t="s">
        <v>269</v>
      </c>
      <c r="V22" s="174" t="s">
        <v>270</v>
      </c>
      <c r="W22" s="174" t="s">
        <v>269</v>
      </c>
      <c r="X22" s="422" t="s">
        <v>270</v>
      </c>
      <c r="Y22" s="174" t="s">
        <v>269</v>
      </c>
      <c r="Z22" s="422" t="s">
        <v>270</v>
      </c>
      <c r="AA22" s="174" t="s">
        <v>269</v>
      </c>
      <c r="AB22" s="422" t="s">
        <v>270</v>
      </c>
      <c r="AC22" s="174" t="s">
        <v>271</v>
      </c>
      <c r="AD22" s="174" t="s">
        <v>272</v>
      </c>
      <c r="AE22" s="423" t="s">
        <v>273</v>
      </c>
      <c r="AF22" s="423" t="s">
        <v>274</v>
      </c>
      <c r="AG22" s="421" t="s">
        <v>7</v>
      </c>
    </row>
    <row r="23" spans="1:33" x14ac:dyDescent="0.2">
      <c r="A23" s="16" t="s">
        <v>16</v>
      </c>
      <c r="B23" s="82" t="s">
        <v>28</v>
      </c>
      <c r="C23" s="82" t="s">
        <v>33</v>
      </c>
      <c r="D23" s="82"/>
      <c r="E23" s="424">
        <f>IF(B23="MAAC",ROUND($I$5*'3rd IA Load Pricing Results'!J42/'3rd IA Load Pricing Results'!$B$14,1),0)</f>
        <v>0</v>
      </c>
      <c r="F23" s="425">
        <f>E23*$F$21</f>
        <v>0</v>
      </c>
      <c r="G23" s="424">
        <f>IF(C23="EMAAC",$I$6*'3rd IA Load Pricing Results'!J42/'3rd IA Load Pricing Results'!$B$15,0)</f>
        <v>325.92659189393714</v>
      </c>
      <c r="H23" s="425">
        <f>G23*$H$21</f>
        <v>2324.182422009992</v>
      </c>
      <c r="I23" s="424">
        <f>IF(C23="SWMAAC",$I$7*'3rd IA Load Pricing Results'!J42/'3rd IA Load Pricing Results'!$B$16,0)</f>
        <v>0</v>
      </c>
      <c r="J23" s="425">
        <f>I23*$J$21</f>
        <v>0</v>
      </c>
      <c r="K23" s="424">
        <f>IF(D23="PS",$I$8*'3rd IA Load Pricing Results'!J42/'3rd IA Load Pricing Results'!$J$61,0)</f>
        <v>0</v>
      </c>
      <c r="L23" s="425">
        <f>K23*$L$21</f>
        <v>0</v>
      </c>
      <c r="M23" s="424">
        <f>IF(D23="DPL",$I$9*'3rd IA Load Pricing Results'!J42/'3rd IA Load Pricing Results'!$J$52,0)</f>
        <v>0</v>
      </c>
      <c r="N23" s="425">
        <f>M23*$N$21</f>
        <v>0</v>
      </c>
      <c r="O23" s="424">
        <f>IF(D23="PEPCO",$I$10*'3rd IA Load Pricing Results'!J42/'3rd IA Load Pricing Results'!$J$59,0)</f>
        <v>0</v>
      </c>
      <c r="P23" s="425">
        <f>O23*$P$21</f>
        <v>0</v>
      </c>
      <c r="Q23" s="424">
        <f>IF(D23="ATSI",$I$11*'3rd IA Load Pricing Results'!J42/'3rd IA Load Pricing Results'!$J$45,0)</f>
        <v>0</v>
      </c>
      <c r="R23" s="425">
        <f>Q23*$R$21</f>
        <v>0</v>
      </c>
      <c r="S23" s="424">
        <f>IF(D23="COMED",$I$12*'3rd IA Load Pricing Results'!J42/'3rd IA Load Pricing Results'!$J$47,0)</f>
        <v>0</v>
      </c>
      <c r="T23" s="425">
        <f>S23*$T$21</f>
        <v>0</v>
      </c>
      <c r="U23" s="424">
        <f>IF(D23="BGE",$I$13*'3rd IA Load Pricing Results'!J42/'3rd IA Load Pricing Results'!$J$46,0)</f>
        <v>0</v>
      </c>
      <c r="V23" s="425">
        <f>U23*$V$21</f>
        <v>0</v>
      </c>
      <c r="W23" s="424">
        <f>IF(D23="PL",$I$14*'3rd IA Load Pricing Results'!J42/'3rd IA Load Pricing Results'!$J$60,0)</f>
        <v>0</v>
      </c>
      <c r="X23" s="426">
        <f>W23*$X$21</f>
        <v>0</v>
      </c>
      <c r="Y23" s="424">
        <f>IF(D23="DAYTON",$I$15*'3rd IA Load Pricing Results'!J42/'3rd IA Load Pricing Results'!$J$48,0)</f>
        <v>0</v>
      </c>
      <c r="Z23" s="427">
        <f>Y23*$Z$21</f>
        <v>0</v>
      </c>
      <c r="AA23" s="424">
        <f>IF(D23="DEOK",$I$16*'3rd IA Load Pricing Results'!J42/'3rd IA Load Pricing Results'!$J$49,0)</f>
        <v>0</v>
      </c>
      <c r="AB23" s="427">
        <f>AA23*$AB$21</f>
        <v>0</v>
      </c>
      <c r="AC23" s="428">
        <f>MAX(ABS(E23),ABS(G23),ABS(I23),ABS(K23),ABS(M23),ABS(O23),ABS(Q23),ABS(S23),ABS(U23),ABS(W23),ABS(Y23),ABS(AA23))</f>
        <v>325.92659189393714</v>
      </c>
      <c r="AD23" s="24">
        <f>F23+H23+J23+L23+N23+P23+R23+T23+V23+X23+Z23+AB23</f>
        <v>2324.182422009992</v>
      </c>
      <c r="AE23" s="139">
        <f>AD23/'3rd IA Load Pricing Results'!J42</f>
        <v>0.79852916894085701</v>
      </c>
      <c r="AF23" s="139">
        <f>IF(AC23=0,0,AD23/AC23)</f>
        <v>7.1309996784991583</v>
      </c>
      <c r="AG23" s="82" t="s">
        <v>16</v>
      </c>
    </row>
    <row r="24" spans="1:33" x14ac:dyDescent="0.2">
      <c r="A24" s="16" t="s">
        <v>29</v>
      </c>
      <c r="B24" s="82"/>
      <c r="C24" s="82"/>
      <c r="D24" s="82"/>
      <c r="E24" s="424">
        <f>IF(B24="MAAC",ROUND($I$5*'3rd IA Load Pricing Results'!J43/'3rd IA Load Pricing Results'!$B$14,1),0)</f>
        <v>0</v>
      </c>
      <c r="F24" s="425">
        <f t="shared" ref="F24:F43" si="3">E24*$F$21</f>
        <v>0</v>
      </c>
      <c r="G24" s="424">
        <f>IF(C24="EMAAC",$I$6*'3rd IA Load Pricing Results'!J43/'3rd IA Load Pricing Results'!$B$15,0)</f>
        <v>0</v>
      </c>
      <c r="H24" s="425">
        <f t="shared" ref="H24:H43" si="4">G24*$H$21</f>
        <v>0</v>
      </c>
      <c r="I24" s="424">
        <f>IF(C24="SWMAAC",$I$7*'3rd IA Load Pricing Results'!J43/'3rd IA Load Pricing Results'!$B$16,0)</f>
        <v>0</v>
      </c>
      <c r="J24" s="425">
        <f t="shared" ref="J24:J43" si="5">I24*$J$21</f>
        <v>0</v>
      </c>
      <c r="K24" s="424">
        <f>IF(D24="PS",$I$8*'3rd IA Load Pricing Results'!J43/'3rd IA Load Pricing Results'!$J$61,0)</f>
        <v>0</v>
      </c>
      <c r="L24" s="425">
        <f t="shared" ref="L24:L43" si="6">K24*$L$21</f>
        <v>0</v>
      </c>
      <c r="M24" s="424">
        <f>IF(D24="DPL",$I$9*'3rd IA Load Pricing Results'!J43/'3rd IA Load Pricing Results'!$J$52,0)</f>
        <v>0</v>
      </c>
      <c r="N24" s="425">
        <f t="shared" ref="N24:N43" si="7">M24*$N$21</f>
        <v>0</v>
      </c>
      <c r="O24" s="424">
        <f>IF(D24="PEPCO",$I$10*'3rd IA Load Pricing Results'!J43/'3rd IA Load Pricing Results'!$J$59,0)</f>
        <v>0</v>
      </c>
      <c r="P24" s="425">
        <f t="shared" ref="P24:P43" si="8">O24*$P$21</f>
        <v>0</v>
      </c>
      <c r="Q24" s="424">
        <f>IF(D24="ATSI",$I$11*'3rd IA Load Pricing Results'!J43/'3rd IA Load Pricing Results'!$J$45,0)</f>
        <v>0</v>
      </c>
      <c r="R24" s="425">
        <f t="shared" ref="R24:R43" si="9">Q24*$R$21</f>
        <v>0</v>
      </c>
      <c r="S24" s="424">
        <f>IF(D24="COMED",$I$12*'3rd IA Load Pricing Results'!J43/'3rd IA Load Pricing Results'!$J$47,0)</f>
        <v>0</v>
      </c>
      <c r="T24" s="425">
        <f t="shared" ref="T24:T43" si="10">S24*$T$21</f>
        <v>0</v>
      </c>
      <c r="U24" s="424">
        <f>IF(D24="BGE",$I$13*'3rd IA Load Pricing Results'!J43/'3rd IA Load Pricing Results'!$J$46,0)</f>
        <v>0</v>
      </c>
      <c r="V24" s="425">
        <f t="shared" ref="V24:V43" si="11">U24*$V$21</f>
        <v>0</v>
      </c>
      <c r="W24" s="424">
        <f>IF(D24="PL",$I$14*'3rd IA Load Pricing Results'!J43/'3rd IA Load Pricing Results'!$J$60,0)</f>
        <v>0</v>
      </c>
      <c r="X24" s="426">
        <f t="shared" ref="X24:X43" si="12">W24*$X$21</f>
        <v>0</v>
      </c>
      <c r="Y24" s="424">
        <f>IF(D24="DAYTON",$I$15*'3rd IA Load Pricing Results'!J43/'3rd IA Load Pricing Results'!$J$48,0)</f>
        <v>0</v>
      </c>
      <c r="Z24" s="427">
        <f t="shared" ref="Z24:Z43" si="13">Y24*$Z$21</f>
        <v>0</v>
      </c>
      <c r="AA24" s="424">
        <f>IF(D24="DEOK",$I$16*'3rd IA Load Pricing Results'!J43/'3rd IA Load Pricing Results'!$J$49,0)</f>
        <v>0</v>
      </c>
      <c r="AB24" s="427">
        <f t="shared" ref="AB24:AB43" si="14">AA24*$AB$21</f>
        <v>0</v>
      </c>
      <c r="AC24" s="428">
        <f t="shared" ref="AC24:AC42" si="15">MAX(ABS(E24),ABS(G24),ABS(I24),ABS(K24),ABS(M24),ABS(O24),ABS(Q24),ABS(S24),ABS(U24),ABS(W24),ABS(Y24),ABS(AA24))</f>
        <v>0</v>
      </c>
      <c r="AD24" s="24">
        <f t="shared" ref="AD24:AD42" si="16">F24+H24+J24+L24+N24+P24+R24+T24+V24+X24+Z24+AB24</f>
        <v>0</v>
      </c>
      <c r="AE24" s="139">
        <f>AD24/'3rd IA Load Pricing Results'!J43</f>
        <v>0</v>
      </c>
      <c r="AF24" s="139">
        <f>IF(AC24=0,0,AD24/AC24)</f>
        <v>0</v>
      </c>
      <c r="AG24" s="82" t="s">
        <v>29</v>
      </c>
    </row>
    <row r="25" spans="1:33" x14ac:dyDescent="0.2">
      <c r="A25" s="16" t="s">
        <v>19</v>
      </c>
      <c r="B25" s="82" t="s">
        <v>24</v>
      </c>
      <c r="C25" s="82"/>
      <c r="D25" s="82"/>
      <c r="E25" s="424">
        <f>IF(B25="MAAC",ROUND($I$5*'3rd IA Load Pricing Results'!J44/'3rd IA Load Pricing Results'!$B$14,1),0)</f>
        <v>0</v>
      </c>
      <c r="F25" s="425">
        <f t="shared" si="3"/>
        <v>0</v>
      </c>
      <c r="G25" s="424">
        <f>IF(C25="EMAAC",$I$6*'3rd IA Load Pricing Results'!J44/'3rd IA Load Pricing Results'!$B$15,0)</f>
        <v>0</v>
      </c>
      <c r="H25" s="425">
        <f t="shared" si="4"/>
        <v>0</v>
      </c>
      <c r="I25" s="424">
        <f>IF(C25="SWMAAC",$I$7*'3rd IA Load Pricing Results'!J44/'3rd IA Load Pricing Results'!$B$16,0)</f>
        <v>0</v>
      </c>
      <c r="J25" s="425">
        <f t="shared" si="5"/>
        <v>0</v>
      </c>
      <c r="K25" s="424">
        <f>IF(D25="PS",$I$8*'3rd IA Load Pricing Results'!J44/'3rd IA Load Pricing Results'!$J$61,0)</f>
        <v>0</v>
      </c>
      <c r="L25" s="425">
        <f t="shared" si="6"/>
        <v>0</v>
      </c>
      <c r="M25" s="424">
        <f>IF(D25="DPL",$I$9*'3rd IA Load Pricing Results'!J44/'3rd IA Load Pricing Results'!$J$52,0)</f>
        <v>0</v>
      </c>
      <c r="N25" s="425">
        <f t="shared" si="7"/>
        <v>0</v>
      </c>
      <c r="O25" s="424">
        <f>IF(D25="PEPCO",$I$10*'3rd IA Load Pricing Results'!J44/'3rd IA Load Pricing Results'!$J$59,0)</f>
        <v>0</v>
      </c>
      <c r="P25" s="425">
        <f t="shared" si="8"/>
        <v>0</v>
      </c>
      <c r="Q25" s="424">
        <f>IF(D25="ATSI",$I$11*'3rd IA Load Pricing Results'!J44/'3rd IA Load Pricing Results'!$J$45,0)</f>
        <v>0</v>
      </c>
      <c r="R25" s="425">
        <f t="shared" si="9"/>
        <v>0</v>
      </c>
      <c r="S25" s="424">
        <f>IF(D25="COMED",$I$12*'3rd IA Load Pricing Results'!J44/'3rd IA Load Pricing Results'!$J$47,0)</f>
        <v>0</v>
      </c>
      <c r="T25" s="425">
        <f t="shared" si="10"/>
        <v>0</v>
      </c>
      <c r="U25" s="424">
        <f>IF(D25="BGE",$I$13*'3rd IA Load Pricing Results'!J44/'3rd IA Load Pricing Results'!$J$46,0)</f>
        <v>0</v>
      </c>
      <c r="V25" s="425">
        <f t="shared" si="11"/>
        <v>0</v>
      </c>
      <c r="W25" s="424">
        <f>IF(D25="PL",$I$14*'3rd IA Load Pricing Results'!J44/'3rd IA Load Pricing Results'!$J$60,0)</f>
        <v>0</v>
      </c>
      <c r="X25" s="426">
        <f t="shared" si="12"/>
        <v>0</v>
      </c>
      <c r="Y25" s="424">
        <f>IF(D25="DAYTON",$I$15*'3rd IA Load Pricing Results'!J44/'3rd IA Load Pricing Results'!$J$48,0)</f>
        <v>0</v>
      </c>
      <c r="Z25" s="427">
        <f t="shared" si="13"/>
        <v>0</v>
      </c>
      <c r="AA25" s="424">
        <f>IF(D25="DEOK",$I$16*'3rd IA Load Pricing Results'!J44/'3rd IA Load Pricing Results'!$J$49,0)</f>
        <v>0</v>
      </c>
      <c r="AB25" s="427">
        <f t="shared" si="14"/>
        <v>0</v>
      </c>
      <c r="AC25" s="428">
        <f t="shared" si="15"/>
        <v>0</v>
      </c>
      <c r="AD25" s="24">
        <f t="shared" si="16"/>
        <v>0</v>
      </c>
      <c r="AE25" s="139">
        <f>AD25/'3rd IA Load Pricing Results'!J44</f>
        <v>0</v>
      </c>
      <c r="AF25" s="139">
        <f t="shared" ref="AF25:AF43" si="17">IF(AC25=0,0,AD25/AC25)</f>
        <v>0</v>
      </c>
      <c r="AG25" s="82" t="s">
        <v>19</v>
      </c>
    </row>
    <row r="26" spans="1:33" x14ac:dyDescent="0.2">
      <c r="A26" s="16" t="s">
        <v>43</v>
      </c>
      <c r="B26" s="82"/>
      <c r="C26" s="82"/>
      <c r="D26" s="82" t="s">
        <v>43</v>
      </c>
      <c r="E26" s="424">
        <f>IF(B26="MAAC",ROUND($I$5*'3rd IA Load Pricing Results'!J45/'3rd IA Load Pricing Results'!$B$14,1),0)</f>
        <v>0</v>
      </c>
      <c r="F26" s="425">
        <f t="shared" si="3"/>
        <v>0</v>
      </c>
      <c r="G26" s="424">
        <f>IF(C26="EMAAC",$I$6*'3rd IA Load Pricing Results'!J45/'3rd IA Load Pricing Results'!$B$15,0)</f>
        <v>0</v>
      </c>
      <c r="H26" s="425">
        <f t="shared" si="4"/>
        <v>0</v>
      </c>
      <c r="I26" s="424">
        <f>IF(C26="SWMAAC",$I$7*'3rd IA Load Pricing Results'!J45/'3rd IA Load Pricing Results'!$B$16,0)</f>
        <v>0</v>
      </c>
      <c r="J26" s="425">
        <f t="shared" si="5"/>
        <v>0</v>
      </c>
      <c r="K26" s="424">
        <f>IF(D26="PS",$I$8*'3rd IA Load Pricing Results'!J45/'3rd IA Load Pricing Results'!$J$61,0)</f>
        <v>0</v>
      </c>
      <c r="L26" s="425">
        <f t="shared" si="6"/>
        <v>0</v>
      </c>
      <c r="M26" s="424">
        <f>IF(D26="DPL",$I$9*'3rd IA Load Pricing Results'!J45/'3rd IA Load Pricing Results'!$J$52,0)</f>
        <v>0</v>
      </c>
      <c r="N26" s="425">
        <f t="shared" si="7"/>
        <v>0</v>
      </c>
      <c r="O26" s="424">
        <f>IF(D26="PEPCO",$I$10*'3rd IA Load Pricing Results'!J45/'3rd IA Load Pricing Results'!$J$59,0)</f>
        <v>0</v>
      </c>
      <c r="P26" s="425">
        <f t="shared" si="8"/>
        <v>0</v>
      </c>
      <c r="Q26" s="424">
        <f>IF(D26="ATSI",$I$11*'3rd IA Load Pricing Results'!J45/'3rd IA Load Pricing Results'!$J$45,0)</f>
        <v>4942.56140448729</v>
      </c>
      <c r="R26" s="425">
        <f t="shared" si="9"/>
        <v>0</v>
      </c>
      <c r="S26" s="424">
        <f>IF(D26="COMED",$I$12*'3rd IA Load Pricing Results'!J45/'3rd IA Load Pricing Results'!$J$47,0)</f>
        <v>0</v>
      </c>
      <c r="T26" s="425">
        <f t="shared" si="10"/>
        <v>0</v>
      </c>
      <c r="U26" s="424">
        <f>IF(D26="BGE",$I$13*'3rd IA Load Pricing Results'!J45/'3rd IA Load Pricing Results'!$J$46,0)</f>
        <v>0</v>
      </c>
      <c r="V26" s="425">
        <f t="shared" si="11"/>
        <v>0</v>
      </c>
      <c r="W26" s="424">
        <f>IF(D26="PL",$I$14*'3rd IA Load Pricing Results'!J45/'3rd IA Load Pricing Results'!$J$60,0)</f>
        <v>0</v>
      </c>
      <c r="X26" s="426">
        <f t="shared" si="12"/>
        <v>0</v>
      </c>
      <c r="Y26" s="424">
        <f>IF(D26="DAYTON",$I$15*'3rd IA Load Pricing Results'!J45/'3rd IA Load Pricing Results'!$J$48,0)</f>
        <v>0</v>
      </c>
      <c r="Z26" s="427">
        <f t="shared" si="13"/>
        <v>0</v>
      </c>
      <c r="AA26" s="424">
        <f>IF(D26="DEOK",$I$16*'3rd IA Load Pricing Results'!J45/'3rd IA Load Pricing Results'!$J$49,0)</f>
        <v>0</v>
      </c>
      <c r="AB26" s="427">
        <f t="shared" si="14"/>
        <v>0</v>
      </c>
      <c r="AC26" s="428">
        <f t="shared" si="15"/>
        <v>4942.56140448729</v>
      </c>
      <c r="AD26" s="24">
        <f t="shared" si="16"/>
        <v>0</v>
      </c>
      <c r="AE26" s="139">
        <f>AD26/'3rd IA Load Pricing Results'!J45</f>
        <v>0</v>
      </c>
      <c r="AF26" s="139">
        <f>IF(AC26=0,0,AD26/AC26)</f>
        <v>0</v>
      </c>
      <c r="AG26" s="82" t="s">
        <v>43</v>
      </c>
    </row>
    <row r="27" spans="1:33" x14ac:dyDescent="0.2">
      <c r="A27" s="16" t="s">
        <v>11</v>
      </c>
      <c r="B27" s="82" t="s">
        <v>28</v>
      </c>
      <c r="C27" s="82" t="s">
        <v>5</v>
      </c>
      <c r="D27" s="82" t="s">
        <v>11</v>
      </c>
      <c r="E27" s="424">
        <f>IF(B27="MAAC",ROUND($I$5*'3rd IA Load Pricing Results'!J46/'3rd IA Load Pricing Results'!$B$14,1),0)</f>
        <v>0</v>
      </c>
      <c r="F27" s="425">
        <f t="shared" si="3"/>
        <v>0</v>
      </c>
      <c r="G27" s="424">
        <f>IF(C27="EMAAC",$I$6*'3rd IA Load Pricing Results'!J46/'3rd IA Load Pricing Results'!$B$15,0)</f>
        <v>0</v>
      </c>
      <c r="H27" s="425">
        <f t="shared" si="4"/>
        <v>0</v>
      </c>
      <c r="I27" s="424">
        <f>IF(C27="SWMAAC",$I$7*'3rd IA Load Pricing Results'!J46/'3rd IA Load Pricing Results'!$B$16,0)</f>
        <v>2988.7390958689311</v>
      </c>
      <c r="J27" s="425">
        <f t="shared" si="5"/>
        <v>0</v>
      </c>
      <c r="K27" s="424">
        <f>IF(D27="PS",$I$8*'3rd IA Load Pricing Results'!J46/'3rd IA Load Pricing Results'!$J$61,0)</f>
        <v>0</v>
      </c>
      <c r="L27" s="425">
        <f t="shared" si="6"/>
        <v>0</v>
      </c>
      <c r="M27" s="424">
        <f>IF(D27="DPL",$I$9*'3rd IA Load Pricing Results'!J46/'3rd IA Load Pricing Results'!$J$52,0)</f>
        <v>0</v>
      </c>
      <c r="N27" s="425">
        <f t="shared" si="7"/>
        <v>0</v>
      </c>
      <c r="O27" s="424">
        <f>IF(D27="PEPCO",$I$10*'3rd IA Load Pricing Results'!J46/'3rd IA Load Pricing Results'!$J$59,0)</f>
        <v>0</v>
      </c>
      <c r="P27" s="425">
        <f t="shared" si="8"/>
        <v>0</v>
      </c>
      <c r="Q27" s="424">
        <f>IF(D27="ATSI",$I$11*'3rd IA Load Pricing Results'!J46/'3rd IA Load Pricing Results'!$J$45,0)</f>
        <v>0</v>
      </c>
      <c r="R27" s="425">
        <f t="shared" si="9"/>
        <v>0</v>
      </c>
      <c r="S27" s="424">
        <f>IF(D27="COMED",$I$12*'3rd IA Load Pricing Results'!J46/'3rd IA Load Pricing Results'!$J$47,0)</f>
        <v>0</v>
      </c>
      <c r="T27" s="425">
        <f t="shared" si="10"/>
        <v>0</v>
      </c>
      <c r="U27" s="424">
        <f>IF(D27="BGE",$I$13*'3rd IA Load Pricing Results'!J46/'3rd IA Load Pricing Results'!$J$46,0)</f>
        <v>4559.6397029375394</v>
      </c>
      <c r="V27" s="425">
        <f t="shared" si="11"/>
        <v>117596.70057003472</v>
      </c>
      <c r="W27" s="424">
        <f>IF(D27="PL",$I$14*'3rd IA Load Pricing Results'!J46/'3rd IA Load Pricing Results'!$J$60,0)</f>
        <v>0</v>
      </c>
      <c r="X27" s="426">
        <f t="shared" si="12"/>
        <v>0</v>
      </c>
      <c r="Y27" s="424">
        <f>IF(D27="DAYTON",$I$15*'3rd IA Load Pricing Results'!J46/'3rd IA Load Pricing Results'!$J$48,0)</f>
        <v>0</v>
      </c>
      <c r="Z27" s="427">
        <f t="shared" si="13"/>
        <v>0</v>
      </c>
      <c r="AA27" s="424">
        <f>IF(D27="DEOK",$I$16*'3rd IA Load Pricing Results'!J46/'3rd IA Load Pricing Results'!$J$49,0)</f>
        <v>0</v>
      </c>
      <c r="AB27" s="427">
        <f t="shared" si="14"/>
        <v>0</v>
      </c>
      <c r="AC27" s="428">
        <f t="shared" si="15"/>
        <v>4559.6397029375394</v>
      </c>
      <c r="AD27" s="24">
        <f t="shared" si="16"/>
        <v>117596.70057003472</v>
      </c>
      <c r="AE27" s="139">
        <f>AD27/'3rd IA Load Pricing Results'!J46</f>
        <v>15.220825298803856</v>
      </c>
      <c r="AF27" s="139">
        <f>IF(AC27=0,0,AD27/AC27)</f>
        <v>25.790787919991413</v>
      </c>
      <c r="AG27" s="82" t="s">
        <v>11</v>
      </c>
    </row>
    <row r="28" spans="1:33" x14ac:dyDescent="0.2">
      <c r="A28" s="16" t="s">
        <v>20</v>
      </c>
      <c r="B28" s="82"/>
      <c r="C28" s="82"/>
      <c r="D28" s="82" t="s">
        <v>20</v>
      </c>
      <c r="E28" s="424">
        <f>IF(B28="MAAC",ROUND($I$5*'3rd IA Load Pricing Results'!J47/'3rd IA Load Pricing Results'!$B$14,1),0)</f>
        <v>0</v>
      </c>
      <c r="F28" s="425">
        <f t="shared" si="3"/>
        <v>0</v>
      </c>
      <c r="G28" s="424">
        <f>IF(C28="EMAAC",$I$6*'3rd IA Load Pricing Results'!J47/'3rd IA Load Pricing Results'!$B$15,0)</f>
        <v>0</v>
      </c>
      <c r="H28" s="425">
        <f t="shared" si="4"/>
        <v>0</v>
      </c>
      <c r="I28" s="424">
        <f>IF(C28="SWMAAC",$I$7*'3rd IA Load Pricing Results'!J47/'3rd IA Load Pricing Results'!$B$16,0)</f>
        <v>0</v>
      </c>
      <c r="J28" s="425">
        <f t="shared" si="5"/>
        <v>0</v>
      </c>
      <c r="K28" s="424">
        <f>IF(D28="PS",$I$8*'3rd IA Load Pricing Results'!J47/'3rd IA Load Pricing Results'!$J$61,0)</f>
        <v>0</v>
      </c>
      <c r="L28" s="425">
        <f t="shared" si="6"/>
        <v>0</v>
      </c>
      <c r="M28" s="424">
        <f>IF(D28="DPL",$I$9*'3rd IA Load Pricing Results'!J47/'3rd IA Load Pricing Results'!$J$52,0)</f>
        <v>0</v>
      </c>
      <c r="N28" s="425">
        <f t="shared" si="7"/>
        <v>0</v>
      </c>
      <c r="O28" s="424">
        <f>IF(D28="PEPCO",$I$10*'3rd IA Load Pricing Results'!J47/'3rd IA Load Pricing Results'!$J$59,0)</f>
        <v>0</v>
      </c>
      <c r="P28" s="425">
        <f t="shared" si="8"/>
        <v>0</v>
      </c>
      <c r="Q28" s="424">
        <f>IF(D28="ATSI",$I$11*'3rd IA Load Pricing Results'!J47/'3rd IA Load Pricing Results'!$J$45,0)</f>
        <v>0</v>
      </c>
      <c r="R28" s="425">
        <f t="shared" si="9"/>
        <v>0</v>
      </c>
      <c r="S28" s="424">
        <f>IF(D28="COMED",$I$12*'3rd IA Load Pricing Results'!J47/'3rd IA Load Pricing Results'!$J$47,0)</f>
        <v>-2607.0170239133477</v>
      </c>
      <c r="T28" s="425">
        <f t="shared" si="10"/>
        <v>0</v>
      </c>
      <c r="U28" s="424">
        <f>IF(D28="BGE",$I$13*'3rd IA Load Pricing Results'!J47/'3rd IA Load Pricing Results'!$J$46,0)</f>
        <v>0</v>
      </c>
      <c r="V28" s="425">
        <f t="shared" si="11"/>
        <v>0</v>
      </c>
      <c r="W28" s="424">
        <f>IF(D28="PL",$I$14*'3rd IA Load Pricing Results'!J47/'3rd IA Load Pricing Results'!$J$60,0)</f>
        <v>0</v>
      </c>
      <c r="X28" s="426">
        <f t="shared" si="12"/>
        <v>0</v>
      </c>
      <c r="Y28" s="424">
        <f>IF(D28="DAYTON",$I$15*'3rd IA Load Pricing Results'!J47/'3rd IA Load Pricing Results'!$J$48,0)</f>
        <v>0</v>
      </c>
      <c r="Z28" s="427">
        <f t="shared" si="13"/>
        <v>0</v>
      </c>
      <c r="AA28" s="424">
        <f>IF(D28="DEOK",$I$16*'3rd IA Load Pricing Results'!J47/'3rd IA Load Pricing Results'!$J$49,0)</f>
        <v>0</v>
      </c>
      <c r="AB28" s="427">
        <f t="shared" si="14"/>
        <v>0</v>
      </c>
      <c r="AC28" s="428">
        <f t="shared" si="15"/>
        <v>2607.0170239133477</v>
      </c>
      <c r="AD28" s="24">
        <f t="shared" si="16"/>
        <v>0</v>
      </c>
      <c r="AE28" s="139">
        <f>AD28/'3rd IA Load Pricing Results'!J47</f>
        <v>0</v>
      </c>
      <c r="AF28" s="139">
        <f t="shared" si="17"/>
        <v>0</v>
      </c>
      <c r="AG28" s="82" t="s">
        <v>20</v>
      </c>
    </row>
    <row r="29" spans="1:33" x14ac:dyDescent="0.2">
      <c r="A29" s="16" t="s">
        <v>21</v>
      </c>
      <c r="B29" s="82"/>
      <c r="C29" s="82"/>
      <c r="D29" s="82" t="s">
        <v>21</v>
      </c>
      <c r="E29" s="424">
        <f>IF(B29="MAAC",ROUND($I$5*'3rd IA Load Pricing Results'!J48/'3rd IA Load Pricing Results'!$B$14,1),0)</f>
        <v>0</v>
      </c>
      <c r="F29" s="425">
        <f t="shared" si="3"/>
        <v>0</v>
      </c>
      <c r="G29" s="424">
        <f>IF(C29="EMAAC",$I$6*'3rd IA Load Pricing Results'!J48/'3rd IA Load Pricing Results'!$B$15,0)</f>
        <v>0</v>
      </c>
      <c r="H29" s="425">
        <f t="shared" si="4"/>
        <v>0</v>
      </c>
      <c r="I29" s="424">
        <f>IF(C29="SWMAAC",$I$7*'3rd IA Load Pricing Results'!J48/'3rd IA Load Pricing Results'!$B$16,0)</f>
        <v>0</v>
      </c>
      <c r="J29" s="425">
        <f t="shared" si="5"/>
        <v>0</v>
      </c>
      <c r="K29" s="424">
        <f>IF(D29="PS",$I$8*'3rd IA Load Pricing Results'!J48/'3rd IA Load Pricing Results'!$J$61,0)</f>
        <v>0</v>
      </c>
      <c r="L29" s="425">
        <f t="shared" si="6"/>
        <v>0</v>
      </c>
      <c r="M29" s="424">
        <f>IF(D29="DPL",$I$9*'3rd IA Load Pricing Results'!J48/'3rd IA Load Pricing Results'!$J$52,0)</f>
        <v>0</v>
      </c>
      <c r="N29" s="425">
        <f t="shared" si="7"/>
        <v>0</v>
      </c>
      <c r="O29" s="424">
        <f>IF(D29="PEPCO",$I$10*'3rd IA Load Pricing Results'!J48/'3rd IA Load Pricing Results'!$J$59,0)</f>
        <v>0</v>
      </c>
      <c r="P29" s="425">
        <f t="shared" si="8"/>
        <v>0</v>
      </c>
      <c r="Q29" s="424">
        <f>IF(D29="ATSI",$I$11*'3rd IA Load Pricing Results'!J48/'3rd IA Load Pricing Results'!$J$45,0)</f>
        <v>0</v>
      </c>
      <c r="R29" s="425">
        <f t="shared" si="9"/>
        <v>0</v>
      </c>
      <c r="S29" s="424">
        <f>IF(D29="COMED",$I$12*'3rd IA Load Pricing Results'!J48/'3rd IA Load Pricing Results'!$J$47,0)</f>
        <v>0</v>
      </c>
      <c r="T29" s="425">
        <f t="shared" si="10"/>
        <v>0</v>
      </c>
      <c r="U29" s="424">
        <f>IF(D29="BGE",$I$13*'3rd IA Load Pricing Results'!J48/'3rd IA Load Pricing Results'!$J$46,0)</f>
        <v>0</v>
      </c>
      <c r="V29" s="425">
        <f t="shared" si="11"/>
        <v>0</v>
      </c>
      <c r="W29" s="424">
        <f>IF(D29="PL",$I$14*'3rd IA Load Pricing Results'!J48/'3rd IA Load Pricing Results'!$J$60,0)</f>
        <v>0</v>
      </c>
      <c r="X29" s="426">
        <f t="shared" si="12"/>
        <v>0</v>
      </c>
      <c r="Y29" s="424">
        <f>IF(D29="DAYTON",$I$15*'3rd IA Load Pricing Results'!J48/'3rd IA Load Pricing Results'!$J$48,0)</f>
        <v>2887.7594724756827</v>
      </c>
      <c r="Z29" s="427">
        <f t="shared" si="13"/>
        <v>0</v>
      </c>
      <c r="AA29" s="424">
        <f>IF(D29="DEOK",$I$16*'3rd IA Load Pricing Results'!J48/'3rd IA Load Pricing Results'!$J$49,0)</f>
        <v>0</v>
      </c>
      <c r="AB29" s="427">
        <f t="shared" si="14"/>
        <v>0</v>
      </c>
      <c r="AC29" s="428">
        <f t="shared" si="15"/>
        <v>2887.7594724756827</v>
      </c>
      <c r="AD29" s="24">
        <f t="shared" si="16"/>
        <v>0</v>
      </c>
      <c r="AE29" s="139">
        <f>AD29/'3rd IA Load Pricing Results'!J48</f>
        <v>0</v>
      </c>
      <c r="AF29" s="139">
        <f t="shared" si="17"/>
        <v>0</v>
      </c>
      <c r="AG29" s="82" t="s">
        <v>21</v>
      </c>
    </row>
    <row r="30" spans="1:33" x14ac:dyDescent="0.2">
      <c r="A30" s="16" t="s">
        <v>50</v>
      </c>
      <c r="B30" s="82"/>
      <c r="C30" s="82"/>
      <c r="D30" s="82" t="s">
        <v>50</v>
      </c>
      <c r="E30" s="424">
        <f>IF(B30="MAAC",ROUND($I$5*'3rd IA Load Pricing Results'!J49/'3rd IA Load Pricing Results'!$B$14,1),0)</f>
        <v>0</v>
      </c>
      <c r="F30" s="425">
        <f t="shared" si="3"/>
        <v>0</v>
      </c>
      <c r="G30" s="424">
        <f>IF(C30="EMAAC",$I$6*'3rd IA Load Pricing Results'!J49/'3rd IA Load Pricing Results'!$B$15,0)</f>
        <v>0</v>
      </c>
      <c r="H30" s="425">
        <f t="shared" si="4"/>
        <v>0</v>
      </c>
      <c r="I30" s="424">
        <f>IF(C30="SWMAAC",$I$7*'3rd IA Load Pricing Results'!J49/'3rd IA Load Pricing Results'!$B$16,0)</f>
        <v>0</v>
      </c>
      <c r="J30" s="425">
        <f t="shared" si="5"/>
        <v>0</v>
      </c>
      <c r="K30" s="424">
        <f>IF(D30="PS",$I$8*'3rd IA Load Pricing Results'!J49/'3rd IA Load Pricing Results'!$J$61,0)</f>
        <v>0</v>
      </c>
      <c r="L30" s="425">
        <f t="shared" si="6"/>
        <v>0</v>
      </c>
      <c r="M30" s="424">
        <f>IF(D30="DPL",$I$9*'3rd IA Load Pricing Results'!J49/'3rd IA Load Pricing Results'!$J$52,0)</f>
        <v>0</v>
      </c>
      <c r="N30" s="425">
        <f t="shared" si="7"/>
        <v>0</v>
      </c>
      <c r="O30" s="424">
        <f>IF(D30="PEPCO",$I$10*'3rd IA Load Pricing Results'!J49/'3rd IA Load Pricing Results'!$J$59,0)</f>
        <v>0</v>
      </c>
      <c r="P30" s="425">
        <f t="shared" si="8"/>
        <v>0</v>
      </c>
      <c r="Q30" s="424">
        <f>IF(D30="ATSI",$I$11*'3rd IA Load Pricing Results'!J49/'3rd IA Load Pricing Results'!$J$45,0)</f>
        <v>0</v>
      </c>
      <c r="R30" s="425">
        <f t="shared" si="9"/>
        <v>0</v>
      </c>
      <c r="S30" s="424">
        <f>IF(D30="COMED",$I$12*'3rd IA Load Pricing Results'!J49/'3rd IA Load Pricing Results'!$J$47,0)</f>
        <v>0</v>
      </c>
      <c r="T30" s="425">
        <f t="shared" si="10"/>
        <v>0</v>
      </c>
      <c r="U30" s="424">
        <f>IF(D30="BGE",$I$13*'3rd IA Load Pricing Results'!J49/'3rd IA Load Pricing Results'!$J$46,0)</f>
        <v>0</v>
      </c>
      <c r="V30" s="425">
        <f t="shared" si="11"/>
        <v>0</v>
      </c>
      <c r="W30" s="424">
        <f>IF(D30="PL",$I$14*'3rd IA Load Pricing Results'!J49/'3rd IA Load Pricing Results'!$J$60,0)</f>
        <v>0</v>
      </c>
      <c r="X30" s="426">
        <f t="shared" si="12"/>
        <v>0</v>
      </c>
      <c r="Y30" s="424">
        <f>IF(D30="DAYTON",$I$15*'3rd IA Load Pricing Results'!J49/'3rd IA Load Pricing Results'!$J$48,0)</f>
        <v>0</v>
      </c>
      <c r="Z30" s="427">
        <f t="shared" si="13"/>
        <v>0</v>
      </c>
      <c r="AA30" s="424">
        <f>IF(D30="DEOK",$I$16*'3rd IA Load Pricing Results'!J49/'3rd IA Load Pricing Results'!$J$49,0)</f>
        <v>3088.8005828378023</v>
      </c>
      <c r="AB30" s="427">
        <f t="shared" si="14"/>
        <v>213047.0475417687</v>
      </c>
      <c r="AC30" s="428">
        <f t="shared" si="15"/>
        <v>3088.8005828378023</v>
      </c>
      <c r="AD30" s="24">
        <f t="shared" si="16"/>
        <v>213047.0475417687</v>
      </c>
      <c r="AE30" s="139">
        <f>AD30/'3rd IA Load Pricing Results'!J49</f>
        <v>40.546403758714952</v>
      </c>
      <c r="AF30" s="139">
        <f>IF(AC30=0,0,AD30/AC30)</f>
        <v>68.974037600716201</v>
      </c>
      <c r="AG30" s="82" t="s">
        <v>50</v>
      </c>
    </row>
    <row r="31" spans="1:33" x14ac:dyDescent="0.2">
      <c r="A31" s="16" t="s">
        <v>42</v>
      </c>
      <c r="B31" s="82"/>
      <c r="C31" s="82"/>
      <c r="D31" s="82"/>
      <c r="E31" s="424">
        <f>IF(B31="MAAC",ROUND($I$5*'3rd IA Load Pricing Results'!J50/'3rd IA Load Pricing Results'!$B$14,1),0)</f>
        <v>0</v>
      </c>
      <c r="F31" s="425">
        <f t="shared" si="3"/>
        <v>0</v>
      </c>
      <c r="G31" s="424">
        <f>IF(C31="EMAAC",$I$6*'3rd IA Load Pricing Results'!J50/'3rd IA Load Pricing Results'!$B$15,0)</f>
        <v>0</v>
      </c>
      <c r="H31" s="425">
        <f t="shared" si="4"/>
        <v>0</v>
      </c>
      <c r="I31" s="424">
        <f>IF(C31="SWMAAC",$I$7*'3rd IA Load Pricing Results'!J50/'3rd IA Load Pricing Results'!$B$16,0)</f>
        <v>0</v>
      </c>
      <c r="J31" s="425">
        <f t="shared" si="5"/>
        <v>0</v>
      </c>
      <c r="K31" s="424">
        <f>IF(D31="PS",$I$8*'3rd IA Load Pricing Results'!J50/'3rd IA Load Pricing Results'!$J$61,0)</f>
        <v>0</v>
      </c>
      <c r="L31" s="425">
        <f t="shared" si="6"/>
        <v>0</v>
      </c>
      <c r="M31" s="424">
        <f>IF(D31="DPL",$I$9*'3rd IA Load Pricing Results'!J50/'3rd IA Load Pricing Results'!$J$52,0)</f>
        <v>0</v>
      </c>
      <c r="N31" s="425">
        <f t="shared" si="7"/>
        <v>0</v>
      </c>
      <c r="O31" s="424">
        <f>IF(D31="PEPCO",$I$10*'3rd IA Load Pricing Results'!J50/'3rd IA Load Pricing Results'!$J$59,0)</f>
        <v>0</v>
      </c>
      <c r="P31" s="425">
        <f t="shared" si="8"/>
        <v>0</v>
      </c>
      <c r="Q31" s="424">
        <f>IF(D31="ATSI",$I$11*'3rd IA Load Pricing Results'!J50/'3rd IA Load Pricing Results'!$J$45,0)</f>
        <v>0</v>
      </c>
      <c r="R31" s="425">
        <f t="shared" si="9"/>
        <v>0</v>
      </c>
      <c r="S31" s="424">
        <f>IF(D31="COMED",$I$12*'3rd IA Load Pricing Results'!J50/'3rd IA Load Pricing Results'!$J$47,0)</f>
        <v>0</v>
      </c>
      <c r="T31" s="425">
        <f t="shared" si="10"/>
        <v>0</v>
      </c>
      <c r="U31" s="424">
        <f>IF(D31="BGE",$I$13*'3rd IA Load Pricing Results'!J50/'3rd IA Load Pricing Results'!$J$46,0)</f>
        <v>0</v>
      </c>
      <c r="V31" s="425">
        <f t="shared" si="11"/>
        <v>0</v>
      </c>
      <c r="W31" s="424">
        <f>IF(D31="PL",$I$14*'3rd IA Load Pricing Results'!J50/'3rd IA Load Pricing Results'!$J$60,0)</f>
        <v>0</v>
      </c>
      <c r="X31" s="426">
        <f t="shared" si="12"/>
        <v>0</v>
      </c>
      <c r="Y31" s="424">
        <f>IF(D31="DAYTON",$I$15*'3rd IA Load Pricing Results'!J50/'3rd IA Load Pricing Results'!$J$48,0)</f>
        <v>0</v>
      </c>
      <c r="Z31" s="427">
        <f t="shared" si="13"/>
        <v>0</v>
      </c>
      <c r="AA31" s="424">
        <f>IF(D31="DEOK",$I$16*'3rd IA Load Pricing Results'!J50/'3rd IA Load Pricing Results'!$J$49,0)</f>
        <v>0</v>
      </c>
      <c r="AB31" s="427">
        <f t="shared" si="14"/>
        <v>0</v>
      </c>
      <c r="AC31" s="428">
        <f t="shared" si="15"/>
        <v>0</v>
      </c>
      <c r="AD31" s="24">
        <f t="shared" si="16"/>
        <v>0</v>
      </c>
      <c r="AE31" s="139">
        <f>AD31/'3rd IA Load Pricing Results'!J50</f>
        <v>0</v>
      </c>
      <c r="AF31" s="139">
        <f t="shared" si="17"/>
        <v>0</v>
      </c>
      <c r="AG31" s="82" t="s">
        <v>42</v>
      </c>
    </row>
    <row r="32" spans="1:33" x14ac:dyDescent="0.2">
      <c r="A32" s="16" t="s">
        <v>30</v>
      </c>
      <c r="B32" s="82"/>
      <c r="C32" s="82"/>
      <c r="D32" s="82"/>
      <c r="E32" s="424">
        <f>IF(B32="MAAC",ROUND($I$5*'3rd IA Load Pricing Results'!J51/'3rd IA Load Pricing Results'!$B$14,1),0)</f>
        <v>0</v>
      </c>
      <c r="F32" s="425">
        <f t="shared" si="3"/>
        <v>0</v>
      </c>
      <c r="G32" s="424">
        <f>IF(C32="EMAAC",$I$6*'3rd IA Load Pricing Results'!J51/'3rd IA Load Pricing Results'!$B$15,0)</f>
        <v>0</v>
      </c>
      <c r="H32" s="425">
        <f t="shared" si="4"/>
        <v>0</v>
      </c>
      <c r="I32" s="424">
        <f>IF(C32="SWMAAC",$I$7*'3rd IA Load Pricing Results'!J51/'3rd IA Load Pricing Results'!$B$16,0)</f>
        <v>0</v>
      </c>
      <c r="J32" s="425">
        <f t="shared" si="5"/>
        <v>0</v>
      </c>
      <c r="K32" s="424">
        <f>IF(D32="PS",$I$8*'3rd IA Load Pricing Results'!J51/'3rd IA Load Pricing Results'!$J$61,0)</f>
        <v>0</v>
      </c>
      <c r="L32" s="425">
        <f t="shared" si="6"/>
        <v>0</v>
      </c>
      <c r="M32" s="424">
        <f>IF(D32="DPL",$I$9*'3rd IA Load Pricing Results'!J51/'3rd IA Load Pricing Results'!$J$52,0)</f>
        <v>0</v>
      </c>
      <c r="N32" s="425">
        <f t="shared" si="7"/>
        <v>0</v>
      </c>
      <c r="O32" s="424">
        <f>IF(D32="PEPCO",$I$10*'3rd IA Load Pricing Results'!J51/'3rd IA Load Pricing Results'!$J$59,0)</f>
        <v>0</v>
      </c>
      <c r="P32" s="425">
        <f t="shared" si="8"/>
        <v>0</v>
      </c>
      <c r="Q32" s="424">
        <f>IF(D32="ATSI",$I$11*'3rd IA Load Pricing Results'!J51/'3rd IA Load Pricing Results'!$J$45,0)</f>
        <v>0</v>
      </c>
      <c r="R32" s="425">
        <f t="shared" si="9"/>
        <v>0</v>
      </c>
      <c r="S32" s="424">
        <f>IF(D32="COMED",$I$12*'3rd IA Load Pricing Results'!J51/'3rd IA Load Pricing Results'!$J$47,0)</f>
        <v>0</v>
      </c>
      <c r="T32" s="425">
        <f t="shared" si="10"/>
        <v>0</v>
      </c>
      <c r="U32" s="424">
        <f>IF(D32="BGE",$I$13*'3rd IA Load Pricing Results'!J51/'3rd IA Load Pricing Results'!$J$46,0)</f>
        <v>0</v>
      </c>
      <c r="V32" s="425">
        <f t="shared" si="11"/>
        <v>0</v>
      </c>
      <c r="W32" s="424">
        <f>IF(D32="PL",$I$14*'3rd IA Load Pricing Results'!J51/'3rd IA Load Pricing Results'!$J$60,0)</f>
        <v>0</v>
      </c>
      <c r="X32" s="426">
        <f t="shared" si="12"/>
        <v>0</v>
      </c>
      <c r="Y32" s="424">
        <f>IF(D32="DAYTON",$I$15*'3rd IA Load Pricing Results'!J51/'3rd IA Load Pricing Results'!$J$48,0)</f>
        <v>0</v>
      </c>
      <c r="Z32" s="427">
        <f t="shared" si="13"/>
        <v>0</v>
      </c>
      <c r="AA32" s="424">
        <f>IF(D32="DEOK",$I$16*'3rd IA Load Pricing Results'!J51/'3rd IA Load Pricing Results'!$J$49,0)</f>
        <v>0</v>
      </c>
      <c r="AB32" s="427">
        <f t="shared" si="14"/>
        <v>0</v>
      </c>
      <c r="AC32" s="428">
        <f t="shared" si="15"/>
        <v>0</v>
      </c>
      <c r="AD32" s="24">
        <f t="shared" si="16"/>
        <v>0</v>
      </c>
      <c r="AE32" s="139">
        <f>AD32/'3rd IA Load Pricing Results'!J51</f>
        <v>0</v>
      </c>
      <c r="AF32" s="139">
        <f t="shared" si="17"/>
        <v>0</v>
      </c>
      <c r="AG32" s="82" t="s">
        <v>30</v>
      </c>
    </row>
    <row r="33" spans="1:33" x14ac:dyDescent="0.2">
      <c r="A33" s="16" t="s">
        <v>17</v>
      </c>
      <c r="B33" s="82" t="s">
        <v>28</v>
      </c>
      <c r="C33" s="82" t="s">
        <v>33</v>
      </c>
      <c r="D33" s="82" t="s">
        <v>17</v>
      </c>
      <c r="E33" s="424">
        <f>IF(B33="MAAC",ROUND($I$5*'3rd IA Load Pricing Results'!J52/'3rd IA Load Pricing Results'!$B$14,1),0)</f>
        <v>0</v>
      </c>
      <c r="F33" s="425">
        <f t="shared" si="3"/>
        <v>0</v>
      </c>
      <c r="G33" s="424">
        <f>IF(C33="EMAAC",$I$6*'3rd IA Load Pricing Results'!J52/'3rd IA Load Pricing Results'!$B$15,0)</f>
        <v>513.99317002507701</v>
      </c>
      <c r="H33" s="425">
        <f t="shared" si="4"/>
        <v>3665.2851301995875</v>
      </c>
      <c r="I33" s="424">
        <f>IF(C33="SWMAAC",$I$7*'3rd IA Load Pricing Results'!J52/'3rd IA Load Pricing Results'!$B$16,0)</f>
        <v>0</v>
      </c>
      <c r="J33" s="425">
        <f t="shared" si="5"/>
        <v>0</v>
      </c>
      <c r="K33" s="424">
        <f>IF(D33="PS",$I$8*'3rd IA Load Pricing Results'!J52/'3rd IA Load Pricing Results'!$J$61,0)</f>
        <v>0</v>
      </c>
      <c r="L33" s="425">
        <f t="shared" si="6"/>
        <v>0</v>
      </c>
      <c r="M33" s="424">
        <f>IF(D33="DPL",$I$9*'3rd IA Load Pricing Results'!J52/'3rd IA Load Pricing Results'!$J$52,0)</f>
        <v>-286.85461059850513</v>
      </c>
      <c r="N33" s="425">
        <f t="shared" si="7"/>
        <v>-31742.736607083876</v>
      </c>
      <c r="O33" s="424">
        <f>IF(D33="PEPCO",$I$10*'3rd IA Load Pricing Results'!J52/'3rd IA Load Pricing Results'!$J$59,0)</f>
        <v>0</v>
      </c>
      <c r="P33" s="425">
        <f t="shared" si="8"/>
        <v>0</v>
      </c>
      <c r="Q33" s="424">
        <f>IF(D33="ATSI",$I$11*'3rd IA Load Pricing Results'!J52/'3rd IA Load Pricing Results'!$J$45,0)</f>
        <v>0</v>
      </c>
      <c r="R33" s="425">
        <f t="shared" si="9"/>
        <v>0</v>
      </c>
      <c r="S33" s="424">
        <f>IF(D33="COMED",$I$12*'3rd IA Load Pricing Results'!J52/'3rd IA Load Pricing Results'!$J$47,0)</f>
        <v>0</v>
      </c>
      <c r="T33" s="425">
        <f t="shared" si="10"/>
        <v>0</v>
      </c>
      <c r="U33" s="424">
        <f>IF(D33="BGE",$I$13*'3rd IA Load Pricing Results'!J52/'3rd IA Load Pricing Results'!$J$46,0)</f>
        <v>0</v>
      </c>
      <c r="V33" s="425">
        <f t="shared" si="11"/>
        <v>0</v>
      </c>
      <c r="W33" s="424">
        <f>IF(D33="PL",$I$14*'3rd IA Load Pricing Results'!J52/'3rd IA Load Pricing Results'!$J$60,0)</f>
        <v>0</v>
      </c>
      <c r="X33" s="426">
        <f t="shared" si="12"/>
        <v>0</v>
      </c>
      <c r="Y33" s="424">
        <f>IF(D33="DAYTON",$I$15*'3rd IA Load Pricing Results'!J52/'3rd IA Load Pricing Results'!$J$48,0)</f>
        <v>0</v>
      </c>
      <c r="Z33" s="427">
        <f t="shared" si="13"/>
        <v>0</v>
      </c>
      <c r="AA33" s="424">
        <f>IF(D33="DEOK",$I$16*'3rd IA Load Pricing Results'!J52/'3rd IA Load Pricing Results'!$J$49,0)</f>
        <v>0</v>
      </c>
      <c r="AB33" s="427">
        <f t="shared" si="14"/>
        <v>0</v>
      </c>
      <c r="AC33" s="428">
        <f t="shared" si="15"/>
        <v>513.99317002507701</v>
      </c>
      <c r="AD33" s="24">
        <f t="shared" si="16"/>
        <v>-28077.451476884289</v>
      </c>
      <c r="AE33" s="139">
        <f>AD33/'3rd IA Load Pricing Results'!J52</f>
        <v>-6.1170313351836745</v>
      </c>
      <c r="AF33" s="139">
        <f>IF(AC33=0,0,AD33/AC33)</f>
        <v>-54.626117844162074</v>
      </c>
      <c r="AG33" s="82" t="s">
        <v>17</v>
      </c>
    </row>
    <row r="34" spans="1:33" x14ac:dyDescent="0.2">
      <c r="A34" s="16" t="s">
        <v>101</v>
      </c>
      <c r="B34" s="82"/>
      <c r="C34" s="82"/>
      <c r="D34" s="82"/>
      <c r="E34" s="424">
        <f>IF(B34="MAAC",ROUND($I$5*'3rd IA Load Pricing Results'!J53/'3rd IA Load Pricing Results'!$B$14,1),0)</f>
        <v>0</v>
      </c>
      <c r="F34" s="425">
        <f t="shared" si="3"/>
        <v>0</v>
      </c>
      <c r="G34" s="424">
        <f>IF(C34="EMAAC",$I$6*'3rd IA Load Pricing Results'!J53/'3rd IA Load Pricing Results'!$B$15,0)</f>
        <v>0</v>
      </c>
      <c r="H34" s="425">
        <f t="shared" si="4"/>
        <v>0</v>
      </c>
      <c r="I34" s="424">
        <f>IF(C34="SWMAAC",$I$7*'3rd IA Load Pricing Results'!J53/'3rd IA Load Pricing Results'!$B$16,0)</f>
        <v>0</v>
      </c>
      <c r="J34" s="425">
        <f t="shared" si="5"/>
        <v>0</v>
      </c>
      <c r="K34" s="424">
        <f>IF(D34="PS",$I$8*'3rd IA Load Pricing Results'!J53/'3rd IA Load Pricing Results'!$J$61,0)</f>
        <v>0</v>
      </c>
      <c r="L34" s="425">
        <f t="shared" si="6"/>
        <v>0</v>
      </c>
      <c r="M34" s="424">
        <f>IF(D34="DPL",$I$9*'3rd IA Load Pricing Results'!J53/'3rd IA Load Pricing Results'!$J$52,0)</f>
        <v>0</v>
      </c>
      <c r="N34" s="425">
        <f t="shared" si="7"/>
        <v>0</v>
      </c>
      <c r="O34" s="424">
        <f>IF(D34="PEPCO",$I$10*'3rd IA Load Pricing Results'!J53/'3rd IA Load Pricing Results'!$J$59,0)</f>
        <v>0</v>
      </c>
      <c r="P34" s="425">
        <f t="shared" si="8"/>
        <v>0</v>
      </c>
      <c r="Q34" s="424">
        <f>IF(D34="ATSI",$I$11*'3rd IA Load Pricing Results'!J53/'3rd IA Load Pricing Results'!$J$45,0)</f>
        <v>0</v>
      </c>
      <c r="R34" s="425">
        <f t="shared" si="9"/>
        <v>0</v>
      </c>
      <c r="S34" s="424">
        <f>IF(D34="COMED",$I$12*'3rd IA Load Pricing Results'!J53/'3rd IA Load Pricing Results'!$J$47,0)</f>
        <v>0</v>
      </c>
      <c r="T34" s="425">
        <f t="shared" si="10"/>
        <v>0</v>
      </c>
      <c r="U34" s="424">
        <f>IF(D34="BGE",$I$13*'3rd IA Load Pricing Results'!J53/'3rd IA Load Pricing Results'!$J$46,0)</f>
        <v>0</v>
      </c>
      <c r="V34" s="425">
        <f t="shared" si="11"/>
        <v>0</v>
      </c>
      <c r="W34" s="424">
        <f>IF(D34="PL",$I$14*'3rd IA Load Pricing Results'!J53/'3rd IA Load Pricing Results'!$J$60,0)</f>
        <v>0</v>
      </c>
      <c r="X34" s="426">
        <f t="shared" si="12"/>
        <v>0</v>
      </c>
      <c r="Y34" s="424">
        <f>IF(D34="DAYTON",$I$15*'3rd IA Load Pricing Results'!J53/'3rd IA Load Pricing Results'!$J$48,0)</f>
        <v>0</v>
      </c>
      <c r="Z34" s="427">
        <f t="shared" si="13"/>
        <v>0</v>
      </c>
      <c r="AA34" s="424">
        <f>IF(D34="DEOK",$I$16*'3rd IA Load Pricing Results'!J53/'3rd IA Load Pricing Results'!$J$49,0)</f>
        <v>0</v>
      </c>
      <c r="AB34" s="427">
        <f t="shared" si="14"/>
        <v>0</v>
      </c>
      <c r="AC34" s="428">
        <f t="shared" si="15"/>
        <v>0</v>
      </c>
      <c r="AD34" s="24">
        <f t="shared" si="16"/>
        <v>0</v>
      </c>
      <c r="AE34" s="139">
        <f>AD34/'3rd IA Load Pricing Results'!J53</f>
        <v>0</v>
      </c>
      <c r="AF34" s="139">
        <f>IF(AC34=0,0,AD34/AC34)</f>
        <v>0</v>
      </c>
      <c r="AG34" s="82" t="s">
        <v>101</v>
      </c>
    </row>
    <row r="35" spans="1:33" x14ac:dyDescent="0.2">
      <c r="A35" s="16" t="s">
        <v>12</v>
      </c>
      <c r="B35" s="82" t="s">
        <v>28</v>
      </c>
      <c r="C35" s="82" t="s">
        <v>33</v>
      </c>
      <c r="D35" s="82"/>
      <c r="E35" s="424">
        <f>IF(B35="MAAC",ROUND($I$5*'3rd IA Load Pricing Results'!J54/'3rd IA Load Pricing Results'!$B$14,1),0)</f>
        <v>0</v>
      </c>
      <c r="F35" s="425">
        <f t="shared" si="3"/>
        <v>0</v>
      </c>
      <c r="G35" s="424">
        <f>IF(C35="EMAAC",$I$6*'3rd IA Load Pricing Results'!J54/'3rd IA Load Pricing Results'!$B$15,0)</f>
        <v>789.5745053839081</v>
      </c>
      <c r="H35" s="425">
        <f t="shared" si="4"/>
        <v>5630.4555440437807</v>
      </c>
      <c r="I35" s="424">
        <f>IF(C35="SWMAAC",$I$7*'3rd IA Load Pricing Results'!J54/'3rd IA Load Pricing Results'!$B$16,0)</f>
        <v>0</v>
      </c>
      <c r="J35" s="425">
        <f t="shared" si="5"/>
        <v>0</v>
      </c>
      <c r="K35" s="424">
        <f>IF(D35="PS",$I$8*'3rd IA Load Pricing Results'!J54/'3rd IA Load Pricing Results'!$J$61,0)</f>
        <v>0</v>
      </c>
      <c r="L35" s="425">
        <f t="shared" si="6"/>
        <v>0</v>
      </c>
      <c r="M35" s="424">
        <f>IF(D35="DPL",$I$9*'3rd IA Load Pricing Results'!J54/'3rd IA Load Pricing Results'!$J$52,0)</f>
        <v>0</v>
      </c>
      <c r="N35" s="425">
        <f t="shared" si="7"/>
        <v>0</v>
      </c>
      <c r="O35" s="424">
        <f>IF(D35="PEPCO",$I$10*'3rd IA Load Pricing Results'!J54/'3rd IA Load Pricing Results'!$J$59,0)</f>
        <v>0</v>
      </c>
      <c r="P35" s="425">
        <f t="shared" si="8"/>
        <v>0</v>
      </c>
      <c r="Q35" s="424">
        <f>IF(D35="ATSI",$I$11*'3rd IA Load Pricing Results'!J54/'3rd IA Load Pricing Results'!$J$45,0)</f>
        <v>0</v>
      </c>
      <c r="R35" s="425">
        <f t="shared" si="9"/>
        <v>0</v>
      </c>
      <c r="S35" s="424">
        <f>IF(D35="COMED",$I$12*'3rd IA Load Pricing Results'!J54/'3rd IA Load Pricing Results'!$J$47,0)</f>
        <v>0</v>
      </c>
      <c r="T35" s="425">
        <f t="shared" si="10"/>
        <v>0</v>
      </c>
      <c r="U35" s="424">
        <f>IF(D35="BGE",$I$13*'3rd IA Load Pricing Results'!J54/'3rd IA Load Pricing Results'!$J$46,0)</f>
        <v>0</v>
      </c>
      <c r="V35" s="425">
        <f t="shared" si="11"/>
        <v>0</v>
      </c>
      <c r="W35" s="424">
        <f>IF(D35="PL",$I$14*'3rd IA Load Pricing Results'!J54/'3rd IA Load Pricing Results'!$J$60,0)</f>
        <v>0</v>
      </c>
      <c r="X35" s="426">
        <f t="shared" si="12"/>
        <v>0</v>
      </c>
      <c r="Y35" s="424">
        <f>IF(D35="DAYTON",$I$15*'3rd IA Load Pricing Results'!J54/'3rd IA Load Pricing Results'!$J$48,0)</f>
        <v>0</v>
      </c>
      <c r="Z35" s="427">
        <f t="shared" si="13"/>
        <v>0</v>
      </c>
      <c r="AA35" s="424">
        <f>IF(D35="DEOK",$I$16*'3rd IA Load Pricing Results'!J54/'3rd IA Load Pricing Results'!$J$49,0)</f>
        <v>0</v>
      </c>
      <c r="AB35" s="427">
        <f t="shared" si="14"/>
        <v>0</v>
      </c>
      <c r="AC35" s="428">
        <f t="shared" si="15"/>
        <v>789.5745053839081</v>
      </c>
      <c r="AD35" s="24">
        <f t="shared" si="16"/>
        <v>5630.4555440437807</v>
      </c>
      <c r="AE35" s="139">
        <f>AD35/'3rd IA Load Pricing Results'!J54</f>
        <v>0.79852916894085713</v>
      </c>
      <c r="AF35" s="139">
        <f t="shared" si="17"/>
        <v>7.1309996784991583</v>
      </c>
      <c r="AG35" s="82" t="s">
        <v>12</v>
      </c>
    </row>
    <row r="36" spans="1:33" x14ac:dyDescent="0.2">
      <c r="A36" s="16" t="s">
        <v>13</v>
      </c>
      <c r="B36" s="82" t="s">
        <v>28</v>
      </c>
      <c r="C36" s="82"/>
      <c r="D36" s="82"/>
      <c r="E36" s="424">
        <f>IF(B36="MAAC",ROUND($I$5*'3rd IA Load Pricing Results'!J55/'3rd IA Load Pricing Results'!$B$14,1),0)</f>
        <v>0</v>
      </c>
      <c r="F36" s="425">
        <f t="shared" si="3"/>
        <v>0</v>
      </c>
      <c r="G36" s="424">
        <f>IF(C36="EMAAC",$I$6*'3rd IA Load Pricing Results'!J55/'3rd IA Load Pricing Results'!$B$15,0)</f>
        <v>0</v>
      </c>
      <c r="H36" s="425">
        <f t="shared" si="4"/>
        <v>0</v>
      </c>
      <c r="I36" s="424">
        <f>IF(C36="SWMAAC",$I$7*'3rd IA Load Pricing Results'!J55/'3rd IA Load Pricing Results'!$B$16,0)</f>
        <v>0</v>
      </c>
      <c r="J36" s="425">
        <f t="shared" si="5"/>
        <v>0</v>
      </c>
      <c r="K36" s="424">
        <f>IF(D36="PS",$I$8*'3rd IA Load Pricing Results'!J55/'3rd IA Load Pricing Results'!$J$61,0)</f>
        <v>0</v>
      </c>
      <c r="L36" s="425">
        <f t="shared" si="6"/>
        <v>0</v>
      </c>
      <c r="M36" s="424">
        <f>IF(D36="DPL",$I$9*'3rd IA Load Pricing Results'!J55/'3rd IA Load Pricing Results'!$J$52,0)</f>
        <v>0</v>
      </c>
      <c r="N36" s="425">
        <f t="shared" si="7"/>
        <v>0</v>
      </c>
      <c r="O36" s="424">
        <f>IF(D36="PEPCO",$I$10*'3rd IA Load Pricing Results'!J55/'3rd IA Load Pricing Results'!$J$59,0)</f>
        <v>0</v>
      </c>
      <c r="P36" s="425">
        <f t="shared" si="8"/>
        <v>0</v>
      </c>
      <c r="Q36" s="424">
        <f>IF(D36="ATSI",$I$11*'3rd IA Load Pricing Results'!J55/'3rd IA Load Pricing Results'!$J$45,0)</f>
        <v>0</v>
      </c>
      <c r="R36" s="425">
        <f t="shared" si="9"/>
        <v>0</v>
      </c>
      <c r="S36" s="424">
        <f>IF(D36="COMED",$I$12*'3rd IA Load Pricing Results'!J55/'3rd IA Load Pricing Results'!$J$47,0)</f>
        <v>0</v>
      </c>
      <c r="T36" s="425">
        <f t="shared" si="10"/>
        <v>0</v>
      </c>
      <c r="U36" s="424">
        <f>IF(D36="BGE",$I$13*'3rd IA Load Pricing Results'!J55/'3rd IA Load Pricing Results'!$J$46,0)</f>
        <v>0</v>
      </c>
      <c r="V36" s="425">
        <f t="shared" si="11"/>
        <v>0</v>
      </c>
      <c r="W36" s="424">
        <f>IF(D36="PL",$I$14*'3rd IA Load Pricing Results'!J55/'3rd IA Load Pricing Results'!$J$60,0)</f>
        <v>0</v>
      </c>
      <c r="X36" s="426">
        <f t="shared" si="12"/>
        <v>0</v>
      </c>
      <c r="Y36" s="424">
        <f>IF(D36="DAYTON",$I$15*'3rd IA Load Pricing Results'!J55/'3rd IA Load Pricing Results'!$J$48,0)</f>
        <v>0</v>
      </c>
      <c r="Z36" s="427">
        <f t="shared" si="13"/>
        <v>0</v>
      </c>
      <c r="AA36" s="424">
        <f>IF(D36="DEOK",$I$16*'3rd IA Load Pricing Results'!J55/'3rd IA Load Pricing Results'!$J$49,0)</f>
        <v>0</v>
      </c>
      <c r="AB36" s="427">
        <f t="shared" si="14"/>
        <v>0</v>
      </c>
      <c r="AC36" s="428">
        <f t="shared" si="15"/>
        <v>0</v>
      </c>
      <c r="AD36" s="24">
        <f t="shared" si="16"/>
        <v>0</v>
      </c>
      <c r="AE36" s="139">
        <f>AD36/'3rd IA Load Pricing Results'!J55</f>
        <v>0</v>
      </c>
      <c r="AF36" s="429">
        <f t="shared" si="17"/>
        <v>0</v>
      </c>
      <c r="AG36" s="82" t="s">
        <v>13</v>
      </c>
    </row>
    <row r="37" spans="1:33" x14ac:dyDescent="0.2">
      <c r="A37" s="16" t="s">
        <v>182</v>
      </c>
      <c r="B37" s="82"/>
      <c r="C37" s="82"/>
      <c r="D37" s="82"/>
      <c r="E37" s="424">
        <f>IF(B37="MAAC",ROUND($I$5*'3rd IA Load Pricing Results'!J56/'3rd IA Load Pricing Results'!$B$14,1),0)</f>
        <v>0</v>
      </c>
      <c r="F37" s="425">
        <f t="shared" si="3"/>
        <v>0</v>
      </c>
      <c r="G37" s="424">
        <f>IF(C37="EMAAC",$I$6*'3rd IA Load Pricing Results'!J56/'3rd IA Load Pricing Results'!$B$15,0)</f>
        <v>0</v>
      </c>
      <c r="H37" s="425">
        <f t="shared" si="4"/>
        <v>0</v>
      </c>
      <c r="I37" s="424">
        <f>IF(C37="SWMAAC",$I$7*'3rd IA Load Pricing Results'!J56/'3rd IA Load Pricing Results'!$B$16,0)</f>
        <v>0</v>
      </c>
      <c r="J37" s="425">
        <f t="shared" si="5"/>
        <v>0</v>
      </c>
      <c r="K37" s="424">
        <f>IF(D37="PS",$I$8*'3rd IA Load Pricing Results'!J56/'3rd IA Load Pricing Results'!$J$61,0)</f>
        <v>0</v>
      </c>
      <c r="L37" s="425">
        <f t="shared" si="6"/>
        <v>0</v>
      </c>
      <c r="M37" s="424">
        <f>IF(D37="DPL",$I$9*'3rd IA Load Pricing Results'!J56/'3rd IA Load Pricing Results'!$J$52,0)</f>
        <v>0</v>
      </c>
      <c r="N37" s="425">
        <f t="shared" si="7"/>
        <v>0</v>
      </c>
      <c r="O37" s="424">
        <f>IF(D37="PEPCO",$I$10*'3rd IA Load Pricing Results'!J56/'3rd IA Load Pricing Results'!$J$59,0)</f>
        <v>0</v>
      </c>
      <c r="P37" s="425">
        <f t="shared" si="8"/>
        <v>0</v>
      </c>
      <c r="Q37" s="424">
        <f>IF(D37="ATSI",$I$11*'3rd IA Load Pricing Results'!J56/'3rd IA Load Pricing Results'!$J$45,0)</f>
        <v>0</v>
      </c>
      <c r="R37" s="425">
        <f t="shared" si="9"/>
        <v>0</v>
      </c>
      <c r="S37" s="424">
        <f>IF(D37="COMED",$I$12*'3rd IA Load Pricing Results'!J56/'3rd IA Load Pricing Results'!$J$47,0)</f>
        <v>0</v>
      </c>
      <c r="T37" s="425">
        <f t="shared" si="10"/>
        <v>0</v>
      </c>
      <c r="U37" s="424">
        <f>IF(D37="BGE",$I$13*'3rd IA Load Pricing Results'!J56/'3rd IA Load Pricing Results'!$J$46,0)</f>
        <v>0</v>
      </c>
      <c r="V37" s="425">
        <f t="shared" si="11"/>
        <v>0</v>
      </c>
      <c r="W37" s="424">
        <f>IF(D37="PL",$I$14*'3rd IA Load Pricing Results'!J56/'3rd IA Load Pricing Results'!$J$60,0)</f>
        <v>0</v>
      </c>
      <c r="X37" s="426">
        <f t="shared" si="12"/>
        <v>0</v>
      </c>
      <c r="Y37" s="424">
        <f>IF(D37="DAYTON",$I$15*'3rd IA Load Pricing Results'!J56/'3rd IA Load Pricing Results'!$J$48,0)</f>
        <v>0</v>
      </c>
      <c r="Z37" s="427">
        <f t="shared" si="13"/>
        <v>0</v>
      </c>
      <c r="AA37" s="424">
        <f>IF(D37="DEOK",$I$16*'3rd IA Load Pricing Results'!J56/'3rd IA Load Pricing Results'!$J$49,0)</f>
        <v>0</v>
      </c>
      <c r="AB37" s="427">
        <f t="shared" si="14"/>
        <v>0</v>
      </c>
      <c r="AC37" s="428">
        <f t="shared" si="15"/>
        <v>0</v>
      </c>
      <c r="AD37" s="24">
        <f t="shared" si="16"/>
        <v>0</v>
      </c>
      <c r="AE37" s="139">
        <f>AD37/'3rd IA Load Pricing Results'!J56</f>
        <v>0</v>
      </c>
      <c r="AF37" s="429">
        <f t="shared" si="17"/>
        <v>0</v>
      </c>
      <c r="AG37" s="82" t="s">
        <v>182</v>
      </c>
    </row>
    <row r="38" spans="1:33" x14ac:dyDescent="0.2">
      <c r="A38" s="16" t="s">
        <v>9</v>
      </c>
      <c r="B38" s="82" t="s">
        <v>28</v>
      </c>
      <c r="C38" s="82" t="s">
        <v>33</v>
      </c>
      <c r="D38" s="82"/>
      <c r="E38" s="424">
        <f>IF(B38="MAAC",ROUND($I$5*'3rd IA Load Pricing Results'!J57/'3rd IA Load Pricing Results'!$B$14,1),0)</f>
        <v>0</v>
      </c>
      <c r="F38" s="425">
        <f t="shared" si="3"/>
        <v>0</v>
      </c>
      <c r="G38" s="424">
        <f>IF(C38="EMAAC",$I$6*'3rd IA Load Pricing Results'!J57/'3rd IA Load Pricing Results'!$B$15,0)</f>
        <v>1123.8226272836478</v>
      </c>
      <c r="H38" s="425">
        <f t="shared" si="4"/>
        <v>8013.9787938497711</v>
      </c>
      <c r="I38" s="424">
        <f>IF(C38="SWMAAC",$I$7*'3rd IA Load Pricing Results'!J57/'3rd IA Load Pricing Results'!$B$16,0)</f>
        <v>0</v>
      </c>
      <c r="J38" s="425">
        <f t="shared" si="5"/>
        <v>0</v>
      </c>
      <c r="K38" s="424">
        <f>IF(D38="PS",$I$8*'3rd IA Load Pricing Results'!J57/'3rd IA Load Pricing Results'!$J$61,0)</f>
        <v>0</v>
      </c>
      <c r="L38" s="425">
        <f t="shared" si="6"/>
        <v>0</v>
      </c>
      <c r="M38" s="424">
        <f>IF(D38="DPL",$I$9*'3rd IA Load Pricing Results'!J57/'3rd IA Load Pricing Results'!$J$52,0)</f>
        <v>0</v>
      </c>
      <c r="N38" s="425">
        <f t="shared" si="7"/>
        <v>0</v>
      </c>
      <c r="O38" s="424">
        <f>IF(D38="PEPCO",$I$10*'3rd IA Load Pricing Results'!J57/'3rd IA Load Pricing Results'!$J$59,0)</f>
        <v>0</v>
      </c>
      <c r="P38" s="425">
        <f t="shared" si="8"/>
        <v>0</v>
      </c>
      <c r="Q38" s="424">
        <f>IF(D38="ATSI",$I$11*'3rd IA Load Pricing Results'!J57/'3rd IA Load Pricing Results'!$J$45,0)</f>
        <v>0</v>
      </c>
      <c r="R38" s="425">
        <f t="shared" si="9"/>
        <v>0</v>
      </c>
      <c r="S38" s="424">
        <f>IF(D38="COMED",$I$12*'3rd IA Load Pricing Results'!J57/'3rd IA Load Pricing Results'!$J$47,0)</f>
        <v>0</v>
      </c>
      <c r="T38" s="425">
        <f t="shared" si="10"/>
        <v>0</v>
      </c>
      <c r="U38" s="424">
        <f>IF(D38="BGE",$I$13*'3rd IA Load Pricing Results'!J57/'3rd IA Load Pricing Results'!$J$46,0)</f>
        <v>0</v>
      </c>
      <c r="V38" s="425">
        <f t="shared" si="11"/>
        <v>0</v>
      </c>
      <c r="W38" s="424">
        <f>IF(D38="PL",$I$14*'3rd IA Load Pricing Results'!J57/'3rd IA Load Pricing Results'!$J$60,0)</f>
        <v>0</v>
      </c>
      <c r="X38" s="426">
        <f t="shared" si="12"/>
        <v>0</v>
      </c>
      <c r="Y38" s="424">
        <f>IF(D38="DAYTON",$I$15*'3rd IA Load Pricing Results'!J57/'3rd IA Load Pricing Results'!$J$48,0)</f>
        <v>0</v>
      </c>
      <c r="Z38" s="427">
        <f t="shared" si="13"/>
        <v>0</v>
      </c>
      <c r="AA38" s="424">
        <f>IF(D38="DEOK",$I$16*'3rd IA Load Pricing Results'!J57/'3rd IA Load Pricing Results'!$J$49,0)</f>
        <v>0</v>
      </c>
      <c r="AB38" s="427">
        <f t="shared" si="14"/>
        <v>0</v>
      </c>
      <c r="AC38" s="428">
        <f t="shared" si="15"/>
        <v>1123.8226272836478</v>
      </c>
      <c r="AD38" s="24">
        <f t="shared" si="16"/>
        <v>8013.9787938497711</v>
      </c>
      <c r="AE38" s="139">
        <f>AD38/'3rd IA Load Pricing Results'!J57</f>
        <v>0.79852916894085701</v>
      </c>
      <c r="AF38" s="429">
        <f t="shared" si="17"/>
        <v>7.1309996784991583</v>
      </c>
      <c r="AG38" s="82" t="s">
        <v>9</v>
      </c>
    </row>
    <row r="39" spans="1:33" x14ac:dyDescent="0.2">
      <c r="A39" s="16" t="s">
        <v>14</v>
      </c>
      <c r="B39" s="82" t="s">
        <v>28</v>
      </c>
      <c r="C39" s="82"/>
      <c r="D39" s="82"/>
      <c r="E39" s="424">
        <f>IF(B39="MAAC",ROUND($I$5*'3rd IA Load Pricing Results'!J58/'3rd IA Load Pricing Results'!$B$14,1),0)</f>
        <v>0</v>
      </c>
      <c r="F39" s="425">
        <f t="shared" si="3"/>
        <v>0</v>
      </c>
      <c r="G39" s="424">
        <f>IF(C39="EMAAC",$I$6*'3rd IA Load Pricing Results'!J58/'3rd IA Load Pricing Results'!$B$15,0)</f>
        <v>0</v>
      </c>
      <c r="H39" s="425">
        <f t="shared" si="4"/>
        <v>0</v>
      </c>
      <c r="I39" s="424">
        <f>IF(C39="SWMAAC",$I$7*'3rd IA Load Pricing Results'!J58/'3rd IA Load Pricing Results'!$B$16,0)</f>
        <v>0</v>
      </c>
      <c r="J39" s="425">
        <f t="shared" si="5"/>
        <v>0</v>
      </c>
      <c r="K39" s="424">
        <f>IF(D39="PS",$I$8*'3rd IA Load Pricing Results'!J58/'3rd IA Load Pricing Results'!$J$61,0)</f>
        <v>0</v>
      </c>
      <c r="L39" s="425">
        <f t="shared" si="6"/>
        <v>0</v>
      </c>
      <c r="M39" s="424">
        <f>IF(D39="DPL",$I$9*'3rd IA Load Pricing Results'!J58/'3rd IA Load Pricing Results'!$J$52,0)</f>
        <v>0</v>
      </c>
      <c r="N39" s="425">
        <f t="shared" si="7"/>
        <v>0</v>
      </c>
      <c r="O39" s="424">
        <f>IF(D39="PEPCO",$I$10*'3rd IA Load Pricing Results'!J58/'3rd IA Load Pricing Results'!$J$59,0)</f>
        <v>0</v>
      </c>
      <c r="P39" s="425">
        <f t="shared" si="8"/>
        <v>0</v>
      </c>
      <c r="Q39" s="424">
        <f>IF(D39="ATSI",$I$11*'3rd IA Load Pricing Results'!J58/'3rd IA Load Pricing Results'!$J$45,0)</f>
        <v>0</v>
      </c>
      <c r="R39" s="425">
        <f t="shared" si="9"/>
        <v>0</v>
      </c>
      <c r="S39" s="424">
        <f>IF(D39="COMED",$I$12*'3rd IA Load Pricing Results'!J58/'3rd IA Load Pricing Results'!$J$47,0)</f>
        <v>0</v>
      </c>
      <c r="T39" s="425">
        <f t="shared" si="10"/>
        <v>0</v>
      </c>
      <c r="U39" s="424">
        <f>IF(D39="BGE",$I$13*'3rd IA Load Pricing Results'!J58/'3rd IA Load Pricing Results'!$J$46,0)</f>
        <v>0</v>
      </c>
      <c r="V39" s="425">
        <f t="shared" si="11"/>
        <v>0</v>
      </c>
      <c r="W39" s="424">
        <f>IF(D39="PL",$I$14*'3rd IA Load Pricing Results'!J58/'3rd IA Load Pricing Results'!$J$60,0)</f>
        <v>0</v>
      </c>
      <c r="X39" s="426">
        <f t="shared" si="12"/>
        <v>0</v>
      </c>
      <c r="Y39" s="424">
        <f>IF(D39="DAYTON",$I$15*'3rd IA Load Pricing Results'!J58/'3rd IA Load Pricing Results'!$J$48,0)</f>
        <v>0</v>
      </c>
      <c r="Z39" s="427">
        <f t="shared" si="13"/>
        <v>0</v>
      </c>
      <c r="AA39" s="424">
        <f>IF(D39="DEOK",$I$16*'3rd IA Load Pricing Results'!J58/'3rd IA Load Pricing Results'!$J$49,0)</f>
        <v>0</v>
      </c>
      <c r="AB39" s="427">
        <f t="shared" si="14"/>
        <v>0</v>
      </c>
      <c r="AC39" s="428">
        <f t="shared" si="15"/>
        <v>0</v>
      </c>
      <c r="AD39" s="24">
        <f t="shared" si="16"/>
        <v>0</v>
      </c>
      <c r="AE39" s="139">
        <f>AD39/'3rd IA Load Pricing Results'!J58</f>
        <v>0</v>
      </c>
      <c r="AF39" s="429">
        <f t="shared" si="17"/>
        <v>0</v>
      </c>
      <c r="AG39" s="82" t="s">
        <v>14</v>
      </c>
    </row>
    <row r="40" spans="1:33" x14ac:dyDescent="0.2">
      <c r="A40" s="16" t="s">
        <v>15</v>
      </c>
      <c r="B40" s="82" t="s">
        <v>28</v>
      </c>
      <c r="C40" s="82" t="s">
        <v>5</v>
      </c>
      <c r="D40" s="82" t="s">
        <v>15</v>
      </c>
      <c r="E40" s="424">
        <f>IF(B40="MAAC",ROUND($I$5*'3rd IA Load Pricing Results'!J59/'3rd IA Load Pricing Results'!$B$14,1),0)</f>
        <v>0</v>
      </c>
      <c r="F40" s="425">
        <f t="shared" si="3"/>
        <v>0</v>
      </c>
      <c r="G40" s="424">
        <f>IF(C40="EMAAC",$I$6*'3rd IA Load Pricing Results'!J59/'3rd IA Load Pricing Results'!$B$15,0)</f>
        <v>0</v>
      </c>
      <c r="H40" s="425">
        <f t="shared" si="4"/>
        <v>0</v>
      </c>
      <c r="I40" s="424">
        <f>IF(C40="SWMAAC",$I$7*'3rd IA Load Pricing Results'!J59/'3rd IA Load Pricing Results'!$B$16,0)</f>
        <v>2772.6568047120081</v>
      </c>
      <c r="J40" s="425">
        <f t="shared" si="5"/>
        <v>0</v>
      </c>
      <c r="K40" s="424">
        <f>IF(D40="PS",$I$8*'3rd IA Load Pricing Results'!J59/'3rd IA Load Pricing Results'!$J$61,0)</f>
        <v>0</v>
      </c>
      <c r="L40" s="425">
        <f t="shared" si="6"/>
        <v>0</v>
      </c>
      <c r="M40" s="424">
        <f>IF(D40="DPL",$I$9*'3rd IA Load Pricing Results'!J59/'3rd IA Load Pricing Results'!$J$52,0)</f>
        <v>0</v>
      </c>
      <c r="N40" s="425">
        <f t="shared" si="7"/>
        <v>0</v>
      </c>
      <c r="O40" s="424">
        <f>IF(D40="PEPCO",$I$10*'3rd IA Load Pricing Results'!J59/'3rd IA Load Pricing Results'!$J$59,0)</f>
        <v>3581.2561976434017</v>
      </c>
      <c r="P40" s="425">
        <f t="shared" si="8"/>
        <v>0</v>
      </c>
      <c r="Q40" s="424">
        <f>IF(D40="ATSI",$I$11*'3rd IA Load Pricing Results'!J59/'3rd IA Load Pricing Results'!$J$45,0)</f>
        <v>0</v>
      </c>
      <c r="R40" s="425">
        <f t="shared" si="9"/>
        <v>0</v>
      </c>
      <c r="S40" s="424">
        <f>IF(D40="COMED",$I$12*'3rd IA Load Pricing Results'!J59/'3rd IA Load Pricing Results'!$J$47,0)</f>
        <v>0</v>
      </c>
      <c r="T40" s="425">
        <f t="shared" si="10"/>
        <v>0</v>
      </c>
      <c r="U40" s="424">
        <f>IF(D40="BGE",$I$13*'3rd IA Load Pricing Results'!J59/'3rd IA Load Pricing Results'!$J$46,0)</f>
        <v>0</v>
      </c>
      <c r="V40" s="425">
        <f t="shared" si="11"/>
        <v>0</v>
      </c>
      <c r="W40" s="424">
        <f>IF(D40="PL",$I$14*'3rd IA Load Pricing Results'!J59/'3rd IA Load Pricing Results'!$J$60,0)</f>
        <v>0</v>
      </c>
      <c r="X40" s="426">
        <f t="shared" si="12"/>
        <v>0</v>
      </c>
      <c r="Y40" s="424">
        <f>IF(D40="DAYTON",$I$15*'3rd IA Load Pricing Results'!J59/'3rd IA Load Pricing Results'!$J$48,0)</f>
        <v>0</v>
      </c>
      <c r="Z40" s="427">
        <f t="shared" si="13"/>
        <v>0</v>
      </c>
      <c r="AA40" s="424">
        <f>IF(D40="DEOK",$I$16*'3rd IA Load Pricing Results'!J59/'3rd IA Load Pricing Results'!$J$49,0)</f>
        <v>0</v>
      </c>
      <c r="AB40" s="427">
        <f t="shared" si="14"/>
        <v>0</v>
      </c>
      <c r="AC40" s="428">
        <f t="shared" si="15"/>
        <v>3581.2561976434017</v>
      </c>
      <c r="AD40" s="24">
        <f t="shared" si="16"/>
        <v>0</v>
      </c>
      <c r="AE40" s="139">
        <f>AD40/'3rd IA Load Pricing Results'!J59</f>
        <v>0</v>
      </c>
      <c r="AF40" s="429">
        <f t="shared" si="17"/>
        <v>0</v>
      </c>
      <c r="AG40" s="82" t="s">
        <v>15</v>
      </c>
    </row>
    <row r="41" spans="1:33" x14ac:dyDescent="0.2">
      <c r="A41" s="16" t="s">
        <v>10</v>
      </c>
      <c r="B41" s="82" t="s">
        <v>28</v>
      </c>
      <c r="C41" s="82"/>
      <c r="D41" s="82" t="s">
        <v>10</v>
      </c>
      <c r="E41" s="424">
        <f>IF(B41="MAAC",ROUND($I$5*'3rd IA Load Pricing Results'!J60/'3rd IA Load Pricing Results'!$B$14,1),0)</f>
        <v>0</v>
      </c>
      <c r="F41" s="425">
        <f t="shared" si="3"/>
        <v>0</v>
      </c>
      <c r="G41" s="424">
        <f>IF(C41="EMAAC",$I$6*'3rd IA Load Pricing Results'!J60/'3rd IA Load Pricing Results'!$B$15,0)</f>
        <v>0</v>
      </c>
      <c r="H41" s="425">
        <f t="shared" si="4"/>
        <v>0</v>
      </c>
      <c r="I41" s="424">
        <f>IF(C41="SWMAAC",$I$7*'3rd IA Load Pricing Results'!J60/'3rd IA Load Pricing Results'!$B$16,0)</f>
        <v>0</v>
      </c>
      <c r="J41" s="425">
        <f t="shared" si="5"/>
        <v>0</v>
      </c>
      <c r="K41" s="424">
        <f>IF(D41="PS",$I$8*'3rd IA Load Pricing Results'!J60/'3rd IA Load Pricing Results'!$J$61,0)</f>
        <v>0</v>
      </c>
      <c r="L41" s="425">
        <f t="shared" si="6"/>
        <v>0</v>
      </c>
      <c r="M41" s="424">
        <f>IF(D41="DPL",$I$9*'3rd IA Load Pricing Results'!J60/'3rd IA Load Pricing Results'!$J$52,0)</f>
        <v>0</v>
      </c>
      <c r="N41" s="425">
        <f t="shared" si="7"/>
        <v>0</v>
      </c>
      <c r="O41" s="424">
        <f>IF(D41="PEPCO",$I$10*'3rd IA Load Pricing Results'!J60/'3rd IA Load Pricing Results'!$J$59,0)</f>
        <v>0</v>
      </c>
      <c r="P41" s="425">
        <f t="shared" si="8"/>
        <v>0</v>
      </c>
      <c r="Q41" s="424">
        <f>IF(D41="ATSI",$I$11*'3rd IA Load Pricing Results'!J60/'3rd IA Load Pricing Results'!$J$45,0)</f>
        <v>0</v>
      </c>
      <c r="R41" s="425">
        <f t="shared" si="9"/>
        <v>0</v>
      </c>
      <c r="S41" s="424">
        <f>IF(D41="COMED",$I$12*'3rd IA Load Pricing Results'!J60/'3rd IA Load Pricing Results'!$J$47,0)</f>
        <v>0</v>
      </c>
      <c r="T41" s="425">
        <f t="shared" si="10"/>
        <v>0</v>
      </c>
      <c r="U41" s="424">
        <f>IF(D41="BGE",$I$13*'3rd IA Load Pricing Results'!J60/'3rd IA Load Pricing Results'!$J$46,0)</f>
        <v>0</v>
      </c>
      <c r="V41" s="425">
        <f t="shared" si="11"/>
        <v>0</v>
      </c>
      <c r="W41" s="424">
        <f>IF(D41="PL",$I$14*'3rd IA Load Pricing Results'!J60/'3rd IA Load Pricing Results'!$J$60,0)</f>
        <v>-1607.5800650329529</v>
      </c>
      <c r="X41" s="426">
        <f t="shared" si="12"/>
        <v>0</v>
      </c>
      <c r="Y41" s="424">
        <f>IF(D41="DAYTON",$I$15*'3rd IA Load Pricing Results'!J60/'3rd IA Load Pricing Results'!$J$48,0)</f>
        <v>0</v>
      </c>
      <c r="Z41" s="427">
        <f t="shared" si="13"/>
        <v>0</v>
      </c>
      <c r="AA41" s="424">
        <f>IF(D41="DEOK",$I$16*'3rd IA Load Pricing Results'!J60/'3rd IA Load Pricing Results'!$J$49,0)</f>
        <v>0</v>
      </c>
      <c r="AB41" s="427">
        <f t="shared" si="14"/>
        <v>0</v>
      </c>
      <c r="AC41" s="428">
        <f t="shared" si="15"/>
        <v>1607.5800650329529</v>
      </c>
      <c r="AD41" s="24">
        <f t="shared" si="16"/>
        <v>0</v>
      </c>
      <c r="AE41" s="139">
        <f>AD41/'3rd IA Load Pricing Results'!J60</f>
        <v>0</v>
      </c>
      <c r="AF41" s="429">
        <f t="shared" si="17"/>
        <v>0</v>
      </c>
      <c r="AG41" s="82" t="s">
        <v>10</v>
      </c>
    </row>
    <row r="42" spans="1:33" x14ac:dyDescent="0.2">
      <c r="A42" s="16" t="s">
        <v>8</v>
      </c>
      <c r="B42" s="82" t="s">
        <v>28</v>
      </c>
      <c r="C42" s="82" t="s">
        <v>33</v>
      </c>
      <c r="D42" s="82" t="s">
        <v>8</v>
      </c>
      <c r="E42" s="424">
        <f>IF(B42="MAAC",ROUND($I$5*'3rd IA Load Pricing Results'!J61/'3rd IA Load Pricing Results'!$B$14,1),0)</f>
        <v>0</v>
      </c>
      <c r="F42" s="425">
        <f t="shared" si="3"/>
        <v>0</v>
      </c>
      <c r="G42" s="424">
        <f>IF(C42="EMAAC",$I$6*'3rd IA Load Pricing Results'!J61/'3rd IA Load Pricing Results'!$B$15,0)</f>
        <v>1320.4881197541172</v>
      </c>
      <c r="H42" s="425">
        <f t="shared" si="4"/>
        <v>9416.4003574285671</v>
      </c>
      <c r="I42" s="424">
        <f>IF(C42="SWMAAC",$I$7*'3rd IA Load Pricing Results'!J61/'3rd IA Load Pricing Results'!$B$16,0)</f>
        <v>0</v>
      </c>
      <c r="J42" s="425">
        <f t="shared" si="5"/>
        <v>0</v>
      </c>
      <c r="K42" s="424">
        <f>IF(D42="PS",$I$8*'3rd IA Load Pricing Results'!J61/'3rd IA Load Pricing Results'!$J$61,0)</f>
        <v>2577.880829058719</v>
      </c>
      <c r="L42" s="425">
        <f t="shared" si="6"/>
        <v>0</v>
      </c>
      <c r="M42" s="424">
        <f>IF(D42="DPL",$I$9*'3rd IA Load Pricing Results'!J61/'3rd IA Load Pricing Results'!$J$52,0)</f>
        <v>0</v>
      </c>
      <c r="N42" s="425">
        <f t="shared" si="7"/>
        <v>0</v>
      </c>
      <c r="O42" s="424">
        <f>IF(D42="PEPCO",$I$10*'3rd IA Load Pricing Results'!J61/'3rd IA Load Pricing Results'!$J$59,0)</f>
        <v>0</v>
      </c>
      <c r="P42" s="425">
        <f t="shared" si="8"/>
        <v>0</v>
      </c>
      <c r="Q42" s="424">
        <f>IF(D42="ATSI",$I$11*'3rd IA Load Pricing Results'!J61/'3rd IA Load Pricing Results'!$J$45,0)</f>
        <v>0</v>
      </c>
      <c r="R42" s="425">
        <f t="shared" si="9"/>
        <v>0</v>
      </c>
      <c r="S42" s="424">
        <f>IF(D42="COMED",$I$12*'3rd IA Load Pricing Results'!J61/'3rd IA Load Pricing Results'!$J$47,0)</f>
        <v>0</v>
      </c>
      <c r="T42" s="425">
        <f t="shared" si="10"/>
        <v>0</v>
      </c>
      <c r="U42" s="424">
        <f>IF(D42="BGE",$I$13*'3rd IA Load Pricing Results'!J61/'3rd IA Load Pricing Results'!$J$46,0)</f>
        <v>0</v>
      </c>
      <c r="V42" s="425">
        <f t="shared" si="11"/>
        <v>0</v>
      </c>
      <c r="W42" s="424">
        <f>IF(D42="PL",$I$14*'3rd IA Load Pricing Results'!J61/'3rd IA Load Pricing Results'!$J$60,0)</f>
        <v>0</v>
      </c>
      <c r="X42" s="426">
        <f t="shared" si="12"/>
        <v>0</v>
      </c>
      <c r="Y42" s="424">
        <f>IF(D42="DAYTON",$I$15*'3rd IA Load Pricing Results'!J61/'3rd IA Load Pricing Results'!$J$48,0)</f>
        <v>0</v>
      </c>
      <c r="Z42" s="427">
        <f t="shared" si="13"/>
        <v>0</v>
      </c>
      <c r="AA42" s="424">
        <f>IF(D42="DEOK",$I$16*'3rd IA Load Pricing Results'!J61/'3rd IA Load Pricing Results'!$J$49,0)</f>
        <v>0</v>
      </c>
      <c r="AB42" s="427">
        <f t="shared" si="14"/>
        <v>0</v>
      </c>
      <c r="AC42" s="428">
        <f t="shared" si="15"/>
        <v>2577.880829058719</v>
      </c>
      <c r="AD42" s="24">
        <f t="shared" si="16"/>
        <v>9416.4003574285671</v>
      </c>
      <c r="AE42" s="139">
        <f>AD42/'3rd IA Load Pricing Results'!J61</f>
        <v>0.79852916894085713</v>
      </c>
      <c r="AF42" s="429">
        <f t="shared" si="17"/>
        <v>3.652767905825518</v>
      </c>
      <c r="AG42" s="82" t="s">
        <v>8</v>
      </c>
    </row>
    <row r="43" spans="1:33" x14ac:dyDescent="0.2">
      <c r="A43" s="16" t="s">
        <v>18</v>
      </c>
      <c r="B43" s="82" t="s">
        <v>28</v>
      </c>
      <c r="C43" s="82" t="s">
        <v>33</v>
      </c>
      <c r="D43" s="82"/>
      <c r="E43" s="424">
        <f>IF(B43="MAAC",ROUND($I$5*'3rd IA Load Pricing Results'!J62/'3rd IA Load Pricing Results'!$B$14,1),0)</f>
        <v>0</v>
      </c>
      <c r="F43" s="425">
        <f t="shared" si="3"/>
        <v>0</v>
      </c>
      <c r="G43" s="424">
        <f>IF(C43="EMAAC",$I$6*'3rd IA Load Pricing Results'!J62/'3rd IA Load Pricing Results'!$B$15,0)</f>
        <v>53.812560704190481</v>
      </c>
      <c r="H43" s="425">
        <f t="shared" si="4"/>
        <v>383.73735308079875</v>
      </c>
      <c r="I43" s="424">
        <f>IF(C43="SWMAAC",$I$7*'3rd IA Load Pricing Results'!J62/'3rd IA Load Pricing Results'!$B$16,0)</f>
        <v>0</v>
      </c>
      <c r="J43" s="425">
        <f t="shared" si="5"/>
        <v>0</v>
      </c>
      <c r="K43" s="424">
        <f>IF(D43="PS",$I$8*'3rd IA Load Pricing Results'!J62/'3rd IA Load Pricing Results'!$J$61,0)</f>
        <v>0</v>
      </c>
      <c r="L43" s="425">
        <f t="shared" si="6"/>
        <v>0</v>
      </c>
      <c r="M43" s="424">
        <f>IF(D43="DPL",$I$9*'3rd IA Load Pricing Results'!J62/'3rd IA Load Pricing Results'!$J$52,0)</f>
        <v>0</v>
      </c>
      <c r="N43" s="425">
        <f t="shared" si="7"/>
        <v>0</v>
      </c>
      <c r="O43" s="424">
        <f>IF(D43="PEPCO",$I$10*'3rd IA Load Pricing Results'!J62/'3rd IA Load Pricing Results'!$J$59,0)</f>
        <v>0</v>
      </c>
      <c r="P43" s="425">
        <f t="shared" si="8"/>
        <v>0</v>
      </c>
      <c r="Q43" s="424">
        <f>IF(D43="ATSI",$I$11*'3rd IA Load Pricing Results'!J62/'3rd IA Load Pricing Results'!$J$45,0)</f>
        <v>0</v>
      </c>
      <c r="R43" s="425">
        <f t="shared" si="9"/>
        <v>0</v>
      </c>
      <c r="S43" s="424">
        <f>IF(D43="COMED",$I$12*'3rd IA Load Pricing Results'!J62/'3rd IA Load Pricing Results'!$J$47,0)</f>
        <v>0</v>
      </c>
      <c r="T43" s="425">
        <f t="shared" si="10"/>
        <v>0</v>
      </c>
      <c r="U43" s="424">
        <f>IF(D43="BGE",$I$13*'3rd IA Load Pricing Results'!J62/'3rd IA Load Pricing Results'!$J$46,0)</f>
        <v>0</v>
      </c>
      <c r="V43" s="425">
        <f t="shared" si="11"/>
        <v>0</v>
      </c>
      <c r="W43" s="424">
        <f>IF(D43="PL",$I$14*'3rd IA Load Pricing Results'!J62/'3rd IA Load Pricing Results'!$J$60,0)</f>
        <v>0</v>
      </c>
      <c r="X43" s="426">
        <f t="shared" si="12"/>
        <v>0</v>
      </c>
      <c r="Y43" s="424">
        <f>IF(D43="DAYTON",$I$15*'3rd IA Load Pricing Results'!J62/'3rd IA Load Pricing Results'!$J$48,0)</f>
        <v>0</v>
      </c>
      <c r="Z43" s="427">
        <f t="shared" si="13"/>
        <v>0</v>
      </c>
      <c r="AA43" s="424">
        <f>IF(D43="DEOK",$I$16*'3rd IA Load Pricing Results'!J62/'3rd IA Load Pricing Results'!$J$49,0)</f>
        <v>0</v>
      </c>
      <c r="AB43" s="427">
        <f t="shared" si="14"/>
        <v>0</v>
      </c>
      <c r="AC43" s="428">
        <f>MAX(ABS(E43),ABS(G43),ABS(I43),ABS(K43),ABS(M43),ABS(O43),ABS(Q43),ABS(S43),ABS(U43),ABS(W43),ABS(Y43),ABS(AA43))</f>
        <v>53.812560704190481</v>
      </c>
      <c r="AD43" s="24">
        <f>F43+H43+J43+L43+N43+P43+R43+T43+V43+X43+Z43+AB43</f>
        <v>383.73735308079875</v>
      </c>
      <c r="AE43" s="139">
        <f>AD43/'3rd IA Load Pricing Results'!J62</f>
        <v>0.79852916894085713</v>
      </c>
      <c r="AF43" s="429">
        <f t="shared" si="17"/>
        <v>7.1309996784991583</v>
      </c>
      <c r="AG43" s="82" t="s">
        <v>18</v>
      </c>
    </row>
    <row r="44" spans="1:33" x14ac:dyDescent="0.2">
      <c r="A44" s="576" t="s">
        <v>64</v>
      </c>
      <c r="B44" s="576"/>
      <c r="C44" s="576"/>
      <c r="D44" s="576"/>
      <c r="E44" s="424">
        <f>SUM(E23:E43)</f>
        <v>0</v>
      </c>
      <c r="F44" s="430">
        <f t="shared" ref="F44:AB44" si="18">SUM(F23:F43)</f>
        <v>0</v>
      </c>
      <c r="G44" s="430">
        <f t="shared" si="18"/>
        <v>4127.6175750448774</v>
      </c>
      <c r="H44" s="430">
        <f t="shared" si="18"/>
        <v>29434.039600612497</v>
      </c>
      <c r="I44" s="430">
        <f t="shared" si="18"/>
        <v>5761.3959005809393</v>
      </c>
      <c r="J44" s="430">
        <f t="shared" si="18"/>
        <v>0</v>
      </c>
      <c r="K44" s="430">
        <f t="shared" si="18"/>
        <v>2577.880829058719</v>
      </c>
      <c r="L44" s="430">
        <f t="shared" si="18"/>
        <v>0</v>
      </c>
      <c r="M44" s="430">
        <f t="shared" si="18"/>
        <v>-286.85461059850513</v>
      </c>
      <c r="N44" s="430">
        <f t="shared" si="18"/>
        <v>-31742.736607083876</v>
      </c>
      <c r="O44" s="430">
        <f t="shared" si="18"/>
        <v>3581.2561976434017</v>
      </c>
      <c r="P44" s="430">
        <f t="shared" si="18"/>
        <v>0</v>
      </c>
      <c r="Q44" s="430">
        <f t="shared" si="18"/>
        <v>4942.56140448729</v>
      </c>
      <c r="R44" s="430">
        <f t="shared" si="18"/>
        <v>0</v>
      </c>
      <c r="S44" s="430">
        <f t="shared" si="18"/>
        <v>-2607.0170239133477</v>
      </c>
      <c r="T44" s="430">
        <f t="shared" si="18"/>
        <v>0</v>
      </c>
      <c r="U44" s="430">
        <f t="shared" si="18"/>
        <v>4559.6397029375394</v>
      </c>
      <c r="V44" s="430">
        <f t="shared" si="18"/>
        <v>117596.70057003472</v>
      </c>
      <c r="W44" s="430">
        <f t="shared" si="18"/>
        <v>-1607.5800650329529</v>
      </c>
      <c r="X44" s="430">
        <f t="shared" si="18"/>
        <v>0</v>
      </c>
      <c r="Y44" s="430">
        <f t="shared" si="18"/>
        <v>2887.7594724756827</v>
      </c>
      <c r="Z44" s="430">
        <f t="shared" si="18"/>
        <v>0</v>
      </c>
      <c r="AA44" s="430">
        <f t="shared" si="18"/>
        <v>3088.8005828378023</v>
      </c>
      <c r="AB44" s="430">
        <f t="shared" si="18"/>
        <v>213047.0475417687</v>
      </c>
      <c r="AC44" s="428"/>
      <c r="AD44" s="431">
        <f>SUM(AD23:AD43)</f>
        <v>328335.0511053321</v>
      </c>
      <c r="AE44" s="432"/>
      <c r="AF44" s="432"/>
    </row>
    <row r="45" spans="1:33" x14ac:dyDescent="0.2">
      <c r="A45" s="17" t="s">
        <v>65</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44"/>
      <c r="AE45" s="15"/>
      <c r="AF45" s="15"/>
    </row>
    <row r="46" spans="1:33" x14ac:dyDescent="0.2">
      <c r="A46" s="17" t="s">
        <v>275</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44" t="s">
        <v>24</v>
      </c>
      <c r="AE46" s="15"/>
      <c r="AF46" s="15"/>
    </row>
    <row r="47" spans="1:33" x14ac:dyDescent="0.2">
      <c r="A47" s="17" t="s">
        <v>276</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row>
    <row r="48" spans="1:33" x14ac:dyDescent="0.2">
      <c r="A48" s="17" t="s">
        <v>277</v>
      </c>
      <c r="AF48" s="241"/>
    </row>
    <row r="49" spans="1:32" x14ac:dyDescent="0.2">
      <c r="A49" s="17" t="s">
        <v>278</v>
      </c>
      <c r="AF49" s="241"/>
    </row>
    <row r="50" spans="1:32" x14ac:dyDescent="0.2">
      <c r="AF50" s="241"/>
    </row>
    <row r="51" spans="1:32" x14ac:dyDescent="0.2">
      <c r="AF51" s="241"/>
    </row>
    <row r="52" spans="1:32" x14ac:dyDescent="0.2">
      <c r="AF52" s="241"/>
    </row>
    <row r="53" spans="1:32" x14ac:dyDescent="0.2">
      <c r="AF53" s="241"/>
    </row>
    <row r="54" spans="1:32" x14ac:dyDescent="0.2">
      <c r="AF54" s="241"/>
    </row>
    <row r="55" spans="1:32" x14ac:dyDescent="0.2">
      <c r="AF55" s="241"/>
    </row>
    <row r="56" spans="1:32" x14ac:dyDescent="0.2">
      <c r="AF56" s="241"/>
    </row>
    <row r="57" spans="1:32" x14ac:dyDescent="0.2">
      <c r="AF57" s="241"/>
    </row>
    <row r="58" spans="1:32" x14ac:dyDescent="0.2">
      <c r="AF58" s="241"/>
    </row>
    <row r="59" spans="1:32" x14ac:dyDescent="0.2">
      <c r="AF59" s="241"/>
    </row>
    <row r="60" spans="1:32" x14ac:dyDescent="0.2">
      <c r="AF60" s="241"/>
    </row>
    <row r="61" spans="1:32" x14ac:dyDescent="0.2">
      <c r="AF61" s="241"/>
    </row>
    <row r="62" spans="1:32" x14ac:dyDescent="0.2">
      <c r="AF62" s="241"/>
    </row>
    <row r="63" spans="1:32" x14ac:dyDescent="0.2">
      <c r="AF63" s="241"/>
    </row>
    <row r="64" spans="1:32" x14ac:dyDescent="0.2">
      <c r="AF64" s="241"/>
    </row>
    <row r="65" spans="32:32" x14ac:dyDescent="0.2">
      <c r="AF65" s="241"/>
    </row>
    <row r="66" spans="32:32" x14ac:dyDescent="0.2">
      <c r="AF66" s="241"/>
    </row>
    <row r="67" spans="32:32" x14ac:dyDescent="0.2">
      <c r="AF67" s="241"/>
    </row>
    <row r="68" spans="32:32" x14ac:dyDescent="0.2">
      <c r="AF68" s="241"/>
    </row>
    <row r="69" spans="32:32" x14ac:dyDescent="0.2">
      <c r="AF69" s="241"/>
    </row>
    <row r="70" spans="32:32" x14ac:dyDescent="0.2">
      <c r="AF70" s="241"/>
    </row>
    <row r="71" spans="32:32" x14ac:dyDescent="0.2">
      <c r="AF71" s="241"/>
    </row>
    <row r="72" spans="32:32" x14ac:dyDescent="0.2">
      <c r="AF72" s="241"/>
    </row>
    <row r="73" spans="32:32" x14ac:dyDescent="0.2">
      <c r="AF73" s="241"/>
    </row>
    <row r="74" spans="32:32" x14ac:dyDescent="0.2">
      <c r="AF74" s="241"/>
    </row>
    <row r="75" spans="32:32" x14ac:dyDescent="0.2">
      <c r="AF75" s="241"/>
    </row>
    <row r="76" spans="32:32" x14ac:dyDescent="0.2">
      <c r="AF76" s="241"/>
    </row>
    <row r="77" spans="32:32" x14ac:dyDescent="0.2">
      <c r="AF77" s="241"/>
    </row>
    <row r="78" spans="32:32" x14ac:dyDescent="0.2">
      <c r="AF78" s="241"/>
    </row>
    <row r="79" spans="32:32" x14ac:dyDescent="0.2">
      <c r="AF79" s="241"/>
    </row>
  </sheetData>
  <mergeCells count="14">
    <mergeCell ref="AA20:AB20"/>
    <mergeCell ref="A44:D44"/>
    <mergeCell ref="O20:P20"/>
    <mergeCell ref="Q20:R20"/>
    <mergeCell ref="S20:T20"/>
    <mergeCell ref="U20:V20"/>
    <mergeCell ref="W20:X20"/>
    <mergeCell ref="Y20:Z20"/>
    <mergeCell ref="A19:D21"/>
    <mergeCell ref="E20:F20"/>
    <mergeCell ref="G20:H20"/>
    <mergeCell ref="I20:J20"/>
    <mergeCell ref="K20:L20"/>
    <mergeCell ref="M20:N20"/>
  </mergeCells>
  <conditionalFormatting sqref="J5:J16">
    <cfRule type="cellIs" dxfId="1" priority="1" operator="equal">
      <formula>"Not OK"</formula>
    </cfRule>
    <cfRule type="cellIs" dxfId="0" priority="3" operator="equal">
      <formula>"OK"</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99"/>
  <sheetViews>
    <sheetView zoomScaleNormal="100" workbookViewId="0"/>
  </sheetViews>
  <sheetFormatPr defaultRowHeight="12.75" x14ac:dyDescent="0.2"/>
  <cols>
    <col min="1" max="1" width="55.7109375" customWidth="1"/>
    <col min="2" max="17" width="15.7109375" customWidth="1"/>
  </cols>
  <sheetData>
    <row r="1" spans="1:14" ht="18.75" x14ac:dyDescent="0.3">
      <c r="A1" s="92" t="s">
        <v>323</v>
      </c>
      <c r="B1" s="7" t="s">
        <v>24</v>
      </c>
    </row>
    <row r="2" spans="1:14" ht="19.5" thickBot="1" x14ac:dyDescent="0.35">
      <c r="A2" s="3"/>
      <c r="C2" s="7"/>
      <c r="E2" s="300"/>
      <c r="F2" s="300"/>
      <c r="G2" s="300"/>
      <c r="H2" s="285" t="s">
        <v>24</v>
      </c>
    </row>
    <row r="3" spans="1:14" ht="13.5" customHeight="1" thickBot="1" x14ac:dyDescent="0.25">
      <c r="A3" s="559" t="s">
        <v>56</v>
      </c>
      <c r="B3" s="15"/>
      <c r="C3" s="127" t="s">
        <v>105</v>
      </c>
      <c r="D3" s="15"/>
      <c r="E3" s="15"/>
      <c r="F3" s="15"/>
      <c r="G3" s="15"/>
      <c r="H3" s="15"/>
      <c r="I3" s="127" t="s">
        <v>105</v>
      </c>
      <c r="J3" s="15"/>
      <c r="K3" s="15"/>
      <c r="L3" s="15"/>
      <c r="M3" s="15"/>
      <c r="N3" s="127" t="s">
        <v>105</v>
      </c>
    </row>
    <row r="4" spans="1:14" ht="13.5" customHeight="1" thickBot="1" x14ac:dyDescent="0.25">
      <c r="A4" s="560"/>
      <c r="B4" s="184" t="s">
        <v>28</v>
      </c>
      <c r="C4" s="184" t="s">
        <v>28</v>
      </c>
      <c r="D4" s="185" t="s">
        <v>33</v>
      </c>
      <c r="E4" s="185" t="s">
        <v>5</v>
      </c>
      <c r="F4" s="185" t="s">
        <v>8</v>
      </c>
      <c r="G4" s="185" t="s">
        <v>34</v>
      </c>
      <c r="H4" s="185" t="s">
        <v>35</v>
      </c>
      <c r="I4" s="185" t="s">
        <v>35</v>
      </c>
      <c r="J4" s="185" t="s">
        <v>15</v>
      </c>
      <c r="K4" s="185" t="s">
        <v>11</v>
      </c>
      <c r="L4" s="185" t="s">
        <v>50</v>
      </c>
      <c r="M4" s="185" t="s">
        <v>20</v>
      </c>
      <c r="N4" s="185" t="s">
        <v>20</v>
      </c>
    </row>
    <row r="5" spans="1:14" ht="26.25" thickBot="1" x14ac:dyDescent="0.25">
      <c r="A5" s="238" t="s">
        <v>85</v>
      </c>
      <c r="B5" s="265" t="s">
        <v>88</v>
      </c>
      <c r="C5" s="265" t="s">
        <v>106</v>
      </c>
      <c r="D5" s="266" t="s">
        <v>107</v>
      </c>
      <c r="E5" s="266" t="s">
        <v>107</v>
      </c>
      <c r="F5" s="266" t="s">
        <v>107</v>
      </c>
      <c r="G5" s="266" t="s">
        <v>107</v>
      </c>
      <c r="H5" s="266" t="s">
        <v>88</v>
      </c>
      <c r="I5" s="266" t="s">
        <v>88</v>
      </c>
      <c r="J5" s="266" t="s">
        <v>107</v>
      </c>
      <c r="K5" s="266" t="s">
        <v>107</v>
      </c>
      <c r="L5" s="266" t="s">
        <v>107</v>
      </c>
      <c r="M5" s="266" t="s">
        <v>107</v>
      </c>
      <c r="N5" s="266" t="s">
        <v>106</v>
      </c>
    </row>
    <row r="6" spans="1:14" x14ac:dyDescent="0.2">
      <c r="A6" s="186" t="s">
        <v>120</v>
      </c>
      <c r="B6" s="268"/>
      <c r="C6" s="268"/>
      <c r="D6" s="269"/>
      <c r="E6" s="269"/>
      <c r="F6" s="269"/>
      <c r="G6" s="269"/>
      <c r="H6" s="269"/>
      <c r="I6" s="269"/>
      <c r="J6" s="269"/>
      <c r="K6" s="269"/>
      <c r="L6" s="269"/>
      <c r="M6" s="269"/>
      <c r="N6" s="269"/>
    </row>
    <row r="7" spans="1:14" x14ac:dyDescent="0.2">
      <c r="A7" s="187" t="s">
        <v>80</v>
      </c>
      <c r="B7" s="171">
        <v>160</v>
      </c>
      <c r="C7" s="172">
        <f>'3rd IA CTRs'!$F$5*'3rd IA ICTRs'!B7/'3rd IA ICTRs'!$B$48</f>
        <v>120.65786929843853</v>
      </c>
      <c r="D7" s="172">
        <v>0</v>
      </c>
      <c r="E7" s="172">
        <v>0</v>
      </c>
      <c r="F7" s="172">
        <v>0</v>
      </c>
      <c r="G7" s="172">
        <v>0</v>
      </c>
      <c r="H7" s="172">
        <v>0</v>
      </c>
      <c r="I7" s="172">
        <v>0</v>
      </c>
      <c r="J7" s="172">
        <v>0</v>
      </c>
      <c r="K7" s="172">
        <v>0</v>
      </c>
      <c r="L7" s="172">
        <v>0</v>
      </c>
      <c r="M7" s="172">
        <v>0</v>
      </c>
      <c r="N7" s="172">
        <v>0</v>
      </c>
    </row>
    <row r="8" spans="1:14" ht="25.5" x14ac:dyDescent="0.2">
      <c r="A8" s="187" t="s">
        <v>81</v>
      </c>
      <c r="B8" s="171">
        <v>106</v>
      </c>
      <c r="C8" s="172">
        <f>'3rd IA CTRs'!$F$5*'3rd IA ICTRs'!B8/'3rd IA ICTRs'!$B$48</f>
        <v>79.935838410215538</v>
      </c>
      <c r="D8" s="172">
        <v>0</v>
      </c>
      <c r="E8" s="172">
        <v>0</v>
      </c>
      <c r="F8" s="172">
        <v>0</v>
      </c>
      <c r="G8" s="172">
        <v>0</v>
      </c>
      <c r="H8" s="172">
        <v>0</v>
      </c>
      <c r="I8" s="172">
        <v>0</v>
      </c>
      <c r="J8" s="172">
        <v>0</v>
      </c>
      <c r="K8" s="172">
        <v>0</v>
      </c>
      <c r="L8" s="172">
        <v>0</v>
      </c>
      <c r="M8" s="172">
        <v>0</v>
      </c>
      <c r="N8" s="172">
        <v>0</v>
      </c>
    </row>
    <row r="9" spans="1:14" x14ac:dyDescent="0.2">
      <c r="A9" s="187" t="s">
        <v>83</v>
      </c>
      <c r="B9" s="171">
        <v>117</v>
      </c>
      <c r="C9" s="172">
        <f>'3rd IA CTRs'!$F$5*'3rd IA ICTRs'!B9/'3rd IA ICTRs'!$B$48</f>
        <v>88.231066924483187</v>
      </c>
      <c r="D9" s="172">
        <v>0</v>
      </c>
      <c r="E9" s="172">
        <v>0</v>
      </c>
      <c r="F9" s="172">
        <v>0</v>
      </c>
      <c r="G9" s="172">
        <v>0</v>
      </c>
      <c r="H9" s="172">
        <v>0</v>
      </c>
      <c r="I9" s="172">
        <v>0</v>
      </c>
      <c r="J9" s="172">
        <v>0</v>
      </c>
      <c r="K9" s="172">
        <v>0</v>
      </c>
      <c r="L9" s="172">
        <v>0</v>
      </c>
      <c r="M9" s="172">
        <v>0</v>
      </c>
      <c r="N9" s="172">
        <v>0</v>
      </c>
    </row>
    <row r="10" spans="1:14" ht="25.5" x14ac:dyDescent="0.2">
      <c r="A10" s="187" t="s">
        <v>84</v>
      </c>
      <c r="B10" s="171">
        <v>0</v>
      </c>
      <c r="C10" s="172">
        <f>'3rd IA CTRs'!$F$5*'3rd IA ICTRs'!B10/'3rd IA ICTRs'!$B$48</f>
        <v>0</v>
      </c>
      <c r="D10" s="172">
        <v>898</v>
      </c>
      <c r="E10" s="172">
        <v>0</v>
      </c>
      <c r="F10" s="172">
        <v>68.900000000000006</v>
      </c>
      <c r="G10" s="172">
        <v>105.5</v>
      </c>
      <c r="H10" s="172">
        <v>0</v>
      </c>
      <c r="I10" s="172">
        <v>0</v>
      </c>
      <c r="J10" s="172">
        <v>0</v>
      </c>
      <c r="K10" s="172">
        <v>0</v>
      </c>
      <c r="L10" s="172">
        <v>0</v>
      </c>
      <c r="M10" s="172">
        <v>0</v>
      </c>
      <c r="N10" s="172">
        <v>0</v>
      </c>
    </row>
    <row r="11" spans="1:14" x14ac:dyDescent="0.2">
      <c r="A11" s="187" t="s">
        <v>102</v>
      </c>
      <c r="B11" s="171">
        <v>339</v>
      </c>
      <c r="C11" s="172">
        <f>'3rd IA CTRs'!$F$5*'3rd IA ICTRs'!B11/'3rd IA ICTRs'!$B$48</f>
        <v>255.64386057606666</v>
      </c>
      <c r="D11" s="172">
        <v>0</v>
      </c>
      <c r="E11" s="172">
        <v>0</v>
      </c>
      <c r="F11" s="172">
        <v>0</v>
      </c>
      <c r="G11" s="172">
        <v>0</v>
      </c>
      <c r="H11" s="172">
        <v>0</v>
      </c>
      <c r="I11" s="172">
        <v>0</v>
      </c>
      <c r="J11" s="172">
        <v>0</v>
      </c>
      <c r="K11" s="172">
        <v>0</v>
      </c>
      <c r="L11" s="172">
        <v>0</v>
      </c>
      <c r="M11" s="172">
        <v>0</v>
      </c>
      <c r="N11" s="172">
        <v>0</v>
      </c>
    </row>
    <row r="12" spans="1:14" ht="25.5" x14ac:dyDescent="0.2">
      <c r="A12" s="187" t="s">
        <v>121</v>
      </c>
      <c r="B12" s="171">
        <v>0</v>
      </c>
      <c r="C12" s="172">
        <f>'3rd IA CTRs'!$F$5*'3rd IA ICTRs'!B12/'3rd IA ICTRs'!$B$48</f>
        <v>0</v>
      </c>
      <c r="D12" s="172">
        <v>0</v>
      </c>
      <c r="E12" s="172">
        <v>256</v>
      </c>
      <c r="F12" s="172">
        <v>0</v>
      </c>
      <c r="G12" s="172">
        <v>0</v>
      </c>
      <c r="H12" s="172">
        <v>0</v>
      </c>
      <c r="I12" s="172">
        <v>0</v>
      </c>
      <c r="J12" s="172">
        <v>0</v>
      </c>
      <c r="K12" s="172">
        <v>0</v>
      </c>
      <c r="L12" s="172">
        <v>0</v>
      </c>
      <c r="M12" s="172">
        <v>0</v>
      </c>
      <c r="N12" s="172">
        <v>0</v>
      </c>
    </row>
    <row r="13" spans="1:14" ht="13.5" thickBot="1" x14ac:dyDescent="0.25">
      <c r="A13" s="253" t="s">
        <v>152</v>
      </c>
      <c r="B13" s="254">
        <f>SUM(B7:B12)</f>
        <v>722</v>
      </c>
      <c r="C13" s="254">
        <f>SUM(C7:C12)</f>
        <v>544.46863520920385</v>
      </c>
      <c r="D13" s="270">
        <f>SUM(D7:D12)</f>
        <v>898</v>
      </c>
      <c r="E13" s="270">
        <f t="shared" ref="E13:I13" si="0">SUM(E7:E12)</f>
        <v>256</v>
      </c>
      <c r="F13" s="270">
        <f t="shared" si="0"/>
        <v>68.900000000000006</v>
      </c>
      <c r="G13" s="270">
        <f t="shared" si="0"/>
        <v>105.5</v>
      </c>
      <c r="H13" s="270">
        <f t="shared" si="0"/>
        <v>0</v>
      </c>
      <c r="I13" s="270">
        <f t="shared" si="0"/>
        <v>0</v>
      </c>
      <c r="J13" s="270">
        <f>SUM(J7:J12)</f>
        <v>0</v>
      </c>
      <c r="K13" s="270">
        <f>SUM(K7:K12)</f>
        <v>0</v>
      </c>
      <c r="L13" s="270">
        <f>SUM(L7:L12)</f>
        <v>0</v>
      </c>
      <c r="M13" s="270">
        <f>SUM(M7:M12)</f>
        <v>0</v>
      </c>
      <c r="N13" s="270">
        <f t="shared" ref="N13" si="1">SUM(N7:N12)</f>
        <v>0</v>
      </c>
    </row>
    <row r="14" spans="1:14" x14ac:dyDescent="0.2">
      <c r="A14" s="186" t="s">
        <v>117</v>
      </c>
      <c r="B14" s="271" t="s">
        <v>24</v>
      </c>
      <c r="C14" s="271" t="s">
        <v>24</v>
      </c>
      <c r="D14" s="272"/>
      <c r="E14" s="272"/>
      <c r="F14" s="272"/>
      <c r="G14" s="272"/>
      <c r="H14" s="272"/>
      <c r="I14" s="272"/>
      <c r="J14" s="272"/>
      <c r="K14" s="272"/>
      <c r="L14" s="272"/>
      <c r="M14" s="272"/>
      <c r="N14" s="272"/>
    </row>
    <row r="15" spans="1:14" ht="25.5" x14ac:dyDescent="0.2">
      <c r="A15" s="187" t="s">
        <v>129</v>
      </c>
      <c r="B15" s="171">
        <v>16</v>
      </c>
      <c r="C15" s="172">
        <f>'3rd IA CTRs'!$F$5*'3rd IA ICTRs'!B15/'3rd IA ICTRs'!$B$48</f>
        <v>12.065786929843854</v>
      </c>
      <c r="D15" s="172">
        <v>0</v>
      </c>
      <c r="E15" s="172">
        <v>237</v>
      </c>
      <c r="F15" s="172">
        <v>0</v>
      </c>
      <c r="G15" s="172">
        <v>0</v>
      </c>
      <c r="H15" s="172">
        <v>0</v>
      </c>
      <c r="I15" s="172">
        <v>0</v>
      </c>
      <c r="J15" s="172">
        <v>0</v>
      </c>
      <c r="K15" s="172">
        <v>124</v>
      </c>
      <c r="L15" s="172">
        <v>0</v>
      </c>
      <c r="M15" s="172">
        <v>0</v>
      </c>
      <c r="N15" s="172">
        <v>0</v>
      </c>
    </row>
    <row r="16" spans="1:14" ht="25.5" x14ac:dyDescent="0.2">
      <c r="A16" s="187" t="s">
        <v>97</v>
      </c>
      <c r="B16" s="171">
        <v>0</v>
      </c>
      <c r="C16" s="172">
        <f>'3rd IA CTRs'!$F$5*'3rd IA ICTRs'!B16/'3rd IA ICTRs'!$B$48</f>
        <v>0</v>
      </c>
      <c r="D16" s="172">
        <v>0</v>
      </c>
      <c r="E16" s="172">
        <v>0</v>
      </c>
      <c r="F16" s="172">
        <v>340.2</v>
      </c>
      <c r="G16" s="172">
        <v>494.5</v>
      </c>
      <c r="H16" s="172">
        <v>0</v>
      </c>
      <c r="I16" s="172">
        <v>0</v>
      </c>
      <c r="J16" s="172">
        <v>0</v>
      </c>
      <c r="K16" s="172">
        <v>0</v>
      </c>
      <c r="L16" s="172">
        <v>0</v>
      </c>
      <c r="M16" s="172">
        <v>0</v>
      </c>
      <c r="N16" s="172">
        <v>0</v>
      </c>
    </row>
    <row r="17" spans="1:14" ht="25.5" x14ac:dyDescent="0.2">
      <c r="A17" s="187" t="s">
        <v>82</v>
      </c>
      <c r="B17" s="171">
        <v>0</v>
      </c>
      <c r="C17" s="172">
        <f>'3rd IA CTRs'!$F$5*'3rd IA ICTRs'!B17/'3rd IA ICTRs'!$B$48</f>
        <v>0</v>
      </c>
      <c r="D17" s="172">
        <v>0</v>
      </c>
      <c r="E17" s="172">
        <v>0</v>
      </c>
      <c r="F17" s="172">
        <v>90.3</v>
      </c>
      <c r="G17" s="172">
        <v>0</v>
      </c>
      <c r="H17" s="172">
        <v>0</v>
      </c>
      <c r="I17" s="172">
        <v>0</v>
      </c>
      <c r="J17" s="172">
        <v>0</v>
      </c>
      <c r="K17" s="172">
        <v>0</v>
      </c>
      <c r="L17" s="172">
        <v>0</v>
      </c>
      <c r="M17" s="172">
        <v>0</v>
      </c>
      <c r="N17" s="172">
        <v>0</v>
      </c>
    </row>
    <row r="18" spans="1:14" ht="25.5" x14ac:dyDescent="0.2">
      <c r="A18" s="187" t="s">
        <v>130</v>
      </c>
      <c r="B18" s="171">
        <v>0</v>
      </c>
      <c r="C18" s="172">
        <f>'3rd IA CTRs'!$F$5*'3rd IA ICTRs'!B18/'3rd IA ICTRs'!$B$48</f>
        <v>0</v>
      </c>
      <c r="D18" s="172">
        <v>0</v>
      </c>
      <c r="E18" s="172">
        <v>0</v>
      </c>
      <c r="F18" s="172">
        <v>0</v>
      </c>
      <c r="G18" s="172">
        <v>0</v>
      </c>
      <c r="H18" s="172">
        <v>0</v>
      </c>
      <c r="I18" s="172">
        <v>0</v>
      </c>
      <c r="J18" s="172">
        <v>0</v>
      </c>
      <c r="K18" s="172">
        <v>182</v>
      </c>
      <c r="L18" s="172">
        <v>0</v>
      </c>
      <c r="M18" s="172">
        <v>0</v>
      </c>
      <c r="N18" s="172">
        <v>0</v>
      </c>
    </row>
    <row r="19" spans="1:14" ht="63.75" x14ac:dyDescent="0.2">
      <c r="A19" s="187" t="s">
        <v>141</v>
      </c>
      <c r="B19" s="171">
        <v>0</v>
      </c>
      <c r="C19" s="172">
        <f>'3rd IA CTRs'!$F$5*'3rd IA ICTRs'!B19/'3rd IA ICTRs'!$B$48</f>
        <v>0</v>
      </c>
      <c r="D19" s="172">
        <v>50</v>
      </c>
      <c r="E19" s="172">
        <v>0</v>
      </c>
      <c r="F19" s="172">
        <v>0</v>
      </c>
      <c r="G19" s="172">
        <v>0</v>
      </c>
      <c r="H19" s="172">
        <v>0</v>
      </c>
      <c r="I19" s="172">
        <v>0</v>
      </c>
      <c r="J19" s="172">
        <v>175</v>
      </c>
      <c r="K19" s="172">
        <v>0</v>
      </c>
      <c r="L19" s="172">
        <v>0</v>
      </c>
      <c r="M19" s="172">
        <v>0</v>
      </c>
      <c r="N19" s="172">
        <v>0</v>
      </c>
    </row>
    <row r="20" spans="1:14" ht="38.25" x14ac:dyDescent="0.2">
      <c r="A20" s="187" t="s">
        <v>215</v>
      </c>
      <c r="B20" s="171">
        <v>0</v>
      </c>
      <c r="C20" s="172">
        <f>'3rd IA CTRs'!$F$5*'3rd IA ICTRs'!B20/'3rd IA ICTRs'!$B$48</f>
        <v>0</v>
      </c>
      <c r="D20" s="172">
        <v>0</v>
      </c>
      <c r="E20" s="172">
        <v>0</v>
      </c>
      <c r="F20" s="172">
        <v>30</v>
      </c>
      <c r="G20" s="172">
        <v>5</v>
      </c>
      <c r="H20" s="172">
        <v>0</v>
      </c>
      <c r="I20" s="172">
        <v>0</v>
      </c>
      <c r="J20" s="172">
        <v>0</v>
      </c>
      <c r="K20" s="172">
        <v>0</v>
      </c>
      <c r="L20" s="172">
        <v>0</v>
      </c>
      <c r="M20" s="172">
        <v>0</v>
      </c>
      <c r="N20" s="172">
        <v>0</v>
      </c>
    </row>
    <row r="21" spans="1:14" ht="38.25" x14ac:dyDescent="0.2">
      <c r="A21" s="187" t="s">
        <v>216</v>
      </c>
      <c r="B21" s="171">
        <v>0</v>
      </c>
      <c r="C21" s="172">
        <f>'3rd IA CTRs'!$F$5*'3rd IA ICTRs'!B21/'3rd IA ICTRs'!$B$48</f>
        <v>0</v>
      </c>
      <c r="D21" s="172">
        <v>0</v>
      </c>
      <c r="E21" s="172">
        <v>0</v>
      </c>
      <c r="F21" s="172">
        <v>17</v>
      </c>
      <c r="G21" s="172">
        <v>3</v>
      </c>
      <c r="H21" s="172">
        <v>0</v>
      </c>
      <c r="I21" s="172">
        <v>0</v>
      </c>
      <c r="J21" s="172">
        <v>0</v>
      </c>
      <c r="K21" s="172">
        <v>0</v>
      </c>
      <c r="L21" s="172">
        <v>0</v>
      </c>
      <c r="M21" s="172">
        <v>0</v>
      </c>
      <c r="N21" s="172">
        <v>0</v>
      </c>
    </row>
    <row r="22" spans="1:14" ht="38.25" x14ac:dyDescent="0.2">
      <c r="A22" s="187" t="s">
        <v>217</v>
      </c>
      <c r="B22" s="171">
        <v>0</v>
      </c>
      <c r="C22" s="172">
        <f>'3rd IA CTRs'!$F$5*'3rd IA ICTRs'!B22/'3rd IA ICTRs'!$B$48</f>
        <v>0</v>
      </c>
      <c r="D22" s="172">
        <v>0</v>
      </c>
      <c r="E22" s="172">
        <v>0</v>
      </c>
      <c r="F22" s="172">
        <v>5</v>
      </c>
      <c r="G22" s="172">
        <v>1</v>
      </c>
      <c r="H22" s="172">
        <v>0</v>
      </c>
      <c r="I22" s="172">
        <v>0</v>
      </c>
      <c r="J22" s="172">
        <v>0</v>
      </c>
      <c r="K22" s="172">
        <v>0</v>
      </c>
      <c r="L22" s="172">
        <v>0</v>
      </c>
      <c r="M22" s="172">
        <v>0</v>
      </c>
      <c r="N22" s="172">
        <v>0</v>
      </c>
    </row>
    <row r="23" spans="1:14" ht="38.25" x14ac:dyDescent="0.2">
      <c r="A23" s="187" t="s">
        <v>218</v>
      </c>
      <c r="B23" s="171">
        <v>0</v>
      </c>
      <c r="C23" s="172">
        <f>'3rd IA CTRs'!$F$5*'3rd IA ICTRs'!B23/'3rd IA ICTRs'!$B$48</f>
        <v>0</v>
      </c>
      <c r="D23" s="172">
        <v>0</v>
      </c>
      <c r="E23" s="172">
        <v>0</v>
      </c>
      <c r="F23" s="172">
        <v>4</v>
      </c>
      <c r="G23" s="172">
        <v>1</v>
      </c>
      <c r="H23" s="172">
        <v>0</v>
      </c>
      <c r="I23" s="172">
        <v>0</v>
      </c>
      <c r="J23" s="172">
        <v>0</v>
      </c>
      <c r="K23" s="172">
        <v>0</v>
      </c>
      <c r="L23" s="172">
        <v>0</v>
      </c>
      <c r="M23" s="172">
        <v>0</v>
      </c>
      <c r="N23" s="172">
        <v>0</v>
      </c>
    </row>
    <row r="24" spans="1:14" ht="38.25" x14ac:dyDescent="0.2">
      <c r="A24" s="187" t="s">
        <v>219</v>
      </c>
      <c r="B24" s="171">
        <v>0</v>
      </c>
      <c r="C24" s="172">
        <f>'3rd IA CTRs'!$F$5*'3rd IA ICTRs'!B24/'3rd IA ICTRs'!$B$48</f>
        <v>0</v>
      </c>
      <c r="D24" s="172">
        <v>0</v>
      </c>
      <c r="E24" s="172">
        <v>0</v>
      </c>
      <c r="F24" s="172">
        <v>19</v>
      </c>
      <c r="G24" s="172">
        <v>3</v>
      </c>
      <c r="H24" s="172">
        <v>0</v>
      </c>
      <c r="I24" s="172">
        <v>0</v>
      </c>
      <c r="J24" s="172">
        <v>0</v>
      </c>
      <c r="K24" s="172">
        <v>0</v>
      </c>
      <c r="L24" s="172">
        <v>0</v>
      </c>
      <c r="M24" s="172">
        <v>0</v>
      </c>
      <c r="N24" s="172">
        <v>0</v>
      </c>
    </row>
    <row r="25" spans="1:14" ht="38.25" x14ac:dyDescent="0.2">
      <c r="A25" s="187" t="s">
        <v>220</v>
      </c>
      <c r="B25" s="171">
        <v>0</v>
      </c>
      <c r="C25" s="172">
        <f>'3rd IA CTRs'!$F$5*'3rd IA ICTRs'!B25/'3rd IA ICTRs'!$B$48</f>
        <v>0</v>
      </c>
      <c r="D25" s="172">
        <v>0</v>
      </c>
      <c r="E25" s="172">
        <v>0</v>
      </c>
      <c r="F25" s="172">
        <v>21</v>
      </c>
      <c r="G25" s="172">
        <v>3</v>
      </c>
      <c r="H25" s="172">
        <v>0</v>
      </c>
      <c r="I25" s="172">
        <v>0</v>
      </c>
      <c r="J25" s="172">
        <v>0</v>
      </c>
      <c r="K25" s="172">
        <v>0</v>
      </c>
      <c r="L25" s="172">
        <v>0</v>
      </c>
      <c r="M25" s="172">
        <v>0</v>
      </c>
      <c r="N25" s="172">
        <v>0</v>
      </c>
    </row>
    <row r="26" spans="1:14" ht="38.25" x14ac:dyDescent="0.2">
      <c r="A26" s="187" t="s">
        <v>221</v>
      </c>
      <c r="B26" s="171">
        <v>0</v>
      </c>
      <c r="C26" s="172">
        <f>'3rd IA CTRs'!$F$5*'3rd IA ICTRs'!B26/'3rd IA ICTRs'!$B$48</f>
        <v>0</v>
      </c>
      <c r="D26" s="172">
        <v>0</v>
      </c>
      <c r="E26" s="172">
        <v>0</v>
      </c>
      <c r="F26" s="172">
        <v>17</v>
      </c>
      <c r="G26" s="172">
        <v>3</v>
      </c>
      <c r="H26" s="172">
        <v>0</v>
      </c>
      <c r="I26" s="172">
        <v>0</v>
      </c>
      <c r="J26" s="172">
        <v>0</v>
      </c>
      <c r="K26" s="172">
        <v>0</v>
      </c>
      <c r="L26" s="172">
        <v>0</v>
      </c>
      <c r="M26" s="172">
        <v>0</v>
      </c>
      <c r="N26" s="172">
        <v>0</v>
      </c>
    </row>
    <row r="27" spans="1:14" ht="38.25" x14ac:dyDescent="0.2">
      <c r="A27" s="187" t="s">
        <v>222</v>
      </c>
      <c r="B27" s="171">
        <v>0</v>
      </c>
      <c r="C27" s="172">
        <f>'3rd IA CTRs'!$F$5*'3rd IA ICTRs'!B27/'3rd IA ICTRs'!$B$48</f>
        <v>0</v>
      </c>
      <c r="D27" s="172">
        <v>0</v>
      </c>
      <c r="E27" s="172">
        <v>0</v>
      </c>
      <c r="F27" s="172">
        <v>5</v>
      </c>
      <c r="G27" s="172">
        <v>1</v>
      </c>
      <c r="H27" s="172">
        <v>0</v>
      </c>
      <c r="I27" s="172">
        <v>0</v>
      </c>
      <c r="J27" s="172">
        <v>0</v>
      </c>
      <c r="K27" s="172">
        <v>0</v>
      </c>
      <c r="L27" s="172">
        <v>0</v>
      </c>
      <c r="M27" s="172">
        <v>0</v>
      </c>
      <c r="N27" s="172">
        <v>0</v>
      </c>
    </row>
    <row r="28" spans="1:14" ht="38.25" x14ac:dyDescent="0.2">
      <c r="A28" s="187" t="s">
        <v>223</v>
      </c>
      <c r="B28" s="171">
        <v>0</v>
      </c>
      <c r="C28" s="172">
        <f>'3rd IA CTRs'!$F$5*'3rd IA ICTRs'!B28/'3rd IA ICTRs'!$B$48</f>
        <v>0</v>
      </c>
      <c r="D28" s="172">
        <v>0</v>
      </c>
      <c r="E28" s="172">
        <v>0</v>
      </c>
      <c r="F28" s="172">
        <v>4</v>
      </c>
      <c r="G28" s="172">
        <v>1</v>
      </c>
      <c r="H28" s="172">
        <v>0</v>
      </c>
      <c r="I28" s="172">
        <v>0</v>
      </c>
      <c r="J28" s="172">
        <v>0</v>
      </c>
      <c r="K28" s="172">
        <v>0</v>
      </c>
      <c r="L28" s="172">
        <v>0</v>
      </c>
      <c r="M28" s="172">
        <v>0</v>
      </c>
      <c r="N28" s="172">
        <v>0</v>
      </c>
    </row>
    <row r="29" spans="1:14" ht="38.25" x14ac:dyDescent="0.2">
      <c r="A29" s="187" t="s">
        <v>224</v>
      </c>
      <c r="B29" s="171">
        <v>0</v>
      </c>
      <c r="C29" s="172">
        <f>'3rd IA CTRs'!$F$5*'3rd IA ICTRs'!B29/'3rd IA ICTRs'!$B$48</f>
        <v>0</v>
      </c>
      <c r="D29" s="172">
        <v>0</v>
      </c>
      <c r="E29" s="172">
        <v>0</v>
      </c>
      <c r="F29" s="172">
        <v>2</v>
      </c>
      <c r="G29" s="172">
        <v>0</v>
      </c>
      <c r="H29" s="172">
        <v>0</v>
      </c>
      <c r="I29" s="172">
        <v>0</v>
      </c>
      <c r="J29" s="172">
        <v>0</v>
      </c>
      <c r="K29" s="172">
        <v>0</v>
      </c>
      <c r="L29" s="172">
        <v>0</v>
      </c>
      <c r="M29" s="172">
        <v>0</v>
      </c>
      <c r="N29" s="172">
        <v>0</v>
      </c>
    </row>
    <row r="30" spans="1:14" ht="38.25" x14ac:dyDescent="0.2">
      <c r="A30" s="187" t="s">
        <v>225</v>
      </c>
      <c r="B30" s="171">
        <v>0</v>
      </c>
      <c r="C30" s="172">
        <f>'3rd IA CTRs'!$F$5*'3rd IA ICTRs'!B30/'3rd IA ICTRs'!$B$48</f>
        <v>0</v>
      </c>
      <c r="D30" s="172">
        <v>0</v>
      </c>
      <c r="E30" s="172">
        <v>0</v>
      </c>
      <c r="F30" s="172">
        <v>18</v>
      </c>
      <c r="G30" s="172">
        <v>3</v>
      </c>
      <c r="H30" s="172">
        <v>0</v>
      </c>
      <c r="I30" s="172">
        <v>0</v>
      </c>
      <c r="J30" s="172">
        <v>0</v>
      </c>
      <c r="K30" s="172">
        <v>0</v>
      </c>
      <c r="L30" s="172">
        <v>0</v>
      </c>
      <c r="M30" s="172">
        <v>0</v>
      </c>
      <c r="N30" s="172">
        <v>0</v>
      </c>
    </row>
    <row r="31" spans="1:14" ht="38.25" x14ac:dyDescent="0.2">
      <c r="A31" s="187" t="s">
        <v>226</v>
      </c>
      <c r="B31" s="171">
        <v>0</v>
      </c>
      <c r="C31" s="172">
        <f>'3rd IA CTRs'!$F$5*'3rd IA ICTRs'!B31/'3rd IA ICTRs'!$B$48</f>
        <v>0</v>
      </c>
      <c r="D31" s="172">
        <v>0</v>
      </c>
      <c r="E31" s="172">
        <v>0</v>
      </c>
      <c r="F31" s="172">
        <v>21</v>
      </c>
      <c r="G31" s="172">
        <v>3</v>
      </c>
      <c r="H31" s="172">
        <v>0</v>
      </c>
      <c r="I31" s="172">
        <v>0</v>
      </c>
      <c r="J31" s="172">
        <v>0</v>
      </c>
      <c r="K31" s="172">
        <v>0</v>
      </c>
      <c r="L31" s="172">
        <v>0</v>
      </c>
      <c r="M31" s="172">
        <v>0</v>
      </c>
      <c r="N31" s="172">
        <v>0</v>
      </c>
    </row>
    <row r="32" spans="1:14" ht="13.5" thickBot="1" x14ac:dyDescent="0.25">
      <c r="A32" s="253" t="s">
        <v>86</v>
      </c>
      <c r="B32" s="270">
        <f>SUM(B15:B31)</f>
        <v>16</v>
      </c>
      <c r="C32" s="270">
        <f t="shared" ref="C32:E32" si="2">SUM(C15:C31)</f>
        <v>12.065786929843854</v>
      </c>
      <c r="D32" s="270">
        <f t="shared" si="2"/>
        <v>50</v>
      </c>
      <c r="E32" s="270">
        <f t="shared" si="2"/>
        <v>237</v>
      </c>
      <c r="F32" s="270">
        <f>SUM(F15:F31)</f>
        <v>593.5</v>
      </c>
      <c r="G32" s="270">
        <f t="shared" ref="G32:I32" si="3">SUM(G15:G31)</f>
        <v>521.5</v>
      </c>
      <c r="H32" s="270">
        <f t="shared" si="3"/>
        <v>0</v>
      </c>
      <c r="I32" s="270">
        <f t="shared" si="3"/>
        <v>0</v>
      </c>
      <c r="J32" s="270">
        <f>SUM(J15:J31)</f>
        <v>175</v>
      </c>
      <c r="K32" s="270">
        <f>SUM(K15:K31)</f>
        <v>306</v>
      </c>
      <c r="L32" s="270">
        <f>SUM(L15:L31)</f>
        <v>0</v>
      </c>
      <c r="M32" s="270">
        <f>SUM(M15:M31)</f>
        <v>0</v>
      </c>
      <c r="N32" s="270">
        <f t="shared" ref="N32" si="4">SUM(N15:N31)</f>
        <v>0</v>
      </c>
    </row>
    <row r="33" spans="1:14" x14ac:dyDescent="0.2">
      <c r="A33" s="186" t="s">
        <v>70</v>
      </c>
      <c r="B33" s="276"/>
      <c r="C33" s="276"/>
      <c r="D33" s="277"/>
      <c r="E33" s="277"/>
      <c r="F33" s="277"/>
      <c r="G33" s="277"/>
      <c r="H33" s="277"/>
      <c r="I33" s="277"/>
      <c r="J33" s="277"/>
      <c r="K33" s="277"/>
      <c r="L33" s="277"/>
      <c r="M33" s="277"/>
      <c r="N33" s="277"/>
    </row>
    <row r="34" spans="1:14" ht="25.5" x14ac:dyDescent="0.2">
      <c r="A34" s="187" t="s">
        <v>228</v>
      </c>
      <c r="B34" s="171">
        <v>159</v>
      </c>
      <c r="C34" s="172">
        <f>'3rd IA CTRs'!$F$5*'3rd IA ICTRs'!B34/'3rd IA ICTRs'!$B$48</f>
        <v>119.9037576153233</v>
      </c>
      <c r="D34" s="172">
        <v>0</v>
      </c>
      <c r="E34" s="172">
        <v>0</v>
      </c>
      <c r="F34" s="172">
        <v>0</v>
      </c>
      <c r="G34" s="172">
        <v>0</v>
      </c>
      <c r="H34" s="172">
        <v>0</v>
      </c>
      <c r="I34" s="172">
        <v>0</v>
      </c>
      <c r="J34" s="172">
        <v>0</v>
      </c>
      <c r="K34" s="172">
        <v>0</v>
      </c>
      <c r="L34" s="172">
        <v>0</v>
      </c>
      <c r="M34" s="172">
        <v>0</v>
      </c>
      <c r="N34" s="172">
        <v>0</v>
      </c>
    </row>
    <row r="35" spans="1:14" ht="25.5" x14ac:dyDescent="0.2">
      <c r="A35" s="187" t="s">
        <v>229</v>
      </c>
      <c r="B35" s="171">
        <v>0</v>
      </c>
      <c r="C35" s="172">
        <f>'3rd IA CTRs'!$F$5*'3rd IA ICTRs'!B35/'3rd IA ICTRs'!$B$48</f>
        <v>0</v>
      </c>
      <c r="D35" s="172">
        <v>0</v>
      </c>
      <c r="E35" s="172">
        <v>0</v>
      </c>
      <c r="F35" s="172">
        <v>0</v>
      </c>
      <c r="G35" s="172">
        <v>0</v>
      </c>
      <c r="H35" s="172">
        <v>37</v>
      </c>
      <c r="I35" s="172">
        <v>0</v>
      </c>
      <c r="J35" s="172">
        <v>0</v>
      </c>
      <c r="K35" s="172">
        <v>0</v>
      </c>
      <c r="L35" s="172">
        <v>0</v>
      </c>
      <c r="M35" s="172">
        <v>0</v>
      </c>
      <c r="N35" s="172">
        <v>0</v>
      </c>
    </row>
    <row r="36" spans="1:14" ht="25.5" x14ac:dyDescent="0.2">
      <c r="A36" s="187" t="s">
        <v>230</v>
      </c>
      <c r="B36" s="171">
        <v>0</v>
      </c>
      <c r="C36" s="172">
        <f>'3rd IA CTRs'!$F$5*'3rd IA ICTRs'!B36/'3rd IA ICTRs'!$B$48</f>
        <v>0</v>
      </c>
      <c r="D36" s="172">
        <v>0</v>
      </c>
      <c r="E36" s="173">
        <v>0</v>
      </c>
      <c r="F36" s="173">
        <v>0</v>
      </c>
      <c r="G36" s="173">
        <v>0</v>
      </c>
      <c r="H36" s="173">
        <v>35</v>
      </c>
      <c r="I36" s="173">
        <v>0</v>
      </c>
      <c r="J36" s="173">
        <v>0</v>
      </c>
      <c r="K36" s="172">
        <v>0</v>
      </c>
      <c r="L36" s="172">
        <v>0</v>
      </c>
      <c r="M36" s="172">
        <v>0</v>
      </c>
      <c r="N36" s="172">
        <v>0</v>
      </c>
    </row>
    <row r="37" spans="1:14" ht="25.5" x14ac:dyDescent="0.2">
      <c r="A37" s="187" t="s">
        <v>231</v>
      </c>
      <c r="B37" s="171">
        <v>0</v>
      </c>
      <c r="C37" s="172">
        <f>'3rd IA CTRs'!$F$5*'3rd IA ICTRs'!B37/'3rd IA ICTRs'!$B$48</f>
        <v>0</v>
      </c>
      <c r="D37" s="172">
        <v>0</v>
      </c>
      <c r="E37" s="173">
        <v>0</v>
      </c>
      <c r="F37" s="173">
        <v>0</v>
      </c>
      <c r="G37" s="173">
        <v>0</v>
      </c>
      <c r="H37" s="173">
        <v>0</v>
      </c>
      <c r="I37" s="173">
        <v>0</v>
      </c>
      <c r="J37" s="173">
        <v>0</v>
      </c>
      <c r="K37" s="172">
        <v>0</v>
      </c>
      <c r="L37" s="172">
        <v>155</v>
      </c>
      <c r="M37" s="172">
        <v>0</v>
      </c>
      <c r="N37" s="172">
        <v>0</v>
      </c>
    </row>
    <row r="38" spans="1:14" ht="25.5" x14ac:dyDescent="0.2">
      <c r="A38" s="187" t="s">
        <v>232</v>
      </c>
      <c r="B38" s="171">
        <v>733</v>
      </c>
      <c r="C38" s="172">
        <f>'3rd IA CTRs'!$F$5*'3rd IA ICTRs'!B38/'3rd IA ICTRs'!$B$48</f>
        <v>552.76386372347156</v>
      </c>
      <c r="D38" s="172">
        <v>0</v>
      </c>
      <c r="E38" s="173">
        <v>0</v>
      </c>
      <c r="F38" s="173">
        <v>0</v>
      </c>
      <c r="G38" s="173">
        <v>0</v>
      </c>
      <c r="H38" s="173">
        <v>0</v>
      </c>
      <c r="I38" s="173">
        <v>0</v>
      </c>
      <c r="J38" s="173">
        <v>0</v>
      </c>
      <c r="K38" s="172">
        <v>0</v>
      </c>
      <c r="L38" s="172">
        <v>0</v>
      </c>
      <c r="M38" s="172">
        <v>0</v>
      </c>
      <c r="N38" s="172">
        <v>0</v>
      </c>
    </row>
    <row r="39" spans="1:14" ht="25.5" x14ac:dyDescent="0.2">
      <c r="A39" s="187" t="s">
        <v>233</v>
      </c>
      <c r="B39" s="171">
        <v>0</v>
      </c>
      <c r="C39" s="172">
        <f>'3rd IA CTRs'!$F$5*'3rd IA ICTRs'!B39/'3rd IA ICTRs'!$B$48</f>
        <v>0</v>
      </c>
      <c r="D39" s="172">
        <v>0</v>
      </c>
      <c r="E39" s="173">
        <v>0</v>
      </c>
      <c r="F39" s="173">
        <v>0</v>
      </c>
      <c r="G39" s="173">
        <v>0</v>
      </c>
      <c r="H39" s="173">
        <v>0</v>
      </c>
      <c r="I39" s="173">
        <v>0</v>
      </c>
      <c r="J39" s="173">
        <v>0</v>
      </c>
      <c r="K39" s="172">
        <v>65.7</v>
      </c>
      <c r="L39" s="172">
        <v>0</v>
      </c>
      <c r="M39" s="172">
        <v>0</v>
      </c>
      <c r="N39" s="172">
        <v>0</v>
      </c>
    </row>
    <row r="40" spans="1:14" ht="25.5" x14ac:dyDescent="0.2">
      <c r="A40" s="187" t="s">
        <v>234</v>
      </c>
      <c r="B40" s="171">
        <v>0</v>
      </c>
      <c r="C40" s="172">
        <f>'3rd IA CTRs'!$F$5*'3rd IA ICTRs'!B40/'3rd IA ICTRs'!$B$48</f>
        <v>0</v>
      </c>
      <c r="D40" s="172">
        <v>0</v>
      </c>
      <c r="E40" s="173">
        <v>0</v>
      </c>
      <c r="F40" s="173">
        <v>41</v>
      </c>
      <c r="G40" s="173">
        <v>21</v>
      </c>
      <c r="H40" s="173">
        <v>0</v>
      </c>
      <c r="I40" s="173">
        <v>0</v>
      </c>
      <c r="J40" s="173">
        <v>0</v>
      </c>
      <c r="K40" s="172">
        <v>0</v>
      </c>
      <c r="L40" s="172">
        <v>0</v>
      </c>
      <c r="M40" s="172">
        <v>0</v>
      </c>
      <c r="N40" s="172">
        <v>0</v>
      </c>
    </row>
    <row r="41" spans="1:14" ht="25.5" x14ac:dyDescent="0.2">
      <c r="A41" s="187" t="s">
        <v>235</v>
      </c>
      <c r="B41" s="171">
        <v>665</v>
      </c>
      <c r="C41" s="172">
        <f>'3rd IA CTRs'!$F$5*'3rd IA ICTRs'!B41/'3rd IA ICTRs'!$B$48</f>
        <v>501.48426927163513</v>
      </c>
      <c r="D41" s="172">
        <v>40</v>
      </c>
      <c r="E41" s="173">
        <v>0</v>
      </c>
      <c r="F41" s="173">
        <v>0</v>
      </c>
      <c r="G41" s="173">
        <v>0</v>
      </c>
      <c r="H41" s="173">
        <v>0</v>
      </c>
      <c r="I41" s="173">
        <v>0</v>
      </c>
      <c r="J41" s="173">
        <v>0</v>
      </c>
      <c r="K41" s="172">
        <v>0</v>
      </c>
      <c r="L41" s="172">
        <v>0</v>
      </c>
      <c r="M41" s="172">
        <v>0</v>
      </c>
      <c r="N41" s="172">
        <v>0</v>
      </c>
    </row>
    <row r="42" spans="1:14" ht="25.5" x14ac:dyDescent="0.2">
      <c r="A42" s="286" t="s">
        <v>227</v>
      </c>
      <c r="B42" s="287">
        <v>0</v>
      </c>
      <c r="C42" s="172">
        <f>'3rd IA CTRs'!$F$5*'3rd IA ICTRs'!B42/'3rd IA ICTRs'!$B$48</f>
        <v>0</v>
      </c>
      <c r="D42" s="289">
        <v>0</v>
      </c>
      <c r="E42" s="288">
        <v>0</v>
      </c>
      <c r="F42" s="288">
        <v>0</v>
      </c>
      <c r="G42" s="288">
        <v>0</v>
      </c>
      <c r="H42" s="288">
        <v>0</v>
      </c>
      <c r="I42" s="288">
        <v>0</v>
      </c>
      <c r="J42" s="288">
        <v>0</v>
      </c>
      <c r="K42" s="289">
        <v>0</v>
      </c>
      <c r="L42" s="289">
        <v>0</v>
      </c>
      <c r="M42" s="289">
        <v>1097</v>
      </c>
      <c r="N42" s="289">
        <v>0</v>
      </c>
    </row>
    <row r="43" spans="1:14" ht="25.5" x14ac:dyDescent="0.2">
      <c r="A43" s="187" t="s">
        <v>236</v>
      </c>
      <c r="B43" s="171">
        <v>0</v>
      </c>
      <c r="C43" s="172">
        <f>'3rd IA CTRs'!$F$5*'3rd IA ICTRs'!B43/'3rd IA ICTRs'!$B$48</f>
        <v>0</v>
      </c>
      <c r="D43" s="172">
        <v>0</v>
      </c>
      <c r="E43" s="173">
        <v>0</v>
      </c>
      <c r="F43" s="173">
        <v>0</v>
      </c>
      <c r="G43" s="173">
        <v>0</v>
      </c>
      <c r="H43" s="173">
        <v>0</v>
      </c>
      <c r="I43" s="173">
        <v>0</v>
      </c>
      <c r="J43" s="173">
        <v>0</v>
      </c>
      <c r="K43" s="172">
        <v>0</v>
      </c>
      <c r="L43" s="172">
        <v>0</v>
      </c>
      <c r="M43" s="172">
        <v>279</v>
      </c>
      <c r="N43" s="172">
        <v>0</v>
      </c>
    </row>
    <row r="44" spans="1:14" ht="25.5" x14ac:dyDescent="0.2">
      <c r="A44" s="286" t="s">
        <v>237</v>
      </c>
      <c r="B44" s="287">
        <v>0</v>
      </c>
      <c r="C44" s="172">
        <f>'3rd IA CTRs'!$F$5*'3rd IA ICTRs'!B44/'3rd IA ICTRs'!$B$48</f>
        <v>0</v>
      </c>
      <c r="D44" s="288">
        <v>0</v>
      </c>
      <c r="E44" s="288">
        <v>0</v>
      </c>
      <c r="F44" s="288">
        <v>1029</v>
      </c>
      <c r="G44" s="288">
        <v>0</v>
      </c>
      <c r="H44" s="288">
        <v>0</v>
      </c>
      <c r="I44" s="288">
        <v>0</v>
      </c>
      <c r="J44" s="288">
        <v>0</v>
      </c>
      <c r="K44" s="288">
        <v>0</v>
      </c>
      <c r="L44" s="288">
        <v>0</v>
      </c>
      <c r="M44" s="288">
        <v>0</v>
      </c>
      <c r="N44" s="172">
        <v>0</v>
      </c>
    </row>
    <row r="45" spans="1:14" ht="25.5" x14ac:dyDescent="0.2">
      <c r="A45" s="286" t="s">
        <v>238</v>
      </c>
      <c r="B45" s="287">
        <v>0</v>
      </c>
      <c r="C45" s="172">
        <f>'3rd IA CTRs'!$F$5*'3rd IA ICTRs'!B45/'3rd IA ICTRs'!$B$48</f>
        <v>0</v>
      </c>
      <c r="D45" s="288">
        <v>0</v>
      </c>
      <c r="E45" s="288">
        <v>0</v>
      </c>
      <c r="F45" s="288">
        <v>0</v>
      </c>
      <c r="G45" s="288">
        <v>618</v>
      </c>
      <c r="H45" s="288">
        <v>0</v>
      </c>
      <c r="I45" s="288">
        <v>0</v>
      </c>
      <c r="J45" s="288">
        <v>0</v>
      </c>
      <c r="K45" s="288">
        <v>0</v>
      </c>
      <c r="L45" s="288">
        <v>0</v>
      </c>
      <c r="M45" s="288">
        <v>0</v>
      </c>
      <c r="N45" s="172">
        <v>0</v>
      </c>
    </row>
    <row r="46" spans="1:14" ht="13.5" thickBot="1" x14ac:dyDescent="0.25">
      <c r="A46" s="253" t="s">
        <v>74</v>
      </c>
      <c r="B46" s="254">
        <f t="shared" ref="B46:E46" si="5">SUM(B34:B45)</f>
        <v>1557</v>
      </c>
      <c r="C46" s="254">
        <f>SUM(C34:C45)</f>
        <v>1174.15189061043</v>
      </c>
      <c r="D46" s="254">
        <f t="shared" si="5"/>
        <v>40</v>
      </c>
      <c r="E46" s="254">
        <f t="shared" si="5"/>
        <v>0</v>
      </c>
      <c r="F46" s="254">
        <f>SUM(F34:F45)</f>
        <v>1070</v>
      </c>
      <c r="G46" s="254">
        <f t="shared" ref="G46:M46" si="6">SUM(G34:G45)</f>
        <v>639</v>
      </c>
      <c r="H46" s="254">
        <f t="shared" si="6"/>
        <v>72</v>
      </c>
      <c r="I46" s="254">
        <f t="shared" si="6"/>
        <v>0</v>
      </c>
      <c r="J46" s="254">
        <f t="shared" si="6"/>
        <v>0</v>
      </c>
      <c r="K46" s="254">
        <f>SUM(K34:K45)</f>
        <v>65.7</v>
      </c>
      <c r="L46" s="254">
        <f t="shared" si="6"/>
        <v>155</v>
      </c>
      <c r="M46" s="254">
        <f t="shared" si="6"/>
        <v>1376</v>
      </c>
      <c r="N46" s="254">
        <f>SUM(N34:N45)</f>
        <v>0</v>
      </c>
    </row>
    <row r="47" spans="1:14" x14ac:dyDescent="0.2">
      <c r="A47" s="274"/>
      <c r="B47" s="267"/>
      <c r="C47" s="267"/>
      <c r="D47" s="275"/>
      <c r="E47" s="275"/>
      <c r="F47" s="275"/>
      <c r="G47" s="275"/>
      <c r="H47" s="275"/>
      <c r="I47" s="275"/>
      <c r="J47" s="275"/>
      <c r="K47" s="275"/>
      <c r="L47" s="275"/>
      <c r="M47" s="275"/>
      <c r="N47" s="275"/>
    </row>
    <row r="48" spans="1:14" ht="13.5" thickBot="1" x14ac:dyDescent="0.25">
      <c r="A48" s="253" t="s">
        <v>75</v>
      </c>
      <c r="B48" s="254">
        <f>B13+B32+B46</f>
        <v>2295</v>
      </c>
      <c r="C48" s="254">
        <f t="shared" ref="C48:I48" si="7">C13+C32+C46</f>
        <v>1730.6863127494776</v>
      </c>
      <c r="D48" s="255">
        <f t="shared" si="7"/>
        <v>988</v>
      </c>
      <c r="E48" s="255">
        <f t="shared" si="7"/>
        <v>493</v>
      </c>
      <c r="F48" s="255">
        <f t="shared" si="7"/>
        <v>1732.4</v>
      </c>
      <c r="G48" s="255">
        <f>G13+G32+G46</f>
        <v>1266</v>
      </c>
      <c r="H48" s="255">
        <f t="shared" si="7"/>
        <v>72</v>
      </c>
      <c r="I48" s="255">
        <f t="shared" si="7"/>
        <v>0</v>
      </c>
      <c r="J48" s="255">
        <f>J13+J32+J46</f>
        <v>175</v>
      </c>
      <c r="K48" s="255">
        <f>K13+K32+K46</f>
        <v>371.7</v>
      </c>
      <c r="L48" s="255">
        <f>L13+L32+L46</f>
        <v>155</v>
      </c>
      <c r="M48" s="255">
        <f>M13+M32+M46</f>
        <v>1376</v>
      </c>
      <c r="N48" s="255">
        <f t="shared" ref="N48" si="8">N13+N32+N46</f>
        <v>0</v>
      </c>
    </row>
    <row r="49" spans="1:13" x14ac:dyDescent="0.2">
      <c r="A49" s="264" t="s">
        <v>91</v>
      </c>
      <c r="B49" s="290"/>
      <c r="C49" s="290"/>
      <c r="D49" s="290"/>
      <c r="E49" s="290"/>
      <c r="F49" s="290"/>
      <c r="G49" s="290"/>
      <c r="H49" s="290"/>
      <c r="I49" s="290"/>
      <c r="J49" s="290"/>
      <c r="K49" s="290"/>
      <c r="L49" s="290"/>
      <c r="M49" s="135"/>
    </row>
    <row r="50" spans="1:13" x14ac:dyDescent="0.2">
      <c r="A50" s="17"/>
      <c r="B50" s="136"/>
      <c r="C50" s="136"/>
      <c r="D50" s="33"/>
      <c r="E50" s="135"/>
      <c r="F50" s="135"/>
      <c r="G50" s="135"/>
      <c r="H50" s="135"/>
      <c r="I50" s="135"/>
      <c r="J50" s="27"/>
      <c r="K50" s="135"/>
      <c r="L50" s="135"/>
      <c r="M50" s="135"/>
    </row>
    <row r="51" spans="1:13" x14ac:dyDescent="0.2">
      <c r="A51" s="137"/>
      <c r="B51" s="136"/>
      <c r="C51" s="136"/>
      <c r="D51" s="33"/>
      <c r="E51" s="135"/>
      <c r="F51" s="135"/>
      <c r="G51" s="135"/>
      <c r="H51" s="135"/>
      <c r="I51" s="135"/>
      <c r="J51" s="27"/>
      <c r="K51" s="135"/>
      <c r="L51" s="135"/>
      <c r="M51" s="135"/>
    </row>
    <row r="52" spans="1:13" ht="14.25" x14ac:dyDescent="0.2">
      <c r="A52" s="263"/>
      <c r="B52" s="263"/>
      <c r="C52" s="263"/>
      <c r="D52" s="263"/>
      <c r="E52" s="263"/>
      <c r="F52" s="263"/>
      <c r="G52" s="263"/>
      <c r="H52" s="15"/>
      <c r="I52" s="328"/>
      <c r="J52" s="328"/>
      <c r="K52" s="328"/>
      <c r="L52" s="188"/>
      <c r="M52" s="135"/>
    </row>
    <row r="53" spans="1:13" ht="13.5" customHeight="1" thickBot="1" x14ac:dyDescent="0.25">
      <c r="A53" s="555" t="s">
        <v>183</v>
      </c>
      <c r="B53" s="263"/>
      <c r="C53" s="263"/>
      <c r="D53" s="263"/>
      <c r="E53" s="263"/>
      <c r="F53" s="263"/>
      <c r="G53" s="263"/>
      <c r="H53" s="15"/>
      <c r="I53" s="328"/>
      <c r="J53" s="328"/>
      <c r="K53" s="328"/>
      <c r="L53" s="208"/>
      <c r="M53" s="208"/>
    </row>
    <row r="54" spans="1:13" ht="13.5" customHeight="1" thickBot="1" x14ac:dyDescent="0.25">
      <c r="A54" s="555"/>
      <c r="B54" s="329" t="s">
        <v>28</v>
      </c>
      <c r="C54" s="329" t="s">
        <v>33</v>
      </c>
      <c r="D54" s="329" t="s">
        <v>5</v>
      </c>
      <c r="E54" s="329" t="s">
        <v>8</v>
      </c>
      <c r="F54" s="329" t="s">
        <v>34</v>
      </c>
      <c r="G54" s="329" t="s">
        <v>35</v>
      </c>
      <c r="H54" s="329" t="s">
        <v>15</v>
      </c>
      <c r="I54" s="329" t="s">
        <v>11</v>
      </c>
      <c r="J54" s="329" t="s">
        <v>50</v>
      </c>
      <c r="K54" s="329" t="s">
        <v>20</v>
      </c>
      <c r="L54" s="444"/>
      <c r="M54" s="444"/>
    </row>
    <row r="55" spans="1:13" ht="13.5" thickBot="1" x14ac:dyDescent="0.25">
      <c r="A55" s="330" t="s">
        <v>184</v>
      </c>
      <c r="B55" s="331">
        <f>'3rd IA Load Pricing Results'!D14</f>
        <v>20.601456675700337</v>
      </c>
      <c r="C55" s="332">
        <f>'3rd IA Load Pricing Results'!D15-'3rd IA Load Pricing Results'!D14</f>
        <v>7.1309996784991583</v>
      </c>
      <c r="D55" s="332">
        <f>'3rd IA Load Pricing Results'!D16-'3rd IA Load Pricing Results'!D14</f>
        <v>0</v>
      </c>
      <c r="E55" s="333">
        <f>'3rd IA Load Pricing Results'!D29</f>
        <v>0</v>
      </c>
      <c r="F55" s="333">
        <f>'3rd IA Load Pricing Results'!D30-'3rd IA Load Pricing Results'!D29</f>
        <v>0</v>
      </c>
      <c r="G55" s="333">
        <f>'3rd IA Load Pricing Results'!D33</f>
        <v>110.65792716684783</v>
      </c>
      <c r="H55" s="332">
        <f>'3rd IA Load Pricing Results'!D17-'3rd IA Load Pricing Results'!D16</f>
        <v>0</v>
      </c>
      <c r="I55" s="332">
        <f>'3rd IA Load Pricing Results'!D19-'3rd IA Load Pricing Results'!D16</f>
        <v>25.790787919991413</v>
      </c>
      <c r="J55" s="332">
        <f>'3rd IA Load Pricing Results'!D22</f>
        <v>68.974037600716201</v>
      </c>
      <c r="K55" s="334">
        <f>'3rd IA Load Pricing Results'!D18</f>
        <v>0</v>
      </c>
      <c r="L55" s="444"/>
      <c r="M55" s="444"/>
    </row>
    <row r="56" spans="1:13" ht="13.5" thickBot="1" x14ac:dyDescent="0.25">
      <c r="A56" s="335" t="s">
        <v>185</v>
      </c>
      <c r="B56" s="580" t="s">
        <v>186</v>
      </c>
      <c r="C56" s="581"/>
      <c r="D56" s="581"/>
      <c r="E56" s="581"/>
      <c r="F56" s="581"/>
      <c r="G56" s="581"/>
      <c r="H56" s="581"/>
      <c r="I56" s="581"/>
      <c r="J56" s="581"/>
      <c r="K56" s="582"/>
      <c r="L56" s="444"/>
      <c r="M56" s="444"/>
    </row>
    <row r="57" spans="1:13" x14ac:dyDescent="0.2">
      <c r="A57" s="336" t="s">
        <v>187</v>
      </c>
      <c r="B57" s="337">
        <f>C7*B$55</f>
        <v>2485.7278669340953</v>
      </c>
      <c r="C57" s="337">
        <f t="shared" ref="B57:F62" si="9">D7*C$55</f>
        <v>0</v>
      </c>
      <c r="D57" s="337">
        <f t="shared" si="9"/>
        <v>0</v>
      </c>
      <c r="E57" s="337">
        <f t="shared" si="9"/>
        <v>0</v>
      </c>
      <c r="F57" s="337">
        <f t="shared" si="9"/>
        <v>0</v>
      </c>
      <c r="G57" s="337">
        <f t="shared" ref="G57:K62" si="10">I7*G$55</f>
        <v>0</v>
      </c>
      <c r="H57" s="337">
        <f t="shared" si="10"/>
        <v>0</v>
      </c>
      <c r="I57" s="337">
        <f t="shared" si="10"/>
        <v>0</v>
      </c>
      <c r="J57" s="337">
        <f t="shared" si="10"/>
        <v>0</v>
      </c>
      <c r="K57" s="337">
        <f t="shared" si="10"/>
        <v>0</v>
      </c>
      <c r="L57" s="444"/>
      <c r="M57" s="444"/>
    </row>
    <row r="58" spans="1:13" x14ac:dyDescent="0.2">
      <c r="A58" s="338" t="s">
        <v>188</v>
      </c>
      <c r="B58" s="339">
        <f t="shared" si="9"/>
        <v>1646.7947118438383</v>
      </c>
      <c r="C58" s="339">
        <f t="shared" si="9"/>
        <v>0</v>
      </c>
      <c r="D58" s="339">
        <f t="shared" si="9"/>
        <v>0</v>
      </c>
      <c r="E58" s="339">
        <f t="shared" si="9"/>
        <v>0</v>
      </c>
      <c r="F58" s="339">
        <f t="shared" si="9"/>
        <v>0</v>
      </c>
      <c r="G58" s="340">
        <f t="shared" si="10"/>
        <v>0</v>
      </c>
      <c r="H58" s="340">
        <f t="shared" si="10"/>
        <v>0</v>
      </c>
      <c r="I58" s="340">
        <f t="shared" si="10"/>
        <v>0</v>
      </c>
      <c r="J58" s="340">
        <f t="shared" si="10"/>
        <v>0</v>
      </c>
      <c r="K58" s="340">
        <f t="shared" si="10"/>
        <v>0</v>
      </c>
      <c r="L58" s="444"/>
      <c r="M58" s="444"/>
    </row>
    <row r="59" spans="1:13" x14ac:dyDescent="0.2">
      <c r="A59" s="338" t="s">
        <v>189</v>
      </c>
      <c r="B59" s="339">
        <f t="shared" si="9"/>
        <v>1817.6885026955574</v>
      </c>
      <c r="C59" s="339">
        <f t="shared" si="9"/>
        <v>0</v>
      </c>
      <c r="D59" s="339">
        <f t="shared" si="9"/>
        <v>0</v>
      </c>
      <c r="E59" s="339">
        <f t="shared" si="9"/>
        <v>0</v>
      </c>
      <c r="F59" s="339">
        <f t="shared" si="9"/>
        <v>0</v>
      </c>
      <c r="G59" s="340">
        <f t="shared" si="10"/>
        <v>0</v>
      </c>
      <c r="H59" s="340">
        <f t="shared" si="10"/>
        <v>0</v>
      </c>
      <c r="I59" s="340">
        <f t="shared" si="10"/>
        <v>0</v>
      </c>
      <c r="J59" s="340">
        <f t="shared" si="10"/>
        <v>0</v>
      </c>
      <c r="K59" s="340">
        <f t="shared" si="10"/>
        <v>0</v>
      </c>
      <c r="L59" s="444"/>
      <c r="M59" s="444"/>
    </row>
    <row r="60" spans="1:13" x14ac:dyDescent="0.2">
      <c r="A60" s="338" t="s">
        <v>190</v>
      </c>
      <c r="B60" s="339">
        <f t="shared" si="9"/>
        <v>0</v>
      </c>
      <c r="C60" s="339">
        <f t="shared" si="9"/>
        <v>6403.6377112922437</v>
      </c>
      <c r="D60" s="339">
        <f t="shared" si="9"/>
        <v>0</v>
      </c>
      <c r="E60" s="339">
        <f t="shared" si="9"/>
        <v>0</v>
      </c>
      <c r="F60" s="339">
        <f t="shared" si="9"/>
        <v>0</v>
      </c>
      <c r="G60" s="340">
        <f t="shared" si="10"/>
        <v>0</v>
      </c>
      <c r="H60" s="340">
        <f t="shared" si="10"/>
        <v>0</v>
      </c>
      <c r="I60" s="340">
        <f t="shared" si="10"/>
        <v>0</v>
      </c>
      <c r="J60" s="340">
        <f t="shared" si="10"/>
        <v>0</v>
      </c>
      <c r="K60" s="340">
        <f t="shared" si="10"/>
        <v>0</v>
      </c>
      <c r="L60" s="444"/>
      <c r="M60" s="444"/>
    </row>
    <row r="61" spans="1:13" x14ac:dyDescent="0.2">
      <c r="A61" s="338" t="s">
        <v>191</v>
      </c>
      <c r="B61" s="339">
        <f t="shared" si="9"/>
        <v>5266.635918066615</v>
      </c>
      <c r="C61" s="339">
        <f t="shared" si="9"/>
        <v>0</v>
      </c>
      <c r="D61" s="339">
        <f t="shared" si="9"/>
        <v>0</v>
      </c>
      <c r="E61" s="339">
        <f t="shared" si="9"/>
        <v>0</v>
      </c>
      <c r="F61" s="339">
        <f t="shared" si="9"/>
        <v>0</v>
      </c>
      <c r="G61" s="340">
        <f t="shared" si="10"/>
        <v>0</v>
      </c>
      <c r="H61" s="340">
        <f t="shared" si="10"/>
        <v>0</v>
      </c>
      <c r="I61" s="340">
        <f t="shared" si="10"/>
        <v>0</v>
      </c>
      <c r="J61" s="340">
        <f t="shared" si="10"/>
        <v>0</v>
      </c>
      <c r="K61" s="340">
        <f t="shared" si="10"/>
        <v>0</v>
      </c>
      <c r="L61" s="444"/>
      <c r="M61" s="444"/>
    </row>
    <row r="62" spans="1:13" x14ac:dyDescent="0.2">
      <c r="A62" s="338" t="s">
        <v>192</v>
      </c>
      <c r="B62" s="339">
        <f t="shared" si="9"/>
        <v>0</v>
      </c>
      <c r="C62" s="339">
        <f t="shared" si="9"/>
        <v>0</v>
      </c>
      <c r="D62" s="339">
        <f t="shared" si="9"/>
        <v>0</v>
      </c>
      <c r="E62" s="339">
        <f t="shared" si="9"/>
        <v>0</v>
      </c>
      <c r="F62" s="339">
        <f t="shared" si="9"/>
        <v>0</v>
      </c>
      <c r="G62" s="340">
        <f t="shared" si="10"/>
        <v>0</v>
      </c>
      <c r="H62" s="340">
        <f t="shared" si="10"/>
        <v>0</v>
      </c>
      <c r="I62" s="340">
        <f t="shared" si="10"/>
        <v>0</v>
      </c>
      <c r="J62" s="340">
        <f t="shared" si="10"/>
        <v>0</v>
      </c>
      <c r="K62" s="340">
        <f t="shared" si="10"/>
        <v>0</v>
      </c>
      <c r="L62" s="444"/>
      <c r="M62" s="444"/>
    </row>
    <row r="63" spans="1:13" x14ac:dyDescent="0.2">
      <c r="A63" s="338" t="s">
        <v>193</v>
      </c>
      <c r="B63" s="339">
        <f t="shared" ref="B63:F78" si="11">C15*B$55</f>
        <v>248.57278669340954</v>
      </c>
      <c r="C63" s="339">
        <f t="shared" si="11"/>
        <v>0</v>
      </c>
      <c r="D63" s="339">
        <f t="shared" si="11"/>
        <v>0</v>
      </c>
      <c r="E63" s="339">
        <f t="shared" si="11"/>
        <v>0</v>
      </c>
      <c r="F63" s="339">
        <f t="shared" si="11"/>
        <v>0</v>
      </c>
      <c r="G63" s="339">
        <f t="shared" ref="G63:K79" si="12">I15*G$55</f>
        <v>0</v>
      </c>
      <c r="H63" s="339">
        <f t="shared" si="12"/>
        <v>0</v>
      </c>
      <c r="I63" s="339">
        <f t="shared" si="12"/>
        <v>3198.0577020789351</v>
      </c>
      <c r="J63" s="339">
        <f t="shared" si="12"/>
        <v>0</v>
      </c>
      <c r="K63" s="339">
        <f t="shared" si="12"/>
        <v>0</v>
      </c>
      <c r="L63" s="444"/>
      <c r="M63" s="444"/>
    </row>
    <row r="64" spans="1:13" x14ac:dyDescent="0.2">
      <c r="A64" s="338" t="s">
        <v>194</v>
      </c>
      <c r="B64" s="339">
        <f t="shared" si="11"/>
        <v>0</v>
      </c>
      <c r="C64" s="339">
        <f t="shared" si="11"/>
        <v>0</v>
      </c>
      <c r="D64" s="339">
        <f t="shared" si="11"/>
        <v>0</v>
      </c>
      <c r="E64" s="339">
        <f t="shared" si="11"/>
        <v>0</v>
      </c>
      <c r="F64" s="339">
        <f t="shared" si="11"/>
        <v>0</v>
      </c>
      <c r="G64" s="339">
        <f t="shared" si="12"/>
        <v>0</v>
      </c>
      <c r="H64" s="339">
        <f t="shared" si="12"/>
        <v>0</v>
      </c>
      <c r="I64" s="339">
        <f t="shared" si="12"/>
        <v>0</v>
      </c>
      <c r="J64" s="339">
        <f t="shared" si="12"/>
        <v>0</v>
      </c>
      <c r="K64" s="339">
        <f t="shared" si="12"/>
        <v>0</v>
      </c>
      <c r="L64" s="444"/>
      <c r="M64" s="444"/>
    </row>
    <row r="65" spans="1:13" x14ac:dyDescent="0.2">
      <c r="A65" s="338" t="s">
        <v>195</v>
      </c>
      <c r="B65" s="339">
        <f t="shared" si="11"/>
        <v>0</v>
      </c>
      <c r="C65" s="339">
        <f t="shared" si="11"/>
        <v>0</v>
      </c>
      <c r="D65" s="339">
        <f t="shared" si="11"/>
        <v>0</v>
      </c>
      <c r="E65" s="339">
        <f t="shared" si="11"/>
        <v>0</v>
      </c>
      <c r="F65" s="339">
        <f t="shared" si="11"/>
        <v>0</v>
      </c>
      <c r="G65" s="339">
        <f t="shared" si="12"/>
        <v>0</v>
      </c>
      <c r="H65" s="339">
        <f t="shared" si="12"/>
        <v>0</v>
      </c>
      <c r="I65" s="339">
        <f t="shared" si="12"/>
        <v>0</v>
      </c>
      <c r="J65" s="339">
        <f t="shared" si="12"/>
        <v>0</v>
      </c>
      <c r="K65" s="339">
        <f t="shared" si="12"/>
        <v>0</v>
      </c>
      <c r="L65" s="444"/>
      <c r="M65" s="444"/>
    </row>
    <row r="66" spans="1:13" x14ac:dyDescent="0.2">
      <c r="A66" s="338" t="s">
        <v>196</v>
      </c>
      <c r="B66" s="339">
        <f t="shared" si="11"/>
        <v>0</v>
      </c>
      <c r="C66" s="339">
        <f t="shared" si="11"/>
        <v>0</v>
      </c>
      <c r="D66" s="339">
        <f t="shared" si="11"/>
        <v>0</v>
      </c>
      <c r="E66" s="339">
        <f t="shared" si="11"/>
        <v>0</v>
      </c>
      <c r="F66" s="339">
        <f t="shared" si="11"/>
        <v>0</v>
      </c>
      <c r="G66" s="339">
        <f t="shared" si="12"/>
        <v>0</v>
      </c>
      <c r="H66" s="339">
        <f t="shared" si="12"/>
        <v>0</v>
      </c>
      <c r="I66" s="339">
        <f t="shared" si="12"/>
        <v>4693.9234014384374</v>
      </c>
      <c r="J66" s="339">
        <f t="shared" si="12"/>
        <v>0</v>
      </c>
      <c r="K66" s="339">
        <f t="shared" si="12"/>
        <v>0</v>
      </c>
      <c r="L66" s="444"/>
      <c r="M66" s="444"/>
    </row>
    <row r="67" spans="1:13" x14ac:dyDescent="0.2">
      <c r="A67" s="338" t="s">
        <v>197</v>
      </c>
      <c r="B67" s="339">
        <f t="shared" si="11"/>
        <v>0</v>
      </c>
      <c r="C67" s="339">
        <f t="shared" si="11"/>
        <v>356.54998392495793</v>
      </c>
      <c r="D67" s="339">
        <f t="shared" si="11"/>
        <v>0</v>
      </c>
      <c r="E67" s="339">
        <f t="shared" si="11"/>
        <v>0</v>
      </c>
      <c r="F67" s="339">
        <f t="shared" si="11"/>
        <v>0</v>
      </c>
      <c r="G67" s="339">
        <f t="shared" si="12"/>
        <v>0</v>
      </c>
      <c r="H67" s="339">
        <f t="shared" si="12"/>
        <v>0</v>
      </c>
      <c r="I67" s="339">
        <f t="shared" si="12"/>
        <v>0</v>
      </c>
      <c r="J67" s="339">
        <f t="shared" si="12"/>
        <v>0</v>
      </c>
      <c r="K67" s="339">
        <f t="shared" si="12"/>
        <v>0</v>
      </c>
      <c r="L67" s="444"/>
      <c r="M67" s="444"/>
    </row>
    <row r="68" spans="1:13" x14ac:dyDescent="0.2">
      <c r="A68" s="338" t="s">
        <v>203</v>
      </c>
      <c r="B68" s="339">
        <f t="shared" si="11"/>
        <v>0</v>
      </c>
      <c r="C68" s="339">
        <f t="shared" si="11"/>
        <v>0</v>
      </c>
      <c r="D68" s="339">
        <f t="shared" si="11"/>
        <v>0</v>
      </c>
      <c r="E68" s="339">
        <f t="shared" si="11"/>
        <v>0</v>
      </c>
      <c r="F68" s="339">
        <f t="shared" si="11"/>
        <v>0</v>
      </c>
      <c r="G68" s="339">
        <f t="shared" si="12"/>
        <v>0</v>
      </c>
      <c r="H68" s="339">
        <f t="shared" si="12"/>
        <v>0</v>
      </c>
      <c r="I68" s="339">
        <f t="shared" si="12"/>
        <v>0</v>
      </c>
      <c r="J68" s="339">
        <f t="shared" si="12"/>
        <v>0</v>
      </c>
      <c r="K68" s="339">
        <f t="shared" si="12"/>
        <v>0</v>
      </c>
      <c r="L68" s="444"/>
      <c r="M68" s="444"/>
    </row>
    <row r="69" spans="1:13" x14ac:dyDescent="0.2">
      <c r="A69" s="338" t="s">
        <v>204</v>
      </c>
      <c r="B69" s="339">
        <f t="shared" si="11"/>
        <v>0</v>
      </c>
      <c r="C69" s="339">
        <f t="shared" si="11"/>
        <v>0</v>
      </c>
      <c r="D69" s="339">
        <f t="shared" si="11"/>
        <v>0</v>
      </c>
      <c r="E69" s="339">
        <f t="shared" si="11"/>
        <v>0</v>
      </c>
      <c r="F69" s="339">
        <f t="shared" si="11"/>
        <v>0</v>
      </c>
      <c r="G69" s="339">
        <f t="shared" si="12"/>
        <v>0</v>
      </c>
      <c r="H69" s="339">
        <f t="shared" si="12"/>
        <v>0</v>
      </c>
      <c r="I69" s="339">
        <f t="shared" si="12"/>
        <v>0</v>
      </c>
      <c r="J69" s="339">
        <f t="shared" si="12"/>
        <v>0</v>
      </c>
      <c r="K69" s="339">
        <f t="shared" si="12"/>
        <v>0</v>
      </c>
      <c r="L69" s="444"/>
      <c r="M69" s="444"/>
    </row>
    <row r="70" spans="1:13" x14ac:dyDescent="0.2">
      <c r="A70" s="338" t="s">
        <v>205</v>
      </c>
      <c r="B70" s="339">
        <f t="shared" si="11"/>
        <v>0</v>
      </c>
      <c r="C70" s="339">
        <f t="shared" si="11"/>
        <v>0</v>
      </c>
      <c r="D70" s="339">
        <f t="shared" si="11"/>
        <v>0</v>
      </c>
      <c r="E70" s="339">
        <f t="shared" si="11"/>
        <v>0</v>
      </c>
      <c r="F70" s="339">
        <f t="shared" si="11"/>
        <v>0</v>
      </c>
      <c r="G70" s="339">
        <f t="shared" si="12"/>
        <v>0</v>
      </c>
      <c r="H70" s="339">
        <f t="shared" si="12"/>
        <v>0</v>
      </c>
      <c r="I70" s="339">
        <f t="shared" si="12"/>
        <v>0</v>
      </c>
      <c r="J70" s="339">
        <f t="shared" si="12"/>
        <v>0</v>
      </c>
      <c r="K70" s="339">
        <f t="shared" si="12"/>
        <v>0</v>
      </c>
      <c r="L70" s="444"/>
      <c r="M70" s="444"/>
    </row>
    <row r="71" spans="1:13" x14ac:dyDescent="0.2">
      <c r="A71" s="338" t="s">
        <v>206</v>
      </c>
      <c r="B71" s="339">
        <f t="shared" si="11"/>
        <v>0</v>
      </c>
      <c r="C71" s="339">
        <f t="shared" si="11"/>
        <v>0</v>
      </c>
      <c r="D71" s="339">
        <f t="shared" si="11"/>
        <v>0</v>
      </c>
      <c r="E71" s="339">
        <f t="shared" si="11"/>
        <v>0</v>
      </c>
      <c r="F71" s="339">
        <f t="shared" si="11"/>
        <v>0</v>
      </c>
      <c r="G71" s="339">
        <f t="shared" si="12"/>
        <v>0</v>
      </c>
      <c r="H71" s="339">
        <f t="shared" si="12"/>
        <v>0</v>
      </c>
      <c r="I71" s="339">
        <f t="shared" si="12"/>
        <v>0</v>
      </c>
      <c r="J71" s="339">
        <f t="shared" si="12"/>
        <v>0</v>
      </c>
      <c r="K71" s="339">
        <f t="shared" si="12"/>
        <v>0</v>
      </c>
      <c r="L71" s="444"/>
      <c r="M71" s="444"/>
    </row>
    <row r="72" spans="1:13" x14ac:dyDescent="0.2">
      <c r="A72" s="338" t="s">
        <v>207</v>
      </c>
      <c r="B72" s="339">
        <f t="shared" si="11"/>
        <v>0</v>
      </c>
      <c r="C72" s="339">
        <f t="shared" si="11"/>
        <v>0</v>
      </c>
      <c r="D72" s="339">
        <f t="shared" si="11"/>
        <v>0</v>
      </c>
      <c r="E72" s="339">
        <f t="shared" si="11"/>
        <v>0</v>
      </c>
      <c r="F72" s="339">
        <f t="shared" si="11"/>
        <v>0</v>
      </c>
      <c r="G72" s="339">
        <f t="shared" si="12"/>
        <v>0</v>
      </c>
      <c r="H72" s="339">
        <f t="shared" si="12"/>
        <v>0</v>
      </c>
      <c r="I72" s="339">
        <f t="shared" si="12"/>
        <v>0</v>
      </c>
      <c r="J72" s="339">
        <f t="shared" si="12"/>
        <v>0</v>
      </c>
      <c r="K72" s="339">
        <f t="shared" si="12"/>
        <v>0</v>
      </c>
      <c r="L72" s="444"/>
      <c r="M72" s="444"/>
    </row>
    <row r="73" spans="1:13" x14ac:dyDescent="0.2">
      <c r="A73" s="338" t="s">
        <v>208</v>
      </c>
      <c r="B73" s="339">
        <f t="shared" si="11"/>
        <v>0</v>
      </c>
      <c r="C73" s="339">
        <f t="shared" si="11"/>
        <v>0</v>
      </c>
      <c r="D73" s="339">
        <f t="shared" si="11"/>
        <v>0</v>
      </c>
      <c r="E73" s="339">
        <f t="shared" si="11"/>
        <v>0</v>
      </c>
      <c r="F73" s="339">
        <f t="shared" si="11"/>
        <v>0</v>
      </c>
      <c r="G73" s="339">
        <f t="shared" si="12"/>
        <v>0</v>
      </c>
      <c r="H73" s="339">
        <f t="shared" si="12"/>
        <v>0</v>
      </c>
      <c r="I73" s="339">
        <f t="shared" si="12"/>
        <v>0</v>
      </c>
      <c r="J73" s="339">
        <f t="shared" si="12"/>
        <v>0</v>
      </c>
      <c r="K73" s="339">
        <f t="shared" si="12"/>
        <v>0</v>
      </c>
      <c r="L73" s="444"/>
      <c r="M73" s="444"/>
    </row>
    <row r="74" spans="1:13" x14ac:dyDescent="0.2">
      <c r="A74" s="338" t="s">
        <v>209</v>
      </c>
      <c r="B74" s="339">
        <f t="shared" si="11"/>
        <v>0</v>
      </c>
      <c r="C74" s="339">
        <f t="shared" si="11"/>
        <v>0</v>
      </c>
      <c r="D74" s="339">
        <f t="shared" si="11"/>
        <v>0</v>
      </c>
      <c r="E74" s="339">
        <f t="shared" si="11"/>
        <v>0</v>
      </c>
      <c r="F74" s="339">
        <f t="shared" si="11"/>
        <v>0</v>
      </c>
      <c r="G74" s="339">
        <f t="shared" si="12"/>
        <v>0</v>
      </c>
      <c r="H74" s="339">
        <f t="shared" si="12"/>
        <v>0</v>
      </c>
      <c r="I74" s="339">
        <f t="shared" si="12"/>
        <v>0</v>
      </c>
      <c r="J74" s="339">
        <f t="shared" si="12"/>
        <v>0</v>
      </c>
      <c r="K74" s="339">
        <f t="shared" si="12"/>
        <v>0</v>
      </c>
      <c r="L74" s="444"/>
      <c r="M74" s="444"/>
    </row>
    <row r="75" spans="1:13" x14ac:dyDescent="0.2">
      <c r="A75" s="338" t="s">
        <v>210</v>
      </c>
      <c r="B75" s="339">
        <f t="shared" si="11"/>
        <v>0</v>
      </c>
      <c r="C75" s="339">
        <f t="shared" si="11"/>
        <v>0</v>
      </c>
      <c r="D75" s="339">
        <f t="shared" si="11"/>
        <v>0</v>
      </c>
      <c r="E75" s="339">
        <f t="shared" si="11"/>
        <v>0</v>
      </c>
      <c r="F75" s="339">
        <f t="shared" si="11"/>
        <v>0</v>
      </c>
      <c r="G75" s="339">
        <f t="shared" si="12"/>
        <v>0</v>
      </c>
      <c r="H75" s="339">
        <f t="shared" si="12"/>
        <v>0</v>
      </c>
      <c r="I75" s="339">
        <f t="shared" si="12"/>
        <v>0</v>
      </c>
      <c r="J75" s="339">
        <f t="shared" si="12"/>
        <v>0</v>
      </c>
      <c r="K75" s="339">
        <f t="shared" si="12"/>
        <v>0</v>
      </c>
      <c r="L75" s="444"/>
      <c r="M75" s="444"/>
    </row>
    <row r="76" spans="1:13" x14ac:dyDescent="0.2">
      <c r="A76" s="338" t="s">
        <v>211</v>
      </c>
      <c r="B76" s="339">
        <f t="shared" si="11"/>
        <v>0</v>
      </c>
      <c r="C76" s="339">
        <f t="shared" si="11"/>
        <v>0</v>
      </c>
      <c r="D76" s="339">
        <f t="shared" si="11"/>
        <v>0</v>
      </c>
      <c r="E76" s="339">
        <f t="shared" si="11"/>
        <v>0</v>
      </c>
      <c r="F76" s="339">
        <f t="shared" si="11"/>
        <v>0</v>
      </c>
      <c r="G76" s="339">
        <f t="shared" si="12"/>
        <v>0</v>
      </c>
      <c r="H76" s="339">
        <f t="shared" si="12"/>
        <v>0</v>
      </c>
      <c r="I76" s="339">
        <f t="shared" si="12"/>
        <v>0</v>
      </c>
      <c r="J76" s="339">
        <f t="shared" si="12"/>
        <v>0</v>
      </c>
      <c r="K76" s="339">
        <f t="shared" si="12"/>
        <v>0</v>
      </c>
      <c r="L76" s="444"/>
      <c r="M76" s="444"/>
    </row>
    <row r="77" spans="1:13" x14ac:dyDescent="0.2">
      <c r="A77" s="338" t="s">
        <v>212</v>
      </c>
      <c r="B77" s="339">
        <f t="shared" si="11"/>
        <v>0</v>
      </c>
      <c r="C77" s="339">
        <f t="shared" si="11"/>
        <v>0</v>
      </c>
      <c r="D77" s="339">
        <f t="shared" si="11"/>
        <v>0</v>
      </c>
      <c r="E77" s="339">
        <f t="shared" si="11"/>
        <v>0</v>
      </c>
      <c r="F77" s="339">
        <f t="shared" si="11"/>
        <v>0</v>
      </c>
      <c r="G77" s="339">
        <f t="shared" si="12"/>
        <v>0</v>
      </c>
      <c r="H77" s="339">
        <f t="shared" si="12"/>
        <v>0</v>
      </c>
      <c r="I77" s="339">
        <f t="shared" si="12"/>
        <v>0</v>
      </c>
      <c r="J77" s="339">
        <f t="shared" si="12"/>
        <v>0</v>
      </c>
      <c r="K77" s="339">
        <f t="shared" si="12"/>
        <v>0</v>
      </c>
      <c r="L77" s="444"/>
      <c r="M77" s="444"/>
    </row>
    <row r="78" spans="1:13" x14ac:dyDescent="0.2">
      <c r="A78" s="338" t="s">
        <v>213</v>
      </c>
      <c r="B78" s="339">
        <f t="shared" si="11"/>
        <v>0</v>
      </c>
      <c r="C78" s="339">
        <f t="shared" si="11"/>
        <v>0</v>
      </c>
      <c r="D78" s="339">
        <f t="shared" si="11"/>
        <v>0</v>
      </c>
      <c r="E78" s="339">
        <f t="shared" si="11"/>
        <v>0</v>
      </c>
      <c r="F78" s="339">
        <f t="shared" si="11"/>
        <v>0</v>
      </c>
      <c r="G78" s="339">
        <f t="shared" si="12"/>
        <v>0</v>
      </c>
      <c r="H78" s="339">
        <f t="shared" si="12"/>
        <v>0</v>
      </c>
      <c r="I78" s="339">
        <f t="shared" si="12"/>
        <v>0</v>
      </c>
      <c r="J78" s="339">
        <f t="shared" si="12"/>
        <v>0</v>
      </c>
      <c r="K78" s="339">
        <f t="shared" si="12"/>
        <v>0</v>
      </c>
      <c r="L78" s="444"/>
      <c r="M78" s="444"/>
    </row>
    <row r="79" spans="1:13" ht="13.5" thickBot="1" x14ac:dyDescent="0.25">
      <c r="A79" s="343" t="s">
        <v>214</v>
      </c>
      <c r="B79" s="339">
        <f>C31*B$55</f>
        <v>0</v>
      </c>
      <c r="C79" s="339">
        <f>D31*C$55</f>
        <v>0</v>
      </c>
      <c r="D79" s="339">
        <f t="shared" ref="D79:F79" si="13">E31*D$55</f>
        <v>0</v>
      </c>
      <c r="E79" s="339">
        <f t="shared" si="13"/>
        <v>0</v>
      </c>
      <c r="F79" s="339">
        <f t="shared" si="13"/>
        <v>0</v>
      </c>
      <c r="G79" s="339">
        <f t="shared" si="12"/>
        <v>0</v>
      </c>
      <c r="H79" s="339">
        <f t="shared" si="12"/>
        <v>0</v>
      </c>
      <c r="I79" s="339">
        <f t="shared" si="12"/>
        <v>0</v>
      </c>
      <c r="J79" s="339">
        <f t="shared" si="12"/>
        <v>0</v>
      </c>
      <c r="K79" s="339">
        <f t="shared" si="12"/>
        <v>0</v>
      </c>
      <c r="L79" s="444"/>
      <c r="M79" s="444"/>
    </row>
    <row r="80" spans="1:13" ht="13.5" thickBot="1" x14ac:dyDescent="0.25">
      <c r="A80" s="344" t="s">
        <v>198</v>
      </c>
      <c r="B80" s="333">
        <f>SUM(B57:B79)</f>
        <v>11465.419786233517</v>
      </c>
      <c r="C80" s="333">
        <f>SUM(C57:C79)</f>
        <v>6760.1876952172015</v>
      </c>
      <c r="D80" s="333">
        <f t="shared" ref="D80:K80" si="14">SUM(D57:D79)</f>
        <v>0</v>
      </c>
      <c r="E80" s="333">
        <f t="shared" si="14"/>
        <v>0</v>
      </c>
      <c r="F80" s="333">
        <f t="shared" si="14"/>
        <v>0</v>
      </c>
      <c r="G80" s="333">
        <f t="shared" si="14"/>
        <v>0</v>
      </c>
      <c r="H80" s="333">
        <f t="shared" si="14"/>
        <v>0</v>
      </c>
      <c r="I80" s="333">
        <f t="shared" si="14"/>
        <v>7891.9811035173725</v>
      </c>
      <c r="J80" s="333">
        <f t="shared" si="14"/>
        <v>0</v>
      </c>
      <c r="K80" s="445">
        <f t="shared" si="14"/>
        <v>0</v>
      </c>
      <c r="L80" s="444"/>
      <c r="M80" s="444"/>
    </row>
    <row r="81" spans="1:13" x14ac:dyDescent="0.2">
      <c r="A81" s="129" t="s">
        <v>65</v>
      </c>
      <c r="B81" s="444"/>
      <c r="C81" s="444"/>
      <c r="D81" s="444"/>
      <c r="E81" s="444"/>
      <c r="F81" s="444"/>
      <c r="G81" s="444"/>
      <c r="H81" s="444"/>
      <c r="I81" s="291"/>
      <c r="J81" s="444"/>
      <c r="K81" s="444"/>
      <c r="L81" s="444"/>
      <c r="M81" s="444"/>
    </row>
    <row r="82" spans="1:13" x14ac:dyDescent="0.2">
      <c r="A82" s="129" t="s">
        <v>199</v>
      </c>
      <c r="B82" s="444"/>
      <c r="C82" s="444"/>
      <c r="D82" s="444"/>
      <c r="E82" s="444"/>
      <c r="F82" s="444"/>
      <c r="G82" s="444"/>
      <c r="H82" s="444"/>
      <c r="I82" s="291"/>
      <c r="J82" s="444"/>
      <c r="K82" s="444"/>
      <c r="L82" s="444"/>
      <c r="M82" s="444"/>
    </row>
    <row r="83" spans="1:13" x14ac:dyDescent="0.2">
      <c r="A83" s="110" t="s">
        <v>200</v>
      </c>
      <c r="B83" s="444"/>
      <c r="C83" s="444"/>
      <c r="D83" s="444"/>
      <c r="E83" s="444"/>
      <c r="F83" s="444"/>
      <c r="G83" s="444"/>
      <c r="H83" s="444"/>
      <c r="I83" s="291"/>
      <c r="J83" s="444"/>
      <c r="K83" s="444"/>
      <c r="L83" s="444"/>
      <c r="M83" s="444"/>
    </row>
    <row r="84" spans="1:13" x14ac:dyDescent="0.2">
      <c r="A84" s="110" t="s">
        <v>201</v>
      </c>
      <c r="B84" s="444"/>
      <c r="C84" s="444"/>
      <c r="D84" s="444"/>
      <c r="E84" s="444"/>
      <c r="F84" s="444"/>
      <c r="G84" s="444"/>
      <c r="H84" s="444"/>
      <c r="I84" s="291"/>
      <c r="J84" s="444"/>
      <c r="K84" s="444"/>
      <c r="L84" s="444"/>
      <c r="M84" s="444"/>
    </row>
    <row r="85" spans="1:13" x14ac:dyDescent="0.2">
      <c r="A85" s="110" t="s">
        <v>202</v>
      </c>
      <c r="B85" s="444"/>
      <c r="C85" s="444"/>
      <c r="D85" s="444"/>
      <c r="E85" s="444"/>
      <c r="F85" s="444"/>
      <c r="G85" s="444"/>
      <c r="H85" s="444"/>
      <c r="I85" s="291"/>
      <c r="J85" s="444"/>
      <c r="K85" s="444"/>
      <c r="L85" s="444"/>
      <c r="M85" s="444"/>
    </row>
    <row r="86" spans="1:13" ht="13.5" thickBot="1" x14ac:dyDescent="0.25">
      <c r="A86" s="15"/>
      <c r="B86" s="15"/>
      <c r="C86" s="15"/>
      <c r="D86" s="15"/>
      <c r="E86" s="15"/>
      <c r="F86" s="15"/>
      <c r="G86" s="15"/>
      <c r="H86" s="15"/>
      <c r="I86" s="15"/>
      <c r="J86" s="15"/>
      <c r="K86" s="15"/>
      <c r="L86" s="15"/>
      <c r="M86" s="15"/>
    </row>
    <row r="87" spans="1:13" ht="16.5" thickBot="1" x14ac:dyDescent="0.3">
      <c r="A87" s="144" t="s">
        <v>57</v>
      </c>
      <c r="B87" s="15"/>
      <c r="C87" s="15"/>
      <c r="D87" s="15"/>
      <c r="E87" s="15"/>
      <c r="F87" s="15"/>
      <c r="G87" s="15"/>
      <c r="H87" s="15"/>
      <c r="I87" s="15"/>
      <c r="J87" s="15"/>
      <c r="K87" s="15"/>
      <c r="L87" s="15"/>
      <c r="M87" s="15"/>
    </row>
    <row r="88" spans="1:13" ht="77.25" thickBot="1" x14ac:dyDescent="0.25">
      <c r="A88" s="256" t="s">
        <v>3</v>
      </c>
      <c r="B88" s="257" t="s">
        <v>71</v>
      </c>
      <c r="C88" s="258" t="s">
        <v>87</v>
      </c>
      <c r="D88" s="23"/>
      <c r="E88" s="15"/>
      <c r="F88" s="15"/>
      <c r="G88" s="15"/>
      <c r="H88" s="15"/>
      <c r="I88" s="15"/>
      <c r="J88" s="15"/>
      <c r="K88" s="15"/>
      <c r="L88" s="15"/>
      <c r="M88" s="15"/>
    </row>
    <row r="89" spans="1:13" x14ac:dyDescent="0.2">
      <c r="A89" s="261" t="s">
        <v>28</v>
      </c>
      <c r="B89" s="294">
        <f>C46*B55</f>
        <v>24189.239305102416</v>
      </c>
      <c r="C89" s="239">
        <f>B80</f>
        <v>11465.419786233517</v>
      </c>
      <c r="D89" s="15"/>
      <c r="E89" s="15"/>
      <c r="F89" s="15"/>
      <c r="G89" s="15"/>
      <c r="H89" s="15"/>
      <c r="I89" s="15"/>
      <c r="J89" s="15"/>
      <c r="K89" s="15"/>
      <c r="L89" s="15"/>
      <c r="M89" s="15"/>
    </row>
    <row r="90" spans="1:13" x14ac:dyDescent="0.2">
      <c r="A90" s="39" t="s">
        <v>33</v>
      </c>
      <c r="B90" s="295">
        <f>D46*C55</f>
        <v>285.23998713996633</v>
      </c>
      <c r="C90" s="43">
        <f>C80</f>
        <v>6760.1876952172015</v>
      </c>
      <c r="D90" s="44"/>
      <c r="E90" s="15"/>
      <c r="F90" s="15"/>
      <c r="G90" s="15"/>
      <c r="H90" s="15"/>
      <c r="I90" s="15"/>
      <c r="J90" s="15"/>
      <c r="K90" s="15"/>
      <c r="L90" s="15"/>
      <c r="M90" s="15"/>
    </row>
    <row r="91" spans="1:13" x14ac:dyDescent="0.2">
      <c r="A91" s="39" t="s">
        <v>5</v>
      </c>
      <c r="B91" s="295">
        <f>E46*D55</f>
        <v>0</v>
      </c>
      <c r="C91" s="43">
        <f>D80</f>
        <v>0</v>
      </c>
      <c r="D91" s="15"/>
      <c r="E91" s="15"/>
      <c r="F91" s="15"/>
      <c r="G91" s="15"/>
      <c r="H91" s="15"/>
      <c r="I91" s="15"/>
      <c r="J91" s="15"/>
      <c r="K91" s="15"/>
      <c r="L91" s="15"/>
      <c r="M91" s="15"/>
    </row>
    <row r="92" spans="1:13" x14ac:dyDescent="0.2">
      <c r="A92" s="130" t="s">
        <v>8</v>
      </c>
      <c r="B92" s="295">
        <f>F46*E55</f>
        <v>0</v>
      </c>
      <c r="C92" s="43">
        <f>E80</f>
        <v>0</v>
      </c>
      <c r="D92" s="15"/>
      <c r="E92" s="15"/>
      <c r="F92" s="15"/>
      <c r="G92" s="15"/>
      <c r="H92" s="15"/>
      <c r="I92" s="15"/>
      <c r="J92" s="15"/>
      <c r="K92" s="15"/>
      <c r="L92" s="15"/>
      <c r="M92" s="15"/>
    </row>
    <row r="93" spans="1:13" x14ac:dyDescent="0.2">
      <c r="A93" s="130" t="s">
        <v>34</v>
      </c>
      <c r="B93" s="295">
        <f>G46*F55</f>
        <v>0</v>
      </c>
      <c r="C93" s="43">
        <f>F80</f>
        <v>0</v>
      </c>
      <c r="D93" s="15"/>
      <c r="E93" s="15"/>
      <c r="F93" s="15"/>
      <c r="G93" s="15"/>
      <c r="H93" s="15"/>
      <c r="I93" s="15"/>
      <c r="J93" s="15"/>
      <c r="K93" s="15"/>
      <c r="L93" s="15"/>
      <c r="M93" s="15"/>
    </row>
    <row r="94" spans="1:13" x14ac:dyDescent="0.2">
      <c r="A94" s="130" t="s">
        <v>35</v>
      </c>
      <c r="B94" s="296">
        <f>I46*G55</f>
        <v>0</v>
      </c>
      <c r="C94" s="43">
        <f>G80</f>
        <v>0</v>
      </c>
      <c r="D94" s="15"/>
      <c r="E94" s="15"/>
      <c r="F94" s="15"/>
      <c r="G94" s="15"/>
      <c r="H94" s="15"/>
      <c r="I94" s="15"/>
      <c r="J94" s="15"/>
      <c r="K94" s="15"/>
      <c r="L94" s="15"/>
      <c r="M94" s="15"/>
    </row>
    <row r="95" spans="1:13" x14ac:dyDescent="0.2">
      <c r="A95" s="130" t="s">
        <v>15</v>
      </c>
      <c r="B95" s="296">
        <f>J46*H55</f>
        <v>0</v>
      </c>
      <c r="C95" s="43">
        <f>H80</f>
        <v>0</v>
      </c>
      <c r="D95" s="15"/>
      <c r="E95" s="15"/>
      <c r="F95" s="15"/>
      <c r="G95" s="15"/>
      <c r="H95" s="15"/>
      <c r="I95" s="15"/>
      <c r="J95" s="15"/>
      <c r="K95" s="15"/>
      <c r="L95" s="15"/>
      <c r="M95" s="15"/>
    </row>
    <row r="96" spans="1:13" x14ac:dyDescent="0.2">
      <c r="A96" s="130" t="s">
        <v>11</v>
      </c>
      <c r="B96" s="296">
        <f>K46*I55</f>
        <v>1694.4547663434359</v>
      </c>
      <c r="C96" s="131">
        <f>I80</f>
        <v>7891.9811035173725</v>
      </c>
      <c r="D96" s="15"/>
      <c r="E96" s="15"/>
      <c r="F96" s="15"/>
      <c r="G96" s="15"/>
      <c r="H96" s="15"/>
      <c r="I96" s="15"/>
      <c r="J96" s="15"/>
      <c r="K96" s="15"/>
      <c r="L96" s="15"/>
      <c r="M96" s="15"/>
    </row>
    <row r="97" spans="1:13" x14ac:dyDescent="0.2">
      <c r="A97" s="130" t="s">
        <v>50</v>
      </c>
      <c r="B97" s="296">
        <f>L46*J55</f>
        <v>10690.975828111012</v>
      </c>
      <c r="C97" s="131">
        <f>J80</f>
        <v>0</v>
      </c>
      <c r="D97" s="44"/>
      <c r="E97" s="15"/>
      <c r="F97" s="15"/>
      <c r="G97" s="15"/>
      <c r="H97" s="15"/>
      <c r="I97" s="15"/>
      <c r="J97" s="15"/>
      <c r="K97" s="15"/>
      <c r="L97" s="15"/>
      <c r="M97" s="15"/>
    </row>
    <row r="98" spans="1:13" ht="13.5" thickBot="1" x14ac:dyDescent="0.25">
      <c r="A98" s="262" t="s">
        <v>20</v>
      </c>
      <c r="B98" s="297">
        <f>M46*K55</f>
        <v>0</v>
      </c>
      <c r="C98" s="240">
        <f>K80</f>
        <v>0</v>
      </c>
      <c r="D98" s="44"/>
      <c r="E98" s="15"/>
      <c r="F98" s="15"/>
      <c r="G98" s="15"/>
      <c r="H98" s="15"/>
      <c r="I98" s="15"/>
      <c r="J98" s="15"/>
      <c r="K98" s="15"/>
      <c r="L98" s="15"/>
      <c r="M98" s="15"/>
    </row>
    <row r="99" spans="1:13" ht="13.5" thickBot="1" x14ac:dyDescent="0.25">
      <c r="A99" s="259" t="s">
        <v>48</v>
      </c>
      <c r="B99" s="298">
        <f>SUM(B89:B98)</f>
        <v>36859.909886696827</v>
      </c>
      <c r="C99" s="260">
        <f>SUM(C89:C98)</f>
        <v>26117.588584968093</v>
      </c>
      <c r="D99" s="15"/>
      <c r="E99" s="15"/>
      <c r="F99" s="15"/>
      <c r="G99" s="15"/>
      <c r="H99" s="15"/>
      <c r="I99" s="15"/>
      <c r="J99" s="15"/>
      <c r="K99" s="15"/>
      <c r="L99" s="15"/>
      <c r="M99" s="15"/>
    </row>
  </sheetData>
  <mergeCells count="3">
    <mergeCell ref="A3:A4"/>
    <mergeCell ref="A53:A54"/>
    <mergeCell ref="B56:K56"/>
  </mergeCells>
  <pageMargins left="0.45" right="0.45" top="0.5" bottom="0.5" header="0" footer="0"/>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FZSF-FZCP</vt:lpstr>
      <vt:lpstr>UCAP Oblig.-ZCP</vt:lpstr>
      <vt:lpstr>Summary</vt:lpstr>
      <vt:lpstr>Pricing Points</vt:lpstr>
      <vt:lpstr>BRA Resource Clearing Results</vt:lpstr>
      <vt:lpstr>BRA Load Pricing Results</vt:lpstr>
      <vt:lpstr>BRA CTRs</vt:lpstr>
      <vt:lpstr>BRA ICTRs</vt:lpstr>
      <vt:lpstr>3rdIA Resource Clearing Results</vt:lpstr>
      <vt:lpstr>3rd IA Load Pricing Results</vt:lpstr>
      <vt:lpstr>3rd IA CTRs</vt:lpstr>
      <vt:lpstr>3rd IA ICTRs</vt:lpstr>
      <vt:lpstr>'3rd IA ICTRs'!Print_Area</vt:lpstr>
      <vt:lpstr>'BRA CTRs'!Print_Area</vt:lpstr>
      <vt:lpstr>'BRA ICTRs'!Print_Area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Hayik, Seth A.</cp:lastModifiedBy>
  <cp:lastPrinted>2019-09-17T17:18:56Z</cp:lastPrinted>
  <dcterms:created xsi:type="dcterms:W3CDTF">2007-03-21T19:37:11Z</dcterms:created>
  <dcterms:modified xsi:type="dcterms:W3CDTF">2024-06-06T19:07:48Z</dcterms:modified>
</cp:coreProperties>
</file>