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fileSharing readOnlyRecommended="1"/>
  <workbookPr codeName="ThisWorkbook"/>
  <mc:AlternateContent xmlns:mc="http://schemas.openxmlformats.org/markup-compatibility/2006">
    <mc:Choice Requires="x15">
      <x15ac:absPath xmlns:x15ac="http://schemas.microsoft.com/office/spreadsheetml/2010/11/ac" url="\\Cltlegal01\users\HHorne\2018 Preliminary Challenges and Responses\DEOK Preliminary Challenge\2018 Correction\"/>
    </mc:Choice>
  </mc:AlternateContent>
  <bookViews>
    <workbookView xWindow="0" yWindow="0" windowWidth="20160" windowHeight="8235" tabRatio="962" activeTab="2"/>
  </bookViews>
  <sheets>
    <sheet name="Print" sheetId="49" r:id="rId1"/>
    <sheet name="INPUT" sheetId="67" r:id="rId2"/>
    <sheet name="Changes to May 2018 filing" sheetId="82" r:id="rId3"/>
    <sheet name="DEOK" sheetId="79" r:id="rId4"/>
    <sheet name="DEO" sheetId="2" r:id="rId5"/>
    <sheet name="DEK" sheetId="1" r:id="rId6"/>
    <sheet name="Sch 1A - Appx A" sheetId="50" r:id="rId7"/>
    <sheet name="Appx B - DEOK(RTEP)" sheetId="42" r:id="rId8"/>
    <sheet name="Appx B - DEO(RTEP)" sheetId="40" r:id="rId9"/>
    <sheet name="Appx B - DEK(RTEP)" sheetId="41" r:id="rId10"/>
    <sheet name="Appx C - DEOK(MTEP)" sheetId="52" r:id="rId11"/>
    <sheet name="Appx C - DEO(MTEP)" sheetId="53" r:id="rId12"/>
    <sheet name="Appx C - DEK(MTEP)" sheetId="54" r:id="rId13"/>
    <sheet name="Appx D DEO" sheetId="63" r:id="rId14"/>
    <sheet name="Appx D DEK" sheetId="64" r:id="rId15"/>
    <sheet name="P1 ADIT 190 &amp; 282" sheetId="22" r:id="rId16"/>
    <sheet name="P2 Allocate M&amp;S" sheetId="12" r:id="rId17"/>
    <sheet name="P3 Land Held for Future Use" sheetId="32" r:id="rId18"/>
    <sheet name="P4 Advertising - EPRI Adj." sheetId="19" r:id="rId19"/>
    <sheet name="P5 Schedule 1 Charges acct 561" sheetId="9" r:id="rId20"/>
    <sheet name="P6 Statetax" sheetId="5" r:id="rId21"/>
    <sheet name="P7 Trans Plant In OATT" sheetId="37" r:id="rId22"/>
    <sheet name="P8 Rev Cred Support" sheetId="20" r:id="rId23"/>
    <sheet name="P9 Capital Structure" sheetId="26" r:id="rId24"/>
    <sheet name="P10 Partner KW" sheetId="13" r:id="rId25"/>
    <sheet name="P11 Salaries and Wages" sheetId="68" r:id="rId26"/>
    <sheet name="P12 PBOP - DEO" sheetId="73" r:id="rId27"/>
    <sheet name="P13 PBOP - DEK" sheetId="74" r:id="rId28"/>
    <sheet name="P14 Sch 1A Denominator" sheetId="75" r:id="rId29"/>
    <sheet name="P15 Sch 1A Rev Cr" sheetId="77" r:id="rId30"/>
    <sheet name="P16 Pole Counts" sheetId="76" r:id="rId31"/>
    <sheet name="P17 Prior Yr Corr" sheetId="71" r:id="rId32"/>
    <sheet name="P18 LSE Expenses" sheetId="81" r:id="rId33"/>
  </sheets>
  <externalReferences>
    <externalReference r:id="rId34"/>
    <externalReference r:id="rId35"/>
    <externalReference r:id="rId36"/>
    <externalReference r:id="rId37"/>
  </externalReferences>
  <definedNames>
    <definedName name="______kim1" hidden="1">{#N/A,#N/A,FALSE,"Aging Summary";#N/A,#N/A,FALSE,"Ratio Analysis";#N/A,#N/A,FALSE,"Test 120 Day Accts";#N/A,#N/A,FALSE,"Tickmarks"}</definedName>
    <definedName name="______kim6" hidden="1">{#N/A,#N/A,FALSE,"Aging Summary";#N/A,#N/A,FALSE,"Ratio Analysis";#N/A,#N/A,FALSE,"Test 120 Day Accts";#N/A,#N/A,FALSE,"Tickmarks"}</definedName>
    <definedName name="_____kim1" hidden="1">{#N/A,#N/A,FALSE,"Aging Summary";#N/A,#N/A,FALSE,"Ratio Analysis";#N/A,#N/A,FALSE,"Test 120 Day Accts";#N/A,#N/A,FALSE,"Tickmarks"}</definedName>
    <definedName name="_____kim6" hidden="1">{#N/A,#N/A,FALSE,"Aging Summary";#N/A,#N/A,FALSE,"Ratio Analysis";#N/A,#N/A,FALSE,"Test 120 Day Accts";#N/A,#N/A,FALSE,"Tickmarks"}</definedName>
    <definedName name="____kim1" hidden="1">{#N/A,#N/A,FALSE,"Aging Summary";#N/A,#N/A,FALSE,"Ratio Analysis";#N/A,#N/A,FALSE,"Test 120 Day Accts";#N/A,#N/A,FALSE,"Tickmarks"}</definedName>
    <definedName name="____kim6" hidden="1">{#N/A,#N/A,FALSE,"Aging Summary";#N/A,#N/A,FALSE,"Ratio Analysis";#N/A,#N/A,FALSE,"Test 120 Day Accts";#N/A,#N/A,FALSE,"Tickmarks"}</definedName>
    <definedName name="___kim1" hidden="1">{#N/A,#N/A,FALSE,"Aging Summary";#N/A,#N/A,FALSE,"Ratio Analysis";#N/A,#N/A,FALSE,"Test 120 Day Accts";#N/A,#N/A,FALSE,"Tickmarks"}</definedName>
    <definedName name="___kim6" hidden="1">{#N/A,#N/A,FALSE,"Aging Summary";#N/A,#N/A,FALSE,"Ratio Analysis";#N/A,#N/A,FALSE,"Test 120 Day Accts";#N/A,#N/A,FALSE,"Tickmarks"}</definedName>
    <definedName name="__kim1" hidden="1">{#N/A,#N/A,FALSE,"Aging Summary";#N/A,#N/A,FALSE,"Ratio Analysis";#N/A,#N/A,FALSE,"Test 120 Day Accts";#N/A,#N/A,FALSE,"Tickmarks"}</definedName>
    <definedName name="__kim6" hidden="1">{#N/A,#N/A,FALSE,"Aging Summary";#N/A,#N/A,FALSE,"Ratio Analysis";#N/A,#N/A,FALSE,"Test 120 Day Accts";#N/A,#N/A,FALSE,"Tickmarks"}</definedName>
    <definedName name="_Key1" hidden="1">'[1]TAX_EQUITY_Field Serv'!$A$10</definedName>
    <definedName name="_kim1" hidden="1">{#N/A,#N/A,FALSE,"Aging Summary";#N/A,#N/A,FALSE,"Ratio Analysis";#N/A,#N/A,FALSE,"Test 120 Day Accts";#N/A,#N/A,FALSE,"Tickmarks"}</definedName>
    <definedName name="_kim6" hidden="1">{#N/A,#N/A,FALSE,"Aging Summary";#N/A,#N/A,FALSE,"Ratio Analysis";#N/A,#N/A,FALSE,"Test 120 Day Accts";#N/A,#N/A,FALSE,"Tickmarks"}</definedName>
    <definedName name="_Order1" hidden="1">255</definedName>
    <definedName name="_Sort" hidden="1">'[1]TAX_EQUITY_Field Serv'!$A$10:$E$76</definedName>
    <definedName name="anscount" hidden="1">1</definedName>
    <definedName name="Appendix_A">'Sch 1A - Appx A'!$A$1:$H$38</definedName>
    <definedName name="AppxB_DEK_Pg1_RTEP">'Appx B - DEK(RTEP)'!$A$1:$I$45</definedName>
    <definedName name="AppxB_DEK_Pg2_RTEP">'Appx B - DEK(RTEP)'!$K$49:$X$100</definedName>
    <definedName name="AppxB_DEO_Pg1_RTEP">'Appx B - DEO(RTEP)'!$A$1:$I$45</definedName>
    <definedName name="AppxB_DEO_Pg2_RTEP">'Appx B - DEO(RTEP)'!$K$49:$X$100</definedName>
    <definedName name="AppxB_DEOK_Pg1_RTEP">'Appx B - DEOK(RTEP)'!$B$1:$O$52</definedName>
    <definedName name="AppxC_DEK_Pg1_MTEP">'Appx C - DEK(MTEP)'!$A$1:$I$45</definedName>
    <definedName name="AppxC_DEK_Pg2_MTEP">'Appx C - DEK(MTEP)'!$K$49:$X$100</definedName>
    <definedName name="AppxC_DEO_Pg1_MTEP">'Appx C - DEO(MTEP)'!$A$1:$I$45</definedName>
    <definedName name="AppxC_DEO_Pg2_MTEP">'Appx C - DEO(MTEP)'!$K$49:$X$100</definedName>
    <definedName name="AppxC_DEOK_Pg1_MTEP">'Appx C - DEOK(MTEP)'!$B$1:$O$52</definedName>
    <definedName name="AppxD_DEK">'Appx D DEK'!$A$1:$G$30</definedName>
    <definedName name="AppxD_DEO">'Appx D DEO'!$A$1:$G$67</definedName>
    <definedName name="AS2DocOpenMode" hidden="1">"AS2DocumentEdit"</definedName>
    <definedName name="AS2NamedRange" hidden="1">7</definedName>
    <definedName name="BNE_MESSAGES_HIDDEN" localSheetId="3" hidden="1">#REF!</definedName>
    <definedName name="BNE_MESSAGES_HIDDEN" localSheetId="26" hidden="1">#REF!</definedName>
    <definedName name="BNE_MESSAGES_HIDDEN" localSheetId="27" hidden="1">#REF!</definedName>
    <definedName name="BNE_MESSAGES_HIDDEN" hidden="1">#REF!</definedName>
    <definedName name="d" hidden="1">{"edcredit",#N/A,FALSE,"edcredit"}</definedName>
    <definedName name="DEK_1of6">DEK!$A$1:$J$43</definedName>
    <definedName name="DEK_2of6">DEK!$A$44:$J$103</definedName>
    <definedName name="DEK_3of6">DEK!$A$104:$J$173</definedName>
    <definedName name="DEK_4of6">DEK!$A$174:$L$249</definedName>
    <definedName name="DEK_5of6">DEK!$A$251:$L$310</definedName>
    <definedName name="DEK_6of6">DEK!$A$311:$L$340</definedName>
    <definedName name="DEKWagesAllocator">DEK!$J$212</definedName>
    <definedName name="DEO_1of6">DEO!$A$1:$J$43</definedName>
    <definedName name="DEO_2of6">DEO!$A$44:$J$103</definedName>
    <definedName name="DEO_3of6">DEO!$A$104:$J$173</definedName>
    <definedName name="DEO_4of6">DEO!$A$174:$L$249</definedName>
    <definedName name="DEO_5of6">DEO!$A$251:$L$310</definedName>
    <definedName name="DEO_6of6">DEO!$A$311:$L$340</definedName>
    <definedName name="DEOK_1of1">DEOK!$A$1:$G$56</definedName>
    <definedName name="DEOWagesAllocator">DEO!$J$212</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uh" hidden="1">{"edcredit",#N/A,FALSE,"edcredit"}</definedName>
    <definedName name="ej" hidden="1">{"Page 1",#N/A,FALSE,"Sheet1";"Page 2",#N/A,FALSE,"Sheet1"}</definedName>
    <definedName name="f" hidden="1">{"edcredit",#N/A,FALSE,"edcredit"}</definedName>
    <definedName name="FERCrefund" localSheetId="2">'[2]Appx E'!$G$33</definedName>
    <definedName name="FERCrefund">INPUT!$C$154</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FIT">INPUT!$C$86</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40661.3016898148</definedName>
    <definedName name="IQ_NTM" hidden="1">6000</definedName>
    <definedName name="IQ_OPENED55" hidden="1">1</definedName>
    <definedName name="IQ_TODAY" hidden="1">0</definedName>
    <definedName name="IQ_WEEK" hidden="1">50000</definedName>
    <definedName name="IQ_YTD" hidden="1">3000</definedName>
    <definedName name="IQ_YTDMONTH" hidden="1">130000</definedName>
    <definedName name="jj" hidden="1">{"Page 1",#N/A,FALSE,"Sheet1";"Page 2",#N/A,FALSE,"Sheet1"}</definedName>
    <definedName name="lkjh" hidden="1">{#N/A,#N/A,TRUE,"CIN-11";#N/A,#N/A,TRUE,"CIN-13";#N/A,#N/A,TRUE,"CIN-14";#N/A,#N/A,TRUE,"CIN-16";#N/A,#N/A,TRUE,"CIN-17";#N/A,#N/A,TRUE,"CIN-18";#N/A,#N/A,TRUE,"CIN Earnings To Fixed Charges";#N/A,#N/A,TRUE,"CIN Financial Ratios";#N/A,#N/A,TRUE,"CIN-IS";#N/A,#N/A,TRUE,"CIN-BS";#N/A,#N/A,TRUE,"CIN-CS";#N/A,#N/A,TRUE,"Invest In Unconsol Subs"}</definedName>
    <definedName name="May1Forecast" hidden="1">{"Page 1",#N/A,FALSE,"Sheet1";"Page 2",#N/A,FALSE,"Sheet1"}</definedName>
    <definedName name="MayForecast" hidden="1">{"Page 1",#N/A,FALSE,"Sheet1";"Page 2",#N/A,FALSE,"Sheet1"}</definedName>
    <definedName name="mypassword" hidden="1">"chuck"</definedName>
    <definedName name="PeakKW_DEK" localSheetId="2">'[2]P10 Partner KW'!$B$16:$M$16</definedName>
    <definedName name="PeakKW_DEK">'P10 Partner KW'!$B$16:$M$16</definedName>
    <definedName name="PeakKW_DEO" localSheetId="2">'[2]P10 Partner KW'!$B$18:$M$18</definedName>
    <definedName name="PeakKW_DEO">'P10 Partner KW'!$B$18:$M$18</definedName>
    <definedName name="PeakKW_DEOK" localSheetId="2">'[2]P10 Partner KW'!$B$13:$M$13</definedName>
    <definedName name="PeakKW_DEOK">'P10 Partner KW'!$B$13:$M$13</definedName>
    <definedName name="PG1_Support_Corrections" localSheetId="2">'Changes to May 2018 filing'!$A$1:$G$41</definedName>
    <definedName name="PG1_Support_Corrections" localSheetId="31">'P17 Prior Yr Corr'!$A$1:$E$12</definedName>
    <definedName name="PG1_Support_Corrections">'P11 Salaries and Wages'!$A$1:$D$43</definedName>
    <definedName name="_xlnm.Print_Area" localSheetId="9">'Appx B - DEK(RTEP)'!$K$49:$X$100</definedName>
    <definedName name="_xlnm.Print_Area" localSheetId="8">'Appx B - DEO(RTEP)'!$K$49:$X$100</definedName>
    <definedName name="_xlnm.Print_Area" localSheetId="7">'Appx B - DEOK(RTEP)'!$B$1:$O$52</definedName>
    <definedName name="_xlnm.Print_Area" localSheetId="12">'Appx C - DEK(MTEP)'!$K$49:$X$100</definedName>
    <definedName name="_xlnm.Print_Area" localSheetId="11">'Appx C - DEO(MTEP)'!$K$49:$X$100</definedName>
    <definedName name="_xlnm.Print_Area" localSheetId="10">'Appx C - DEOK(MTEP)'!$B$1:$O$52</definedName>
    <definedName name="_xlnm.Print_Area" localSheetId="14">'Appx D DEK'!$A$1:$G$30</definedName>
    <definedName name="_xlnm.Print_Area" localSheetId="13">'Appx D DEO'!$A$1:$G$67</definedName>
    <definedName name="_xlnm.Print_Area" localSheetId="2">'Changes to May 2018 filing'!$A$1:$G$41</definedName>
    <definedName name="_xlnm.Print_Area" localSheetId="5">DEK!$A$311:$L$340</definedName>
    <definedName name="_xlnm.Print_Area" localSheetId="4">DEO!$A$311:$L$340</definedName>
    <definedName name="_xlnm.Print_Area" localSheetId="3">DEOK!$A$1:$G$56</definedName>
    <definedName name="_xlnm.Print_Area" localSheetId="15">'P1 ADIT 190 &amp; 282'!$A$1:$E$58</definedName>
    <definedName name="_xlnm.Print_Area" localSheetId="24">'P10 Partner KW'!$A$1:$O$22</definedName>
    <definedName name="_xlnm.Print_Area" localSheetId="25">'P11 Salaries and Wages'!$A$1:$D$44</definedName>
    <definedName name="_xlnm.Print_Area" localSheetId="26">'P12 PBOP - DEO'!$B$1:$L$32</definedName>
    <definedName name="_xlnm.Print_Area" localSheetId="27">'P13 PBOP - DEK'!$B$1:$L$32</definedName>
    <definedName name="_xlnm.Print_Area" localSheetId="28">'P14 Sch 1A Denominator'!$B$1:$F$42</definedName>
    <definedName name="_xlnm.Print_Area" localSheetId="29">'P15 Sch 1A Rev Cr'!$A$1:$H$36</definedName>
    <definedName name="_xlnm.Print_Area" localSheetId="30">'P16 Pole Counts'!$A$1:$I$25</definedName>
    <definedName name="_xlnm.Print_Area" localSheetId="32">'P18 LSE Expenses'!$A$1:$H$21</definedName>
    <definedName name="_xlnm.Print_Area" localSheetId="16">'P2 Allocate M&amp;S'!$A$1:$H$31</definedName>
    <definedName name="_xlnm.Print_Area" localSheetId="17">'P3 Land Held for Future Use'!$A$1:$D$31</definedName>
    <definedName name="_xlnm.Print_Area" localSheetId="18">'P4 Advertising - EPRI Adj.'!$A$1:$E$40</definedName>
    <definedName name="_xlnm.Print_Area" localSheetId="19">'P5 Schedule 1 Charges acct 561'!$A$1:$D$40</definedName>
    <definedName name="_xlnm.Print_Area" localSheetId="20">'P6 Statetax'!$A$1:$D$18</definedName>
    <definedName name="_xlnm.Print_Area" localSheetId="21">'P7 Trans Plant In OATT'!$A$1:$C$17</definedName>
    <definedName name="_xlnm.Print_Area" localSheetId="22">'P8 Rev Cred Support'!$A$1:$E$52</definedName>
    <definedName name="_xlnm.Print_Area" localSheetId="23">'P9 Capital Structure'!$A$1:$B$21</definedName>
    <definedName name="_xlnm.Print_Area" localSheetId="6">'Sch 1A - Appx A'!$A$1:$H$40</definedName>
    <definedName name="_xlnm.Print_Titles" localSheetId="1">INPUT!$A:$B,INPUT!$1:$6</definedName>
    <definedName name="PriorYearCorrections">'Changes to May 2018 filing'!$B$1:$G$41</definedName>
    <definedName name="R_DEK">DEK!$J$236</definedName>
    <definedName name="R_DEO">DEO!$J$236</definedName>
    <definedName name="rngCopyFormulasSource" localSheetId="3" hidden="1">'[3]CIN-14'!#REF!</definedName>
    <definedName name="rngCopyFormulasSource" localSheetId="26" hidden="1">'[3]CIN-14'!#REF!</definedName>
    <definedName name="rngCopyFormulasSource" localSheetId="27" hidden="1">'[3]CIN-14'!#REF!</definedName>
    <definedName name="rngCopyFormulasSource" hidden="1">'[3]CIN-14'!#REF!</definedName>
    <definedName name="ROE" localSheetId="2">[2]INPUT!$C$147</definedName>
    <definedName name="ROE">INPUT!$C$146</definedName>
    <definedName name="SCH_1A">'Sch 1A - Appx A'!$A$1:$H$40</definedName>
    <definedName name="sdfg" hidden="1">{#N/A,#N/A,TRUE,"CIN-11";#N/A,#N/A,TRUE,"CIN-13";#N/A,#N/A,TRUE,"CIN-14";#N/A,#N/A,TRUE,"CIN-16";#N/A,#N/A,TRUE,"CIN-17";#N/A,#N/A,TRUE,"CIN-18";#N/A,#N/A,TRUE,"CIN Earnings To Fixed Charges";#N/A,#N/A,TRUE,"CIN Financial Ratios";#N/A,#N/A,TRUE,"CIN-IS";#N/A,#N/A,TRUE,"CIN-BS";#N/A,#N/A,TRUE,"CIN-CS";#N/A,#N/A,TRUE,"Invest In Unconsol Subs"}</definedName>
    <definedName name="SIT_DEK">INPUT!$D$87</definedName>
    <definedName name="SIT_DEO">INPUT!$C$87</definedName>
    <definedName name="spoc" hidden="1">{"Page 1",#N/A,FALSE,"Sheet1";"Page 2",#N/A,FALSE,"Sheet1"}</definedName>
    <definedName name="test1" hidden="1">{"Page 1",#N/A,FALSE,"Sheet1";"Page 2",#N/A,FALSE,"Sheet1"}</definedName>
    <definedName name="test2" hidden="1">{"Page 1",#N/A,FALSE,"Sheet1";"Page 2",#N/A,FALSE,"Sheet1"}</definedName>
    <definedName name="TP_Footer_User" hidden="1">"combsk"</definedName>
    <definedName name="TP_Footer_Version" hidden="1">"v4.00"</definedName>
    <definedName name="WCLTD_DEK">DEK!$J$233</definedName>
    <definedName name="WCLTD_DEO">DEO!$J$233</definedName>
    <definedName name="Workpaper" localSheetId="2">[2]INPUT!$E$1</definedName>
    <definedName name="Workpaper">INPUT!$D$2</definedName>
    <definedName name="Workpaper_P1">'P1 ADIT 190 &amp; 282'!$A$1:$E$58</definedName>
    <definedName name="Workpaper_P10">'P10 Partner KW'!$A$1:$O$22</definedName>
    <definedName name="Workpaper_P11">'P11 Salaries and Wages'!$A$1:$D$44</definedName>
    <definedName name="Workpaper_P12">'P12 PBOP - DEO'!$B$1:$L$32</definedName>
    <definedName name="Workpaper_P13">'P13 PBOP - DEK'!$B$1:$L$32</definedName>
    <definedName name="Workpaper_P14">'P14 Sch 1A Denominator'!$B$1:$F$42</definedName>
    <definedName name="Workpaper_P15">'P15 Sch 1A Rev Cr'!$A$1:$H$36</definedName>
    <definedName name="Workpaper_P16">'P16 Pole Counts'!$A$1:$I$25</definedName>
    <definedName name="Workpaper_P17">'P17 Prior Yr Corr'!$A$1:$D$25</definedName>
    <definedName name="Workpaper_P18">'P18 LSE Expenses'!$A$1:$H$21</definedName>
    <definedName name="Workpaper_P2">'P2 Allocate M&amp;S'!$A$1:$H$31</definedName>
    <definedName name="Workpaper_P3">'P3 Land Held for Future Use'!$A$1:$D$31</definedName>
    <definedName name="Workpaper_P4">'P4 Advertising - EPRI Adj.'!$A$1:$E$40</definedName>
    <definedName name="Workpaper_P5">'P5 Schedule 1 Charges acct 561'!$A$1:$D$40</definedName>
    <definedName name="Workpaper_P6">'P6 Statetax'!$A$1:$D$18</definedName>
    <definedName name="Workpaper_P7">'P7 Trans Plant In OATT'!$A$1:$C$17</definedName>
    <definedName name="Workpaper_P8">'P8 Rev Cred Support'!$A$1:$E$52</definedName>
    <definedName name="Workpaper_P9">'P9 Capital Structure'!$A$1:$B$21</definedName>
    <definedName name="wrn.Aging._.and._.Trend._.Analysis." hidden="1">{#N/A,#N/A,FALSE,"Aging Summary";#N/A,#N/A,FALSE,"Ratio Analysis";#N/A,#N/A,FALSE,"Test 120 Day Accts";#N/A,#N/A,FALSE,"Tickmarks"}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edcredit." hidden="1">{"edcredit",#N/A,FALSE,"edcredit"}</definedName>
    <definedName name="wrn.Page._.1." hidden="1">{"Page 1",#N/A,FALSE,"Sheet1";"Page 2",#N/A,FALSE,"Sheet1"}</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x"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brl_Tag_02ead093_8098_4561_b1a6_35aad0b3b539" localSheetId="3" hidden="1">'[4]Adj. Income Statement'!#REF!</definedName>
    <definedName name="Xbrl_Tag_02ead093_8098_4561_b1a6_35aad0b3b539" localSheetId="26" hidden="1">'[4]Adj. Income Statement'!#REF!</definedName>
    <definedName name="Xbrl_Tag_02ead093_8098_4561_b1a6_35aad0b3b539" localSheetId="27" hidden="1">'[4]Adj. Income Statement'!#REF!</definedName>
    <definedName name="Xbrl_Tag_02ead093_8098_4561_b1a6_35aad0b3b539" hidden="1">'[4]Adj. Income Statement'!#REF!</definedName>
    <definedName name="Xbrl_Tag_075d33f9_8d44_4b5e_8fc8_85eada4f464a" localSheetId="3" hidden="1">'[4]Adj. Income Statement'!#REF!</definedName>
    <definedName name="Xbrl_Tag_075d33f9_8d44_4b5e_8fc8_85eada4f464a" localSheetId="26" hidden="1">'[4]Adj. Income Statement'!#REF!</definedName>
    <definedName name="Xbrl_Tag_075d33f9_8d44_4b5e_8fc8_85eada4f464a" localSheetId="27" hidden="1">'[4]Adj. Income Statement'!#REF!</definedName>
    <definedName name="Xbrl_Tag_075d33f9_8d44_4b5e_8fc8_85eada4f464a" hidden="1">'[4]Adj. Income Statement'!#REF!</definedName>
    <definedName name="Xbrl_Tag_0a527475_1b41_4c03_bf3e_82e631232d6b" localSheetId="3" hidden="1">'[4]Adj. Income Statement'!#REF!</definedName>
    <definedName name="Xbrl_Tag_0a527475_1b41_4c03_bf3e_82e631232d6b" localSheetId="26" hidden="1">'[4]Adj. Income Statement'!#REF!</definedName>
    <definedName name="Xbrl_Tag_0a527475_1b41_4c03_bf3e_82e631232d6b" localSheetId="27" hidden="1">'[4]Adj. Income Statement'!#REF!</definedName>
    <definedName name="Xbrl_Tag_0a527475_1b41_4c03_bf3e_82e631232d6b" hidden="1">'[4]Adj. Income Statement'!#REF!</definedName>
    <definedName name="Xbrl_Tag_0bc4560b_9d42_4e7c_bfcf_072f8e0e087b" localSheetId="3" hidden="1">'[4]Adj. Income Statement'!#REF!</definedName>
    <definedName name="Xbrl_Tag_0bc4560b_9d42_4e7c_bfcf_072f8e0e087b" localSheetId="26" hidden="1">'[4]Adj. Income Statement'!#REF!</definedName>
    <definedName name="Xbrl_Tag_0bc4560b_9d42_4e7c_bfcf_072f8e0e087b" localSheetId="27" hidden="1">'[4]Adj. Income Statement'!#REF!</definedName>
    <definedName name="Xbrl_Tag_0bc4560b_9d42_4e7c_bfcf_072f8e0e087b" hidden="1">'[4]Adj. Income Statement'!#REF!</definedName>
    <definedName name="Xbrl_Tag_0c54907b_74c4_4d3a_b16d_9d5b6191a8f0" localSheetId="3" hidden="1">'[4]Adj. Income Statement'!#REF!</definedName>
    <definedName name="Xbrl_Tag_0c54907b_74c4_4d3a_b16d_9d5b6191a8f0" localSheetId="26" hidden="1">'[4]Adj. Income Statement'!#REF!</definedName>
    <definedName name="Xbrl_Tag_0c54907b_74c4_4d3a_b16d_9d5b6191a8f0" localSheetId="27" hidden="1">'[4]Adj. Income Statement'!#REF!</definedName>
    <definedName name="Xbrl_Tag_0c54907b_74c4_4d3a_b16d_9d5b6191a8f0" hidden="1">'[4]Adj. Income Statement'!#REF!</definedName>
    <definedName name="Xbrl_Tag_0f074d5a_3373_452d_affc_9e3adc16f0cc" localSheetId="3" hidden="1">'[4]Adj. Income Statement'!#REF!</definedName>
    <definedName name="Xbrl_Tag_0f074d5a_3373_452d_affc_9e3adc16f0cc" localSheetId="26" hidden="1">'[4]Adj. Income Statement'!#REF!</definedName>
    <definedName name="Xbrl_Tag_0f074d5a_3373_452d_affc_9e3adc16f0cc" localSheetId="27" hidden="1">'[4]Adj. Income Statement'!#REF!</definedName>
    <definedName name="Xbrl_Tag_0f074d5a_3373_452d_affc_9e3adc16f0cc" hidden="1">'[4]Adj. Income Statement'!#REF!</definedName>
    <definedName name="Xbrl_Tag_10857a19_f8a4_4178_b6d5_1f56875498d8" localSheetId="3" hidden="1">'[4]Adj. Income Statement'!#REF!</definedName>
    <definedName name="Xbrl_Tag_10857a19_f8a4_4178_b6d5_1f56875498d8" localSheetId="26" hidden="1">'[4]Adj. Income Statement'!#REF!</definedName>
    <definedName name="Xbrl_Tag_10857a19_f8a4_4178_b6d5_1f56875498d8" localSheetId="27" hidden="1">'[4]Adj. Income Statement'!#REF!</definedName>
    <definedName name="Xbrl_Tag_10857a19_f8a4_4178_b6d5_1f56875498d8" hidden="1">'[4]Adj. Income Statement'!#REF!</definedName>
    <definedName name="Xbrl_Tag_157035cb_bd67_4700_bac9_8654f3e0e9d9" localSheetId="3" hidden="1">'[4]Adj. Income Statement'!#REF!</definedName>
    <definedName name="Xbrl_Tag_157035cb_bd67_4700_bac9_8654f3e0e9d9" localSheetId="26" hidden="1">'[4]Adj. Income Statement'!#REF!</definedName>
    <definedName name="Xbrl_Tag_157035cb_bd67_4700_bac9_8654f3e0e9d9" localSheetId="27" hidden="1">'[4]Adj. Income Statement'!#REF!</definedName>
    <definedName name="Xbrl_Tag_157035cb_bd67_4700_bac9_8654f3e0e9d9" hidden="1">'[4]Adj. Income Statement'!#REF!</definedName>
    <definedName name="Xbrl_Tag_1a17ee58_77be_41d6_a839_b459b55e8e50" localSheetId="3" hidden="1">'[4]Adj. Income Statement'!#REF!</definedName>
    <definedName name="Xbrl_Tag_1a17ee58_77be_41d6_a839_b459b55e8e50" localSheetId="26" hidden="1">'[4]Adj. Income Statement'!#REF!</definedName>
    <definedName name="Xbrl_Tag_1a17ee58_77be_41d6_a839_b459b55e8e50" localSheetId="27" hidden="1">'[4]Adj. Income Statement'!#REF!</definedName>
    <definedName name="Xbrl_Tag_1a17ee58_77be_41d6_a839_b459b55e8e50" hidden="1">'[4]Adj. Income Statement'!#REF!</definedName>
    <definedName name="Xbrl_Tag_1d7e0664_9af3_4cfd_93bd_b4acb420ada8" localSheetId="3" hidden="1">'[4]Adj. Income Statement'!#REF!</definedName>
    <definedName name="Xbrl_Tag_1d7e0664_9af3_4cfd_93bd_b4acb420ada8" localSheetId="26" hidden="1">'[4]Adj. Income Statement'!#REF!</definedName>
    <definedName name="Xbrl_Tag_1d7e0664_9af3_4cfd_93bd_b4acb420ada8" localSheetId="27" hidden="1">'[4]Adj. Income Statement'!#REF!</definedName>
    <definedName name="Xbrl_Tag_1d7e0664_9af3_4cfd_93bd_b4acb420ada8" hidden="1">'[4]Adj. Income Statement'!#REF!</definedName>
    <definedName name="Xbrl_Tag_1f22c9c6_d780_4c43_95fb_8b6123261b05" localSheetId="3" hidden="1">'[4]Adj. Income Statement'!#REF!</definedName>
    <definedName name="Xbrl_Tag_1f22c9c6_d780_4c43_95fb_8b6123261b05" localSheetId="26" hidden="1">'[4]Adj. Income Statement'!#REF!</definedName>
    <definedName name="Xbrl_Tag_1f22c9c6_d780_4c43_95fb_8b6123261b05" localSheetId="27" hidden="1">'[4]Adj. Income Statement'!#REF!</definedName>
    <definedName name="Xbrl_Tag_1f22c9c6_d780_4c43_95fb_8b6123261b05" hidden="1">'[4]Adj. Income Statement'!#REF!</definedName>
    <definedName name="Xbrl_Tag_25b41a93_9486_45f9_8873_cc646f7592ac" localSheetId="3" hidden="1">'[4]Adj. Income Statement'!#REF!</definedName>
    <definedName name="Xbrl_Tag_25b41a93_9486_45f9_8873_cc646f7592ac" localSheetId="26" hidden="1">'[4]Adj. Income Statement'!#REF!</definedName>
    <definedName name="Xbrl_Tag_25b41a93_9486_45f9_8873_cc646f7592ac" localSheetId="27" hidden="1">'[4]Adj. Income Statement'!#REF!</definedName>
    <definedName name="Xbrl_Tag_25b41a93_9486_45f9_8873_cc646f7592ac" hidden="1">'[4]Adj. Income Statement'!#REF!</definedName>
    <definedName name="Xbrl_Tag_3389f7d8_f533_46e1_b4e3_fbec1f4d27f5" localSheetId="3" hidden="1">'[4]Adj. Income Statement'!#REF!</definedName>
    <definedName name="Xbrl_Tag_3389f7d8_f533_46e1_b4e3_fbec1f4d27f5" localSheetId="26" hidden="1">'[4]Adj. Income Statement'!#REF!</definedName>
    <definedName name="Xbrl_Tag_3389f7d8_f533_46e1_b4e3_fbec1f4d27f5" localSheetId="27" hidden="1">'[4]Adj. Income Statement'!#REF!</definedName>
    <definedName name="Xbrl_Tag_3389f7d8_f533_46e1_b4e3_fbec1f4d27f5" hidden="1">'[4]Adj. Income Statement'!#REF!</definedName>
    <definedName name="Xbrl_Tag_359d872e_df59_485a_a441_e3067597753f" localSheetId="3" hidden="1">'[4]Adj. Income Statement'!#REF!</definedName>
    <definedName name="Xbrl_Tag_359d872e_df59_485a_a441_e3067597753f" localSheetId="26" hidden="1">'[4]Adj. Income Statement'!#REF!</definedName>
    <definedName name="Xbrl_Tag_359d872e_df59_485a_a441_e3067597753f" localSheetId="27" hidden="1">'[4]Adj. Income Statement'!#REF!</definedName>
    <definedName name="Xbrl_Tag_359d872e_df59_485a_a441_e3067597753f" hidden="1">'[4]Adj. Income Statement'!#REF!</definedName>
    <definedName name="Xbrl_Tag_359eab43_6bae_4f5a_8af7_8f81553cd43d" localSheetId="3" hidden="1">'[4]Adj. Income Statement'!#REF!</definedName>
    <definedName name="Xbrl_Tag_359eab43_6bae_4f5a_8af7_8f81553cd43d" localSheetId="26" hidden="1">'[4]Adj. Income Statement'!#REF!</definedName>
    <definedName name="Xbrl_Tag_359eab43_6bae_4f5a_8af7_8f81553cd43d" localSheetId="27" hidden="1">'[4]Adj. Income Statement'!#REF!</definedName>
    <definedName name="Xbrl_Tag_359eab43_6bae_4f5a_8af7_8f81553cd43d" hidden="1">'[4]Adj. Income Statement'!#REF!</definedName>
    <definedName name="Xbrl_Tag_3a2d5606_5470_4db9_9313_3dc1f43a8b30" localSheetId="3" hidden="1">'[4]Adj. Income Statement'!#REF!</definedName>
    <definedName name="Xbrl_Tag_3a2d5606_5470_4db9_9313_3dc1f43a8b30" localSheetId="26" hidden="1">'[4]Adj. Income Statement'!#REF!</definedName>
    <definedName name="Xbrl_Tag_3a2d5606_5470_4db9_9313_3dc1f43a8b30" localSheetId="27" hidden="1">'[4]Adj. Income Statement'!#REF!</definedName>
    <definedName name="Xbrl_Tag_3a2d5606_5470_4db9_9313_3dc1f43a8b30" hidden="1">'[4]Adj. Income Statement'!#REF!</definedName>
    <definedName name="Xbrl_Tag_3b572db0_b5be_49cb_9497_3be0c26ec438" localSheetId="3" hidden="1">'[4]Adj. Income Statement'!#REF!</definedName>
    <definedName name="Xbrl_Tag_3b572db0_b5be_49cb_9497_3be0c26ec438" localSheetId="26" hidden="1">'[4]Adj. Income Statement'!#REF!</definedName>
    <definedName name="Xbrl_Tag_3b572db0_b5be_49cb_9497_3be0c26ec438" localSheetId="27" hidden="1">'[4]Adj. Income Statement'!#REF!</definedName>
    <definedName name="Xbrl_Tag_3b572db0_b5be_49cb_9497_3be0c26ec438" hidden="1">'[4]Adj. Income Statement'!#REF!</definedName>
    <definedName name="Xbrl_Tag_3e2a4b0f_a9ba_404c_8c83_bbd3862592e4" localSheetId="3" hidden="1">'[4]Adj. Income Statement'!#REF!</definedName>
    <definedName name="Xbrl_Tag_3e2a4b0f_a9ba_404c_8c83_bbd3862592e4" localSheetId="26" hidden="1">'[4]Adj. Income Statement'!#REF!</definedName>
    <definedName name="Xbrl_Tag_3e2a4b0f_a9ba_404c_8c83_bbd3862592e4" localSheetId="27" hidden="1">'[4]Adj. Income Statement'!#REF!</definedName>
    <definedName name="Xbrl_Tag_3e2a4b0f_a9ba_404c_8c83_bbd3862592e4" hidden="1">'[4]Adj. Income Statement'!#REF!</definedName>
    <definedName name="Xbrl_Tag_3f1c33f0_bff2_4296_9181_d7cc1cb508ad" localSheetId="3" hidden="1">'[4]Adj. Income Statement'!#REF!</definedName>
    <definedName name="Xbrl_Tag_3f1c33f0_bff2_4296_9181_d7cc1cb508ad" localSheetId="26" hidden="1">'[4]Adj. Income Statement'!#REF!</definedName>
    <definedName name="Xbrl_Tag_3f1c33f0_bff2_4296_9181_d7cc1cb508ad" localSheetId="27" hidden="1">'[4]Adj. Income Statement'!#REF!</definedName>
    <definedName name="Xbrl_Tag_3f1c33f0_bff2_4296_9181_d7cc1cb508ad" hidden="1">'[4]Adj. Income Statement'!#REF!</definedName>
    <definedName name="Xbrl_Tag_43160aa8_61a0_4559_8ee5_d6da660cfd7b" localSheetId="3" hidden="1">'[4]Adj. Income Statement'!#REF!</definedName>
    <definedName name="Xbrl_Tag_43160aa8_61a0_4559_8ee5_d6da660cfd7b" localSheetId="26" hidden="1">'[4]Adj. Income Statement'!#REF!</definedName>
    <definedName name="Xbrl_Tag_43160aa8_61a0_4559_8ee5_d6da660cfd7b" localSheetId="27" hidden="1">'[4]Adj. Income Statement'!#REF!</definedName>
    <definedName name="Xbrl_Tag_43160aa8_61a0_4559_8ee5_d6da660cfd7b" hidden="1">'[4]Adj. Income Statement'!#REF!</definedName>
    <definedName name="Xbrl_Tag_47e22a59_7971_444b_8e73_01e5291185bb" localSheetId="3" hidden="1">'[4]Adj. Income Statement'!#REF!</definedName>
    <definedName name="Xbrl_Tag_47e22a59_7971_444b_8e73_01e5291185bb" localSheetId="26" hidden="1">'[4]Adj. Income Statement'!#REF!</definedName>
    <definedName name="Xbrl_Tag_47e22a59_7971_444b_8e73_01e5291185bb" localSheetId="27" hidden="1">'[4]Adj. Income Statement'!#REF!</definedName>
    <definedName name="Xbrl_Tag_47e22a59_7971_444b_8e73_01e5291185bb" hidden="1">'[4]Adj. Income Statement'!#REF!</definedName>
    <definedName name="Xbrl_Tag_5225a8bc_9d76_4e4d_8197_37f70d298267" localSheetId="3" hidden="1">'[4]Adj. Income Statement'!#REF!</definedName>
    <definedName name="Xbrl_Tag_5225a8bc_9d76_4e4d_8197_37f70d298267" localSheetId="26" hidden="1">'[4]Adj. Income Statement'!#REF!</definedName>
    <definedName name="Xbrl_Tag_5225a8bc_9d76_4e4d_8197_37f70d298267" localSheetId="27" hidden="1">'[4]Adj. Income Statement'!#REF!</definedName>
    <definedName name="Xbrl_Tag_5225a8bc_9d76_4e4d_8197_37f70d298267" hidden="1">'[4]Adj. Income Statement'!#REF!</definedName>
    <definedName name="Xbrl_Tag_56e27846_9e07_4473_ad08_7bb4a5bf7faa" localSheetId="3" hidden="1">'[4]Adj. Income Statement'!#REF!</definedName>
    <definedName name="Xbrl_Tag_56e27846_9e07_4473_ad08_7bb4a5bf7faa" localSheetId="26" hidden="1">'[4]Adj. Income Statement'!#REF!</definedName>
    <definedName name="Xbrl_Tag_56e27846_9e07_4473_ad08_7bb4a5bf7faa" localSheetId="27" hidden="1">'[4]Adj. Income Statement'!#REF!</definedName>
    <definedName name="Xbrl_Tag_56e27846_9e07_4473_ad08_7bb4a5bf7faa" hidden="1">'[4]Adj. Income Statement'!#REF!</definedName>
    <definedName name="Xbrl_Tag_5b7286ee_d427_4e54_9399_1a836cd32976" localSheetId="3" hidden="1">'[4]Adj. Income Statement'!#REF!</definedName>
    <definedName name="Xbrl_Tag_5b7286ee_d427_4e54_9399_1a836cd32976" localSheetId="26" hidden="1">'[4]Adj. Income Statement'!#REF!</definedName>
    <definedName name="Xbrl_Tag_5b7286ee_d427_4e54_9399_1a836cd32976" localSheetId="27" hidden="1">'[4]Adj. Income Statement'!#REF!</definedName>
    <definedName name="Xbrl_Tag_5b7286ee_d427_4e54_9399_1a836cd32976" hidden="1">'[4]Adj. Income Statement'!#REF!</definedName>
    <definedName name="Xbrl_Tag_5e2f6e4c_effc_4374_9096_f6a66490bc43" localSheetId="3" hidden="1">'[4]Adj. Income Statement'!#REF!</definedName>
    <definedName name="Xbrl_Tag_5e2f6e4c_effc_4374_9096_f6a66490bc43" localSheetId="26" hidden="1">'[4]Adj. Income Statement'!#REF!</definedName>
    <definedName name="Xbrl_Tag_5e2f6e4c_effc_4374_9096_f6a66490bc43" localSheetId="27" hidden="1">'[4]Adj. Income Statement'!#REF!</definedName>
    <definedName name="Xbrl_Tag_5e2f6e4c_effc_4374_9096_f6a66490bc43" hidden="1">'[4]Adj. Income Statement'!#REF!</definedName>
    <definedName name="Xbrl_Tag_5e4ed468_08c0_4e10_b780_063e9fad75bb" localSheetId="3" hidden="1">'[4]Adj. Income Statement'!#REF!</definedName>
    <definedName name="Xbrl_Tag_5e4ed468_08c0_4e10_b780_063e9fad75bb" localSheetId="26" hidden="1">'[4]Adj. Income Statement'!#REF!</definedName>
    <definedName name="Xbrl_Tag_5e4ed468_08c0_4e10_b780_063e9fad75bb" localSheetId="27" hidden="1">'[4]Adj. Income Statement'!#REF!</definedName>
    <definedName name="Xbrl_Tag_5e4ed468_08c0_4e10_b780_063e9fad75bb" hidden="1">'[4]Adj. Income Statement'!#REF!</definedName>
    <definedName name="Xbrl_Tag_5efedf90_6eb4_4d47_8343_cb1307f08d80" localSheetId="3" hidden="1">'[4]Adj. Income Statement'!#REF!</definedName>
    <definedName name="Xbrl_Tag_5efedf90_6eb4_4d47_8343_cb1307f08d80" localSheetId="26" hidden="1">'[4]Adj. Income Statement'!#REF!</definedName>
    <definedName name="Xbrl_Tag_5efedf90_6eb4_4d47_8343_cb1307f08d80" localSheetId="27" hidden="1">'[4]Adj. Income Statement'!#REF!</definedName>
    <definedName name="Xbrl_Tag_5efedf90_6eb4_4d47_8343_cb1307f08d80" hidden="1">'[4]Adj. Income Statement'!#REF!</definedName>
    <definedName name="Xbrl_Tag_60671786_7f0e_4efe_b101_fc89065bbbc4" localSheetId="3" hidden="1">'[4]Adj. Income Statement'!#REF!</definedName>
    <definedName name="Xbrl_Tag_60671786_7f0e_4efe_b101_fc89065bbbc4" localSheetId="26" hidden="1">'[4]Adj. Income Statement'!#REF!</definedName>
    <definedName name="Xbrl_Tag_60671786_7f0e_4efe_b101_fc89065bbbc4" localSheetId="27" hidden="1">'[4]Adj. Income Statement'!#REF!</definedName>
    <definedName name="Xbrl_Tag_60671786_7f0e_4efe_b101_fc89065bbbc4" hidden="1">'[4]Adj. Income Statement'!#REF!</definedName>
    <definedName name="Xbrl_Tag_60802841_ecf0_4e57_a96e_084d65541dcb" localSheetId="3" hidden="1">'[4]Adj. Income Statement'!#REF!</definedName>
    <definedName name="Xbrl_Tag_60802841_ecf0_4e57_a96e_084d65541dcb" localSheetId="26" hidden="1">'[4]Adj. Income Statement'!#REF!</definedName>
    <definedName name="Xbrl_Tag_60802841_ecf0_4e57_a96e_084d65541dcb" localSheetId="27" hidden="1">'[4]Adj. Income Statement'!#REF!</definedName>
    <definedName name="Xbrl_Tag_60802841_ecf0_4e57_a96e_084d65541dcb" hidden="1">'[4]Adj. Income Statement'!#REF!</definedName>
    <definedName name="Xbrl_Tag_6b90dd42_fcd8_4968_8afd_6736492259b1" localSheetId="3" hidden="1">'[4]Adj. Income Statement'!#REF!</definedName>
    <definedName name="Xbrl_Tag_6b90dd42_fcd8_4968_8afd_6736492259b1" localSheetId="26" hidden="1">'[4]Adj. Income Statement'!#REF!</definedName>
    <definedName name="Xbrl_Tag_6b90dd42_fcd8_4968_8afd_6736492259b1" localSheetId="27" hidden="1">'[4]Adj. Income Statement'!#REF!</definedName>
    <definedName name="Xbrl_Tag_6b90dd42_fcd8_4968_8afd_6736492259b1" hidden="1">'[4]Adj. Income Statement'!#REF!</definedName>
    <definedName name="Xbrl_Tag_6e1527a0_8e9b_41c7_b670_b6099df9c72f" localSheetId="3" hidden="1">'[4]Adj. Income Statement'!#REF!</definedName>
    <definedName name="Xbrl_Tag_6e1527a0_8e9b_41c7_b670_b6099df9c72f" localSheetId="26" hidden="1">'[4]Adj. Income Statement'!#REF!</definedName>
    <definedName name="Xbrl_Tag_6e1527a0_8e9b_41c7_b670_b6099df9c72f" localSheetId="27" hidden="1">'[4]Adj. Income Statement'!#REF!</definedName>
    <definedName name="Xbrl_Tag_6e1527a0_8e9b_41c7_b670_b6099df9c72f" hidden="1">'[4]Adj. Income Statement'!#REF!</definedName>
    <definedName name="Xbrl_Tag_7003e101_ef6f_40fd_959a_81c14d2cf88a" localSheetId="3" hidden="1">'[4]Adj. Income Statement'!#REF!</definedName>
    <definedName name="Xbrl_Tag_7003e101_ef6f_40fd_959a_81c14d2cf88a" localSheetId="26" hidden="1">'[4]Adj. Income Statement'!#REF!</definedName>
    <definedName name="Xbrl_Tag_7003e101_ef6f_40fd_959a_81c14d2cf88a" localSheetId="27" hidden="1">'[4]Adj. Income Statement'!#REF!</definedName>
    <definedName name="Xbrl_Tag_7003e101_ef6f_40fd_959a_81c14d2cf88a" hidden="1">'[4]Adj. Income Statement'!#REF!</definedName>
    <definedName name="Xbrl_Tag_7120f3c6_2d5d_417b_9dd0_ecab9471dbc9" localSheetId="3" hidden="1">'[4]Adj. Income Statement'!#REF!</definedName>
    <definedName name="Xbrl_Tag_7120f3c6_2d5d_417b_9dd0_ecab9471dbc9" localSheetId="26" hidden="1">'[4]Adj. Income Statement'!#REF!</definedName>
    <definedName name="Xbrl_Tag_7120f3c6_2d5d_417b_9dd0_ecab9471dbc9" localSheetId="27" hidden="1">'[4]Adj. Income Statement'!#REF!</definedName>
    <definedName name="Xbrl_Tag_7120f3c6_2d5d_417b_9dd0_ecab9471dbc9" hidden="1">'[4]Adj. Income Statement'!#REF!</definedName>
    <definedName name="Xbrl_Tag_717e1b49_4a4d_41a2_8691_a3ef7d067cf1" localSheetId="3" hidden="1">'[4]Adj. Income Statement'!#REF!</definedName>
    <definedName name="Xbrl_Tag_717e1b49_4a4d_41a2_8691_a3ef7d067cf1" localSheetId="26" hidden="1">'[4]Adj. Income Statement'!#REF!</definedName>
    <definedName name="Xbrl_Tag_717e1b49_4a4d_41a2_8691_a3ef7d067cf1" localSheetId="27" hidden="1">'[4]Adj. Income Statement'!#REF!</definedName>
    <definedName name="Xbrl_Tag_717e1b49_4a4d_41a2_8691_a3ef7d067cf1" hidden="1">'[4]Adj. Income Statement'!#REF!</definedName>
    <definedName name="Xbrl_Tag_729b319e_8812_4e23_9b44_cd813ffaf1fe" localSheetId="3" hidden="1">'[4]Adj. Income Statement'!#REF!</definedName>
    <definedName name="Xbrl_Tag_729b319e_8812_4e23_9b44_cd813ffaf1fe" localSheetId="26" hidden="1">'[4]Adj. Income Statement'!#REF!</definedName>
    <definedName name="Xbrl_Tag_729b319e_8812_4e23_9b44_cd813ffaf1fe" localSheetId="27" hidden="1">'[4]Adj. Income Statement'!#REF!</definedName>
    <definedName name="Xbrl_Tag_729b319e_8812_4e23_9b44_cd813ffaf1fe" hidden="1">'[4]Adj. Income Statement'!#REF!</definedName>
    <definedName name="Xbrl_Tag_74e27f18_3a0d_499e_a65b_355cefde250d" localSheetId="3" hidden="1">'[4]Adj. Income Statement'!#REF!</definedName>
    <definedName name="Xbrl_Tag_74e27f18_3a0d_499e_a65b_355cefde250d" localSheetId="26" hidden="1">'[4]Adj. Income Statement'!#REF!</definedName>
    <definedName name="Xbrl_Tag_74e27f18_3a0d_499e_a65b_355cefde250d" localSheetId="27" hidden="1">'[4]Adj. Income Statement'!#REF!</definedName>
    <definedName name="Xbrl_Tag_74e27f18_3a0d_499e_a65b_355cefde250d" hidden="1">'[4]Adj. Income Statement'!#REF!</definedName>
    <definedName name="Xbrl_Tag_76377ee8_44ec_4706_b36c_e475d4a6cffc" localSheetId="3" hidden="1">'[4]Adj. Income Statement'!#REF!</definedName>
    <definedName name="Xbrl_Tag_76377ee8_44ec_4706_b36c_e475d4a6cffc" localSheetId="26" hidden="1">'[4]Adj. Income Statement'!#REF!</definedName>
    <definedName name="Xbrl_Tag_76377ee8_44ec_4706_b36c_e475d4a6cffc" localSheetId="27" hidden="1">'[4]Adj. Income Statement'!#REF!</definedName>
    <definedName name="Xbrl_Tag_76377ee8_44ec_4706_b36c_e475d4a6cffc" hidden="1">'[4]Adj. Income Statement'!#REF!</definedName>
    <definedName name="Xbrl_Tag_7bfd249d_4459_4a20_97f6_779ca44ada3b" localSheetId="3" hidden="1">'[4]Adj. Income Statement'!#REF!</definedName>
    <definedName name="Xbrl_Tag_7bfd249d_4459_4a20_97f6_779ca44ada3b" localSheetId="26" hidden="1">'[4]Adj. Income Statement'!#REF!</definedName>
    <definedName name="Xbrl_Tag_7bfd249d_4459_4a20_97f6_779ca44ada3b" localSheetId="27" hidden="1">'[4]Adj. Income Statement'!#REF!</definedName>
    <definedName name="Xbrl_Tag_7bfd249d_4459_4a20_97f6_779ca44ada3b" hidden="1">'[4]Adj. Income Statement'!#REF!</definedName>
    <definedName name="Xbrl_Tag_848a3bbd_ffb9_4097_93bf_014229938d6a" localSheetId="3" hidden="1">'[4]Adj. Income Statement'!#REF!</definedName>
    <definedName name="Xbrl_Tag_848a3bbd_ffb9_4097_93bf_014229938d6a" localSheetId="26" hidden="1">'[4]Adj. Income Statement'!#REF!</definedName>
    <definedName name="Xbrl_Tag_848a3bbd_ffb9_4097_93bf_014229938d6a" localSheetId="27" hidden="1">'[4]Adj. Income Statement'!#REF!</definedName>
    <definedName name="Xbrl_Tag_848a3bbd_ffb9_4097_93bf_014229938d6a" hidden="1">'[4]Adj. Income Statement'!#REF!</definedName>
    <definedName name="Xbrl_Tag_8d5cd3d4_55e4_4713_bce9_54948c631266" localSheetId="3" hidden="1">'[4]Adj. Income Statement'!#REF!</definedName>
    <definedName name="Xbrl_Tag_8d5cd3d4_55e4_4713_bce9_54948c631266" localSheetId="26" hidden="1">'[4]Adj. Income Statement'!#REF!</definedName>
    <definedName name="Xbrl_Tag_8d5cd3d4_55e4_4713_bce9_54948c631266" localSheetId="27" hidden="1">'[4]Adj. Income Statement'!#REF!</definedName>
    <definedName name="Xbrl_Tag_8d5cd3d4_55e4_4713_bce9_54948c631266" hidden="1">'[4]Adj. Income Statement'!#REF!</definedName>
    <definedName name="Xbrl_Tag_9265a09f_3d1f_4e90_8181_a55f534abcf7" localSheetId="3" hidden="1">'[4]Adj. Income Statement'!#REF!</definedName>
    <definedName name="Xbrl_Tag_9265a09f_3d1f_4e90_8181_a55f534abcf7" localSheetId="26" hidden="1">'[4]Adj. Income Statement'!#REF!</definedName>
    <definedName name="Xbrl_Tag_9265a09f_3d1f_4e90_8181_a55f534abcf7" localSheetId="27" hidden="1">'[4]Adj. Income Statement'!#REF!</definedName>
    <definedName name="Xbrl_Tag_9265a09f_3d1f_4e90_8181_a55f534abcf7" hidden="1">'[4]Adj. Income Statement'!#REF!</definedName>
    <definedName name="Xbrl_Tag_94cf5a67_ea28_42d1_b071_8f24a2864445" localSheetId="3" hidden="1">'[4]Adj. Income Statement'!#REF!</definedName>
    <definedName name="Xbrl_Tag_94cf5a67_ea28_42d1_b071_8f24a2864445" localSheetId="26" hidden="1">'[4]Adj. Income Statement'!#REF!</definedName>
    <definedName name="Xbrl_Tag_94cf5a67_ea28_42d1_b071_8f24a2864445" localSheetId="27" hidden="1">'[4]Adj. Income Statement'!#REF!</definedName>
    <definedName name="Xbrl_Tag_94cf5a67_ea28_42d1_b071_8f24a2864445" hidden="1">'[4]Adj. Income Statement'!#REF!</definedName>
    <definedName name="Xbrl_Tag_95086fc4_6c0f_4a0f_bf5f_c393cf959e9a" localSheetId="3" hidden="1">'[4]Adj. Income Statement'!#REF!</definedName>
    <definedName name="Xbrl_Tag_95086fc4_6c0f_4a0f_bf5f_c393cf959e9a" localSheetId="26" hidden="1">'[4]Adj. Income Statement'!#REF!</definedName>
    <definedName name="Xbrl_Tag_95086fc4_6c0f_4a0f_bf5f_c393cf959e9a" localSheetId="27" hidden="1">'[4]Adj. Income Statement'!#REF!</definedName>
    <definedName name="Xbrl_Tag_95086fc4_6c0f_4a0f_bf5f_c393cf959e9a" hidden="1">'[4]Adj. Income Statement'!#REF!</definedName>
    <definedName name="Xbrl_Tag_99933dd6_f0fc_421a_9b9b_634b2b60dec3" localSheetId="3" hidden="1">'[4]Adj. Income Statement'!#REF!</definedName>
    <definedName name="Xbrl_Tag_99933dd6_f0fc_421a_9b9b_634b2b60dec3" localSheetId="26" hidden="1">'[4]Adj. Income Statement'!#REF!</definedName>
    <definedName name="Xbrl_Tag_99933dd6_f0fc_421a_9b9b_634b2b60dec3" localSheetId="27" hidden="1">'[4]Adj. Income Statement'!#REF!</definedName>
    <definedName name="Xbrl_Tag_99933dd6_f0fc_421a_9b9b_634b2b60dec3" hidden="1">'[4]Adj. Income Statement'!#REF!</definedName>
    <definedName name="Xbrl_Tag_a862d720_9241_4a30_a271_b70e9c381f31" localSheetId="3" hidden="1">'[4]Adj. Income Statement'!#REF!</definedName>
    <definedName name="Xbrl_Tag_a862d720_9241_4a30_a271_b70e9c381f31" localSheetId="26" hidden="1">'[4]Adj. Income Statement'!#REF!</definedName>
    <definedName name="Xbrl_Tag_a862d720_9241_4a30_a271_b70e9c381f31" localSheetId="27" hidden="1">'[4]Adj. Income Statement'!#REF!</definedName>
    <definedName name="Xbrl_Tag_a862d720_9241_4a30_a271_b70e9c381f31" hidden="1">'[4]Adj. Income Statement'!#REF!</definedName>
    <definedName name="Xbrl_Tag_adfbba3c_68ad_4b08_a539_0ed55d3f9d5a" localSheetId="3" hidden="1">'[4]Adj. Income Statement'!#REF!</definedName>
    <definedName name="Xbrl_Tag_adfbba3c_68ad_4b08_a539_0ed55d3f9d5a" localSheetId="26" hidden="1">'[4]Adj. Income Statement'!#REF!</definedName>
    <definedName name="Xbrl_Tag_adfbba3c_68ad_4b08_a539_0ed55d3f9d5a" localSheetId="27" hidden="1">'[4]Adj. Income Statement'!#REF!</definedName>
    <definedName name="Xbrl_Tag_adfbba3c_68ad_4b08_a539_0ed55d3f9d5a" hidden="1">'[4]Adj. Income Statement'!#REF!</definedName>
    <definedName name="Xbrl_Tag_ae50734f_518c_403d_9d12_e2a921b026bb" localSheetId="3" hidden="1">'[4]Adj. Income Statement'!#REF!</definedName>
    <definedName name="Xbrl_Tag_ae50734f_518c_403d_9d12_e2a921b026bb" localSheetId="26" hidden="1">'[4]Adj. Income Statement'!#REF!</definedName>
    <definedName name="Xbrl_Tag_ae50734f_518c_403d_9d12_e2a921b026bb" localSheetId="27" hidden="1">'[4]Adj. Income Statement'!#REF!</definedName>
    <definedName name="Xbrl_Tag_ae50734f_518c_403d_9d12_e2a921b026bb" hidden="1">'[4]Adj. Income Statement'!#REF!</definedName>
    <definedName name="Xbrl_Tag_b0241925_c1ae_46bf_a767_386c3caff01d" localSheetId="3" hidden="1">'[4]Adj. Income Statement'!#REF!</definedName>
    <definedName name="Xbrl_Tag_b0241925_c1ae_46bf_a767_386c3caff01d" localSheetId="26" hidden="1">'[4]Adj. Income Statement'!#REF!</definedName>
    <definedName name="Xbrl_Tag_b0241925_c1ae_46bf_a767_386c3caff01d" localSheetId="27" hidden="1">'[4]Adj. Income Statement'!#REF!</definedName>
    <definedName name="Xbrl_Tag_b0241925_c1ae_46bf_a767_386c3caff01d" hidden="1">'[4]Adj. Income Statement'!#REF!</definedName>
    <definedName name="Xbrl_Tag_b5d40829_0fdd_433d_a950_71e472d9ef83" localSheetId="3" hidden="1">'[4]Adj. Income Statement'!#REF!</definedName>
    <definedName name="Xbrl_Tag_b5d40829_0fdd_433d_a950_71e472d9ef83" localSheetId="26" hidden="1">'[4]Adj. Income Statement'!#REF!</definedName>
    <definedName name="Xbrl_Tag_b5d40829_0fdd_433d_a950_71e472d9ef83" localSheetId="27" hidden="1">'[4]Adj. Income Statement'!#REF!</definedName>
    <definedName name="Xbrl_Tag_b5d40829_0fdd_433d_a950_71e472d9ef83" hidden="1">'[4]Adj. Income Statement'!#REF!</definedName>
    <definedName name="Xbrl_Tag_b649d62e_a6bc_4241_a6b7_068087ca85f4" localSheetId="3" hidden="1">'[4]Adj. Income Statement'!#REF!</definedName>
    <definedName name="Xbrl_Tag_b649d62e_a6bc_4241_a6b7_068087ca85f4" localSheetId="26" hidden="1">'[4]Adj. Income Statement'!#REF!</definedName>
    <definedName name="Xbrl_Tag_b649d62e_a6bc_4241_a6b7_068087ca85f4" localSheetId="27" hidden="1">'[4]Adj. Income Statement'!#REF!</definedName>
    <definedName name="Xbrl_Tag_b649d62e_a6bc_4241_a6b7_068087ca85f4" hidden="1">'[4]Adj. Income Statement'!#REF!</definedName>
    <definedName name="Xbrl_Tag_b8bf6112_e4b6_49dc_ba78_da6302bc43e7" localSheetId="3" hidden="1">'[4]Adj. Income Statement'!#REF!</definedName>
    <definedName name="Xbrl_Tag_b8bf6112_e4b6_49dc_ba78_da6302bc43e7" localSheetId="26" hidden="1">'[4]Adj. Income Statement'!#REF!</definedName>
    <definedName name="Xbrl_Tag_b8bf6112_e4b6_49dc_ba78_da6302bc43e7" localSheetId="27" hidden="1">'[4]Adj. Income Statement'!#REF!</definedName>
    <definedName name="Xbrl_Tag_b8bf6112_e4b6_49dc_ba78_da6302bc43e7" hidden="1">'[4]Adj. Income Statement'!#REF!</definedName>
    <definedName name="Xbrl_Tag_bae390fc_4591_4996_aba5_07899907ff02" localSheetId="3" hidden="1">'[4]Adj. Income Statement'!#REF!</definedName>
    <definedName name="Xbrl_Tag_bae390fc_4591_4996_aba5_07899907ff02" localSheetId="26" hidden="1">'[4]Adj. Income Statement'!#REF!</definedName>
    <definedName name="Xbrl_Tag_bae390fc_4591_4996_aba5_07899907ff02" localSheetId="27" hidden="1">'[4]Adj. Income Statement'!#REF!</definedName>
    <definedName name="Xbrl_Tag_bae390fc_4591_4996_aba5_07899907ff02" hidden="1">'[4]Adj. Income Statement'!#REF!</definedName>
    <definedName name="Xbrl_Tag_c251f426_b699_40b7_ba72_06cdc2336bb3" localSheetId="3" hidden="1">'[4]Adj. Income Statement'!#REF!</definedName>
    <definedName name="Xbrl_Tag_c251f426_b699_40b7_ba72_06cdc2336bb3" localSheetId="26" hidden="1">'[4]Adj. Income Statement'!#REF!</definedName>
    <definedName name="Xbrl_Tag_c251f426_b699_40b7_ba72_06cdc2336bb3" localSheetId="27" hidden="1">'[4]Adj. Income Statement'!#REF!</definedName>
    <definedName name="Xbrl_Tag_c251f426_b699_40b7_ba72_06cdc2336bb3" hidden="1">'[4]Adj. Income Statement'!#REF!</definedName>
    <definedName name="Xbrl_Tag_c9749016_30d3_4a1c_a478_72760a5958e3" localSheetId="3" hidden="1">'[4]Adj. Income Statement'!#REF!</definedName>
    <definedName name="Xbrl_Tag_c9749016_30d3_4a1c_a478_72760a5958e3" localSheetId="26" hidden="1">'[4]Adj. Income Statement'!#REF!</definedName>
    <definedName name="Xbrl_Tag_c9749016_30d3_4a1c_a478_72760a5958e3" localSheetId="27" hidden="1">'[4]Adj. Income Statement'!#REF!</definedName>
    <definedName name="Xbrl_Tag_c9749016_30d3_4a1c_a478_72760a5958e3" hidden="1">'[4]Adj. Income Statement'!#REF!</definedName>
    <definedName name="Xbrl_Tag_c9f670e1_f64d_4c34_a82b_5400bfb21c56" localSheetId="3" hidden="1">'[4]Adj. Income Statement'!#REF!</definedName>
    <definedName name="Xbrl_Tag_c9f670e1_f64d_4c34_a82b_5400bfb21c56" localSheetId="26" hidden="1">'[4]Adj. Income Statement'!#REF!</definedName>
    <definedName name="Xbrl_Tag_c9f670e1_f64d_4c34_a82b_5400bfb21c56" localSheetId="27" hidden="1">'[4]Adj. Income Statement'!#REF!</definedName>
    <definedName name="Xbrl_Tag_c9f670e1_f64d_4c34_a82b_5400bfb21c56" hidden="1">'[4]Adj. Income Statement'!#REF!</definedName>
    <definedName name="Xbrl_Tag_cd60a268_2a82_4c24_ac15_f0f7ad874107" localSheetId="3" hidden="1">'[4]Adj. Income Statement'!#REF!</definedName>
    <definedName name="Xbrl_Tag_cd60a268_2a82_4c24_ac15_f0f7ad874107" localSheetId="26" hidden="1">'[4]Adj. Income Statement'!#REF!</definedName>
    <definedName name="Xbrl_Tag_cd60a268_2a82_4c24_ac15_f0f7ad874107" localSheetId="27" hidden="1">'[4]Adj. Income Statement'!#REF!</definedName>
    <definedName name="Xbrl_Tag_cd60a268_2a82_4c24_ac15_f0f7ad874107" hidden="1">'[4]Adj. Income Statement'!#REF!</definedName>
    <definedName name="Xbrl_Tag_cedeaf5a_67a1_461e_8505_b0f9b2659e01" localSheetId="3" hidden="1">'[4]Adj. Income Statement'!#REF!</definedName>
    <definedName name="Xbrl_Tag_cedeaf5a_67a1_461e_8505_b0f9b2659e01" localSheetId="26" hidden="1">'[4]Adj. Income Statement'!#REF!</definedName>
    <definedName name="Xbrl_Tag_cedeaf5a_67a1_461e_8505_b0f9b2659e01" localSheetId="27" hidden="1">'[4]Adj. Income Statement'!#REF!</definedName>
    <definedName name="Xbrl_Tag_cedeaf5a_67a1_461e_8505_b0f9b2659e01" hidden="1">'[4]Adj. Income Statement'!#REF!</definedName>
    <definedName name="Xbrl_Tag_d4afa79e_d64b_4386_af66_81110932cac7" localSheetId="3" hidden="1">'[4]Adj. Income Statement'!#REF!</definedName>
    <definedName name="Xbrl_Tag_d4afa79e_d64b_4386_af66_81110932cac7" localSheetId="26" hidden="1">'[4]Adj. Income Statement'!#REF!</definedName>
    <definedName name="Xbrl_Tag_d4afa79e_d64b_4386_af66_81110932cac7" localSheetId="27" hidden="1">'[4]Adj. Income Statement'!#REF!</definedName>
    <definedName name="Xbrl_Tag_d4afa79e_d64b_4386_af66_81110932cac7" hidden="1">'[4]Adj. Income Statement'!#REF!</definedName>
    <definedName name="Xbrl_Tag_d646885a_13e7_48b6_a22b_b23dd67119ff" localSheetId="3" hidden="1">'[4]Adj. Income Statement'!#REF!</definedName>
    <definedName name="Xbrl_Tag_d646885a_13e7_48b6_a22b_b23dd67119ff" localSheetId="26" hidden="1">'[4]Adj. Income Statement'!#REF!</definedName>
    <definedName name="Xbrl_Tag_d646885a_13e7_48b6_a22b_b23dd67119ff" localSheetId="27" hidden="1">'[4]Adj. Income Statement'!#REF!</definedName>
    <definedName name="Xbrl_Tag_d646885a_13e7_48b6_a22b_b23dd67119ff" hidden="1">'[4]Adj. Income Statement'!#REF!</definedName>
    <definedName name="Xbrl_Tag_d9ae9ca8_593c_41e1_a638_114bebca7596" localSheetId="3" hidden="1">'[4]Adj. Income Statement'!#REF!</definedName>
    <definedName name="Xbrl_Tag_d9ae9ca8_593c_41e1_a638_114bebca7596" localSheetId="26" hidden="1">'[4]Adj. Income Statement'!#REF!</definedName>
    <definedName name="Xbrl_Tag_d9ae9ca8_593c_41e1_a638_114bebca7596" localSheetId="27" hidden="1">'[4]Adj. Income Statement'!#REF!</definedName>
    <definedName name="Xbrl_Tag_d9ae9ca8_593c_41e1_a638_114bebca7596" hidden="1">'[4]Adj. Income Statement'!#REF!</definedName>
    <definedName name="Xbrl_Tag_e18ec5c4_a090_4244_ac37_0dcecc7c81d8" localSheetId="3" hidden="1">'[4]Adj. Income Statement'!#REF!</definedName>
    <definedName name="Xbrl_Tag_e18ec5c4_a090_4244_ac37_0dcecc7c81d8" localSheetId="26" hidden="1">'[4]Adj. Income Statement'!#REF!</definedName>
    <definedName name="Xbrl_Tag_e18ec5c4_a090_4244_ac37_0dcecc7c81d8" localSheetId="27" hidden="1">'[4]Adj. Income Statement'!#REF!</definedName>
    <definedName name="Xbrl_Tag_e18ec5c4_a090_4244_ac37_0dcecc7c81d8" hidden="1">'[4]Adj. Income Statement'!#REF!</definedName>
    <definedName name="Xbrl_Tag_e1ea8c88_b797_4407_a87d_9da2892362e4" localSheetId="3" hidden="1">'[4]Adj. Income Statement'!#REF!</definedName>
    <definedName name="Xbrl_Tag_e1ea8c88_b797_4407_a87d_9da2892362e4" localSheetId="26" hidden="1">'[4]Adj. Income Statement'!#REF!</definedName>
    <definedName name="Xbrl_Tag_e1ea8c88_b797_4407_a87d_9da2892362e4" localSheetId="27" hidden="1">'[4]Adj. Income Statement'!#REF!</definedName>
    <definedName name="Xbrl_Tag_e1ea8c88_b797_4407_a87d_9da2892362e4" hidden="1">'[4]Adj. Income Statement'!#REF!</definedName>
    <definedName name="Xbrl_Tag_e75da760_6958_4085_aa7d_1b3c5e32dd34" localSheetId="3" hidden="1">'[4]Adj. Income Statement'!#REF!</definedName>
    <definedName name="Xbrl_Tag_e75da760_6958_4085_aa7d_1b3c5e32dd34" localSheetId="26" hidden="1">'[4]Adj. Income Statement'!#REF!</definedName>
    <definedName name="Xbrl_Tag_e75da760_6958_4085_aa7d_1b3c5e32dd34" localSheetId="27" hidden="1">'[4]Adj. Income Statement'!#REF!</definedName>
    <definedName name="Xbrl_Tag_e75da760_6958_4085_aa7d_1b3c5e32dd34" hidden="1">'[4]Adj. Income Statement'!#REF!</definedName>
    <definedName name="Xbrl_Tag_e8bfc542_785c_45ec_9dbe_3b93db69332e" localSheetId="3" hidden="1">'[4]Adj. Income Statement'!#REF!</definedName>
    <definedName name="Xbrl_Tag_e8bfc542_785c_45ec_9dbe_3b93db69332e" localSheetId="26" hidden="1">'[4]Adj. Income Statement'!#REF!</definedName>
    <definedName name="Xbrl_Tag_e8bfc542_785c_45ec_9dbe_3b93db69332e" localSheetId="27" hidden="1">'[4]Adj. Income Statement'!#REF!</definedName>
    <definedName name="Xbrl_Tag_e8bfc542_785c_45ec_9dbe_3b93db69332e" hidden="1">'[4]Adj. Income Statement'!#REF!</definedName>
    <definedName name="Xbrl_Tag_eade47b0_2243_4d32_861b_8c3268e26cf3" localSheetId="3" hidden="1">'[4]Adj. Income Statement'!#REF!</definedName>
    <definedName name="Xbrl_Tag_eade47b0_2243_4d32_861b_8c3268e26cf3" localSheetId="26" hidden="1">'[4]Adj. Income Statement'!#REF!</definedName>
    <definedName name="Xbrl_Tag_eade47b0_2243_4d32_861b_8c3268e26cf3" localSheetId="27" hidden="1">'[4]Adj. Income Statement'!#REF!</definedName>
    <definedName name="Xbrl_Tag_eade47b0_2243_4d32_861b_8c3268e26cf3" hidden="1">'[4]Adj. Income Statement'!#REF!</definedName>
    <definedName name="Xbrl_Tag_ed34a669_2210_43e3_8d94_63f3a7a48c96" localSheetId="3" hidden="1">'[4]Adj. Income Statement'!#REF!</definedName>
    <definedName name="Xbrl_Tag_ed34a669_2210_43e3_8d94_63f3a7a48c96" localSheetId="26" hidden="1">'[4]Adj. Income Statement'!#REF!</definedName>
    <definedName name="Xbrl_Tag_ed34a669_2210_43e3_8d94_63f3a7a48c96" localSheetId="27" hidden="1">'[4]Adj. Income Statement'!#REF!</definedName>
    <definedName name="Xbrl_Tag_ed34a669_2210_43e3_8d94_63f3a7a48c96" hidden="1">'[4]Adj. Income Statement'!#REF!</definedName>
    <definedName name="Xbrl_Tag_ee7a2416_a975_4201_9277_8290d8908ccf" localSheetId="3" hidden="1">'[4]Adj. Income Statement'!#REF!</definedName>
    <definedName name="Xbrl_Tag_ee7a2416_a975_4201_9277_8290d8908ccf" localSheetId="26" hidden="1">'[4]Adj. Income Statement'!#REF!</definedName>
    <definedName name="Xbrl_Tag_ee7a2416_a975_4201_9277_8290d8908ccf" localSheetId="27" hidden="1">'[4]Adj. Income Statement'!#REF!</definedName>
    <definedName name="Xbrl_Tag_ee7a2416_a975_4201_9277_8290d8908ccf" hidden="1">'[4]Adj. Income Statement'!#REF!</definedName>
    <definedName name="Xbrl_Tag_ee8a51a9_161a_4f09_82e8_d18efd1119a1" localSheetId="3" hidden="1">'[4]Adj. Income Statement'!#REF!</definedName>
    <definedName name="Xbrl_Tag_ee8a51a9_161a_4f09_82e8_d18efd1119a1" localSheetId="26" hidden="1">'[4]Adj. Income Statement'!#REF!</definedName>
    <definedName name="Xbrl_Tag_ee8a51a9_161a_4f09_82e8_d18efd1119a1" localSheetId="27" hidden="1">'[4]Adj. Income Statement'!#REF!</definedName>
    <definedName name="Xbrl_Tag_ee8a51a9_161a_4f09_82e8_d18efd1119a1" hidden="1">'[4]Adj. Income Statement'!#REF!</definedName>
    <definedName name="Xbrl_Tag_efa044fd_a1b2_40a5_b1f9_72090c947b21" localSheetId="3" hidden="1">'[4]Adj. Income Statement'!#REF!</definedName>
    <definedName name="Xbrl_Tag_efa044fd_a1b2_40a5_b1f9_72090c947b21" localSheetId="26" hidden="1">'[4]Adj. Income Statement'!#REF!</definedName>
    <definedName name="Xbrl_Tag_efa044fd_a1b2_40a5_b1f9_72090c947b21" localSheetId="27" hidden="1">'[4]Adj. Income Statement'!#REF!</definedName>
    <definedName name="Xbrl_Tag_efa044fd_a1b2_40a5_b1f9_72090c947b21" hidden="1">'[4]Adj. Income Statement'!#REF!</definedName>
    <definedName name="Xbrl_Tag_f5d3fddf_4f85_4525_871f_f5d116e6ca67" localSheetId="3" hidden="1">'[4]Adj. Income Statement'!#REF!</definedName>
    <definedName name="Xbrl_Tag_f5d3fddf_4f85_4525_871f_f5d116e6ca67" localSheetId="26" hidden="1">'[4]Adj. Income Statement'!#REF!</definedName>
    <definedName name="Xbrl_Tag_f5d3fddf_4f85_4525_871f_f5d116e6ca67" localSheetId="27" hidden="1">'[4]Adj. Income Statement'!#REF!</definedName>
    <definedName name="Xbrl_Tag_f5d3fddf_4f85_4525_871f_f5d116e6ca67" hidden="1">'[4]Adj. Income Statement'!#REF!</definedName>
    <definedName name="Xbrl_Tag_f80d63c5_ffff_4f9e_a25e_9c37480fc1ae" localSheetId="3" hidden="1">'[4]Adj. Income Statement'!#REF!</definedName>
    <definedName name="Xbrl_Tag_f80d63c5_ffff_4f9e_a25e_9c37480fc1ae" localSheetId="26" hidden="1">'[4]Adj. Income Statement'!#REF!</definedName>
    <definedName name="Xbrl_Tag_f80d63c5_ffff_4f9e_a25e_9c37480fc1ae" localSheetId="27" hidden="1">'[4]Adj. Income Statement'!#REF!</definedName>
    <definedName name="Xbrl_Tag_f80d63c5_ffff_4f9e_a25e_9c37480fc1ae" hidden="1">'[4]Adj. Income Statement'!#REF!</definedName>
    <definedName name="Xbrl_Tag_f91e44a0_2671_4cea_8dec_43ad8dbe440f" localSheetId="3" hidden="1">'[4]Adj. Income Statement'!#REF!</definedName>
    <definedName name="Xbrl_Tag_f91e44a0_2671_4cea_8dec_43ad8dbe440f" localSheetId="26" hidden="1">'[4]Adj. Income Statement'!#REF!</definedName>
    <definedName name="Xbrl_Tag_f91e44a0_2671_4cea_8dec_43ad8dbe440f" localSheetId="27" hidden="1">'[4]Adj. Income Statement'!#REF!</definedName>
    <definedName name="Xbrl_Tag_f91e44a0_2671_4cea_8dec_43ad8dbe440f" hidden="1">'[4]Adj. Income Statement'!#REF!</definedName>
    <definedName name="Xbrl_Tag_fab5f0e9_4198_47ff_9b56_c2280e7e2d27" localSheetId="3" hidden="1">'[4]Adj. Income Statement'!#REF!</definedName>
    <definedName name="Xbrl_Tag_fab5f0e9_4198_47ff_9b56_c2280e7e2d27" localSheetId="26" hidden="1">'[4]Adj. Income Statement'!#REF!</definedName>
    <definedName name="Xbrl_Tag_fab5f0e9_4198_47ff_9b56_c2280e7e2d27" localSheetId="27" hidden="1">'[4]Adj. Income Statement'!#REF!</definedName>
    <definedName name="Xbrl_Tag_fab5f0e9_4198_47ff_9b56_c2280e7e2d27" hidden="1">'[4]Adj. Income Statement'!#REF!</definedName>
    <definedName name="Xbrl_Tag_fc82f321_49fd_456c_a7a3_9e9b572f9fad" localSheetId="3" hidden="1">'[4]Adj. Income Statement'!#REF!</definedName>
    <definedName name="Xbrl_Tag_fc82f321_49fd_456c_a7a3_9e9b572f9fad" localSheetId="26" hidden="1">'[4]Adj. Income Statement'!#REF!</definedName>
    <definedName name="Xbrl_Tag_fc82f321_49fd_456c_a7a3_9e9b572f9fad" localSheetId="27" hidden="1">'[4]Adj. Income Statement'!#REF!</definedName>
    <definedName name="Xbrl_Tag_fc82f321_49fd_456c_a7a3_9e9b572f9fad" hidden="1">'[4]Adj. Income Statement'!#REF!</definedName>
    <definedName name="Xbrl_Tag_fd0762ba_faef_48ae_8f93_3b1682db973d" localSheetId="3" hidden="1">'[4]Adj. Income Statement'!#REF!</definedName>
    <definedName name="Xbrl_Tag_fd0762ba_faef_48ae_8f93_3b1682db973d" localSheetId="26" hidden="1">'[4]Adj. Income Statement'!#REF!</definedName>
    <definedName name="Xbrl_Tag_fd0762ba_faef_48ae_8f93_3b1682db973d" localSheetId="27" hidden="1">'[4]Adj. Income Statement'!#REF!</definedName>
    <definedName name="Xbrl_Tag_fd0762ba_faef_48ae_8f93_3b1682db973d" hidden="1">'[4]Adj. Income Statement'!#REF!</definedName>
    <definedName name="Xbrl_Tag_fdbfb964_4eb0_44bd_ba7a_9dfdfb13f3a4" localSheetId="3" hidden="1">'[4]Adj. Income Statement'!#REF!</definedName>
    <definedName name="Xbrl_Tag_fdbfb964_4eb0_44bd_ba7a_9dfdfb13f3a4" localSheetId="26" hidden="1">'[4]Adj. Income Statement'!#REF!</definedName>
    <definedName name="Xbrl_Tag_fdbfb964_4eb0_44bd_ba7a_9dfdfb13f3a4" localSheetId="27" hidden="1">'[4]Adj. Income Statement'!#REF!</definedName>
    <definedName name="Xbrl_Tag_fdbfb964_4eb0_44bd_ba7a_9dfdfb13f3a4" hidden="1">'[4]Adj. Income Statement'!#REF!</definedName>
    <definedName name="z" hidden="1">{"edcredit",#N/A,FALSE,"edcredit"}</definedName>
  </definedNames>
  <calcPr calcId="171027"/>
</workbook>
</file>

<file path=xl/calcChain.xml><?xml version="1.0" encoding="utf-8"?>
<calcChain xmlns="http://schemas.openxmlformats.org/spreadsheetml/2006/main">
  <c r="D27" i="82" l="1"/>
  <c r="F27" i="82" s="1"/>
  <c r="F29" i="82" s="1"/>
  <c r="F32" i="82" s="1"/>
  <c r="A24" i="82"/>
  <c r="A25" i="82" s="1"/>
  <c r="A26" i="82" s="1"/>
  <c r="A27" i="82" s="1"/>
  <c r="A28" i="82" s="1"/>
  <c r="A29" i="82" s="1"/>
  <c r="A30" i="82" s="1"/>
  <c r="A31" i="82" s="1"/>
  <c r="A32" i="82" s="1"/>
  <c r="A33" i="82" s="1"/>
  <c r="A34" i="82" s="1"/>
  <c r="A35" i="82" s="1"/>
  <c r="A36" i="82" s="1"/>
  <c r="A37" i="82" s="1"/>
  <c r="A38" i="82" s="1"/>
  <c r="A39" i="82" s="1"/>
  <c r="A40" i="82" s="1"/>
  <c r="A41" i="82" s="1"/>
  <c r="A23" i="82"/>
  <c r="F38" i="82" l="1"/>
  <c r="F41" i="82" s="1"/>
  <c r="D21" i="82" l="1"/>
  <c r="F21" i="82" s="1"/>
  <c r="D15" i="82"/>
  <c r="F15" i="82" s="1"/>
  <c r="A10" i="82"/>
  <c r="A11" i="82" s="1"/>
  <c r="A12" i="82" s="1"/>
  <c r="A13" i="82" s="1"/>
  <c r="A14" i="82" s="1"/>
  <c r="A15" i="82" s="1"/>
  <c r="A16" i="82" s="1"/>
  <c r="A17" i="82" s="1"/>
  <c r="A18" i="82" s="1"/>
  <c r="A19" i="82" s="1"/>
  <c r="A20" i="82" s="1"/>
  <c r="A21" i="82" s="1"/>
  <c r="A22" i="82" s="1"/>
  <c r="C119" i="67" l="1"/>
  <c r="A6" i="50" l="1"/>
  <c r="C170" i="1"/>
  <c r="C167" i="1"/>
  <c r="C165" i="1"/>
  <c r="C164" i="1"/>
  <c r="C163" i="1"/>
  <c r="C161" i="1"/>
  <c r="C160" i="1"/>
  <c r="C159" i="1"/>
  <c r="C158" i="1"/>
  <c r="C157" i="1"/>
  <c r="C156" i="1"/>
  <c r="C155" i="1"/>
  <c r="C33" i="1"/>
  <c r="C49" i="20" l="1"/>
  <c r="N19" i="52" l="1"/>
  <c r="N20" i="52"/>
  <c r="N18" i="52"/>
  <c r="L19" i="52"/>
  <c r="L20" i="52"/>
  <c r="L18" i="52"/>
  <c r="I19" i="52"/>
  <c r="I20" i="52"/>
  <c r="I18" i="52"/>
  <c r="F19" i="52"/>
  <c r="F20" i="52"/>
  <c r="F18" i="52"/>
  <c r="F19" i="42"/>
  <c r="F20" i="42"/>
  <c r="F18" i="42"/>
  <c r="N19" i="42"/>
  <c r="N20" i="42"/>
  <c r="N18" i="42"/>
  <c r="L19" i="42"/>
  <c r="L20" i="42"/>
  <c r="L18" i="42"/>
  <c r="I19" i="42"/>
  <c r="I20" i="42"/>
  <c r="I18" i="42"/>
  <c r="K58" i="40"/>
  <c r="K54" i="40"/>
  <c r="K55" i="40"/>
  <c r="B9" i="52"/>
  <c r="B9" i="42"/>
  <c r="H4" i="81" l="1"/>
  <c r="G17" i="81"/>
  <c r="H17" i="81"/>
  <c r="H5" i="81"/>
  <c r="G33" i="79" l="1"/>
  <c r="G7" i="79"/>
  <c r="A7" i="13" l="1"/>
  <c r="O4" i="42"/>
  <c r="O4" i="52"/>
  <c r="B17" i="37"/>
  <c r="C168" i="1" l="1"/>
  <c r="A321" i="1" l="1"/>
  <c r="A261" i="1"/>
  <c r="A184" i="1"/>
  <c r="A114" i="1"/>
  <c r="A54" i="1"/>
  <c r="A321" i="2"/>
  <c r="A261" i="2"/>
  <c r="A184" i="2"/>
  <c r="A114" i="2"/>
  <c r="A54" i="2"/>
  <c r="D4" i="71" l="1"/>
  <c r="D5" i="71"/>
  <c r="D15" i="1"/>
  <c r="A9" i="54"/>
  <c r="A9" i="41"/>
  <c r="A9" i="53"/>
  <c r="A9" i="40"/>
  <c r="K57" i="40" s="1"/>
  <c r="E156" i="67"/>
  <c r="H4" i="77"/>
  <c r="H5" i="77"/>
  <c r="D28" i="77"/>
  <c r="E26" i="77"/>
  <c r="G26" i="77" s="1"/>
  <c r="E25" i="77"/>
  <c r="G25" i="77" s="1"/>
  <c r="E24" i="77"/>
  <c r="G24" i="77" s="1"/>
  <c r="E23" i="77"/>
  <c r="G23" i="77" s="1"/>
  <c r="E22" i="77"/>
  <c r="G22" i="77" s="1"/>
  <c r="F21" i="77"/>
  <c r="E21" i="77"/>
  <c r="E20" i="77"/>
  <c r="G20" i="77" s="1"/>
  <c r="F19" i="77"/>
  <c r="E19" i="77"/>
  <c r="F18" i="77"/>
  <c r="E18" i="77"/>
  <c r="F17" i="77"/>
  <c r="E17" i="77"/>
  <c r="F16" i="77"/>
  <c r="E16" i="77"/>
  <c r="F15" i="77"/>
  <c r="E15" i="77"/>
  <c r="I4" i="76"/>
  <c r="G21" i="77" l="1"/>
  <c r="G15" i="77"/>
  <c r="G17" i="77"/>
  <c r="H19" i="77" s="1"/>
  <c r="G19" i="77"/>
  <c r="G16" i="77"/>
  <c r="H21" i="77" s="1"/>
  <c r="G18" i="77"/>
  <c r="H18" i="77"/>
  <c r="H15" i="77"/>
  <c r="H25" i="77" l="1"/>
  <c r="H23" i="77"/>
  <c r="H22" i="77"/>
  <c r="H26" i="77"/>
  <c r="H16" i="77"/>
  <c r="H24" i="77"/>
  <c r="H20" i="77"/>
  <c r="H17" i="77"/>
  <c r="J23" i="1" l="1"/>
  <c r="C146" i="67" l="1"/>
  <c r="E291" i="2"/>
  <c r="E291" i="1"/>
  <c r="I17" i="76" l="1"/>
  <c r="G17" i="76"/>
  <c r="I19" i="76" l="1"/>
  <c r="G19" i="76"/>
  <c r="E19" i="20" s="1"/>
  <c r="E20" i="20" s="1"/>
  <c r="E22" i="20" s="1"/>
  <c r="E25" i="20" s="1"/>
  <c r="J246" i="1" s="1"/>
  <c r="E17" i="76" l="1"/>
  <c r="I5" i="76"/>
  <c r="I13" i="76"/>
  <c r="G13" i="76"/>
  <c r="A1" i="76"/>
  <c r="C17" i="76" l="1"/>
  <c r="C19" i="76" s="1"/>
  <c r="C19" i="20" s="1"/>
  <c r="C20" i="20" s="1"/>
  <c r="C22" i="20" s="1"/>
  <c r="C25" i="20" s="1"/>
  <c r="E19" i="76" l="1"/>
  <c r="G73" i="2" l="1"/>
  <c r="D18" i="9" l="1"/>
  <c r="C18" i="9"/>
  <c r="D34" i="22" l="1"/>
  <c r="C13" i="37" l="1"/>
  <c r="C17" i="37" s="1"/>
  <c r="E52" i="22" l="1"/>
  <c r="D52" i="22"/>
  <c r="E56" i="22"/>
  <c r="D56" i="22"/>
  <c r="E40" i="22"/>
  <c r="D40" i="22"/>
  <c r="E34" i="22"/>
  <c r="E36" i="22" s="1"/>
  <c r="D36" i="22"/>
  <c r="E24" i="22"/>
  <c r="D24" i="22"/>
  <c r="E20" i="22"/>
  <c r="D19" i="22"/>
  <c r="G20" i="50" l="1"/>
  <c r="D35" i="75" l="1"/>
  <c r="D20" i="75"/>
  <c r="D36" i="75" s="1"/>
  <c r="F4" i="75"/>
  <c r="B1" i="75"/>
  <c r="F5" i="75"/>
  <c r="G25" i="50" l="1"/>
  <c r="E46" i="20" l="1"/>
  <c r="E30" i="20"/>
  <c r="C30" i="20"/>
  <c r="D47" i="22" l="1"/>
  <c r="D58" i="22" s="1"/>
  <c r="D31" i="22"/>
  <c r="D42" i="22" s="1"/>
  <c r="D13" i="22"/>
  <c r="E47" i="22"/>
  <c r="E58" i="22" s="1"/>
  <c r="E31" i="22"/>
  <c r="E42" i="22" s="1"/>
  <c r="K6" i="74"/>
  <c r="K6" i="73"/>
  <c r="K7" i="74"/>
  <c r="K7" i="73"/>
  <c r="G21" i="74"/>
  <c r="G28" i="74" s="1"/>
  <c r="F21" i="74"/>
  <c r="F28" i="74" s="1"/>
  <c r="H28" i="74" s="1"/>
  <c r="H30" i="74" s="1"/>
  <c r="B13" i="74"/>
  <c r="B14" i="74" s="1"/>
  <c r="B15" i="74" s="1"/>
  <c r="B16" i="74" s="1"/>
  <c r="B17" i="74" s="1"/>
  <c r="B18" i="74" s="1"/>
  <c r="B19" i="74" s="1"/>
  <c r="B20" i="74" s="1"/>
  <c r="B21" i="74" s="1"/>
  <c r="B22" i="74" s="1"/>
  <c r="B23" i="74" s="1"/>
  <c r="B24" i="74" s="1"/>
  <c r="B25" i="74" s="1"/>
  <c r="B26" i="74" s="1"/>
  <c r="B27" i="74" s="1"/>
  <c r="B28" i="74" s="1"/>
  <c r="B29" i="74" s="1"/>
  <c r="B30" i="74" s="1"/>
  <c r="G21" i="73"/>
  <c r="G28" i="73" s="1"/>
  <c r="F21" i="73"/>
  <c r="F28" i="73" s="1"/>
  <c r="B13" i="73"/>
  <c r="B14" i="73" s="1"/>
  <c r="B15" i="73" s="1"/>
  <c r="B16" i="73" s="1"/>
  <c r="B17" i="73" s="1"/>
  <c r="B18" i="73" s="1"/>
  <c r="B19" i="73" s="1"/>
  <c r="B20" i="73" s="1"/>
  <c r="B21" i="73" s="1"/>
  <c r="B22" i="73" s="1"/>
  <c r="B23" i="73" s="1"/>
  <c r="B24" i="73" s="1"/>
  <c r="B25" i="73" s="1"/>
  <c r="B26" i="73" s="1"/>
  <c r="B27" i="73" s="1"/>
  <c r="B28" i="73" s="1"/>
  <c r="B29" i="73" s="1"/>
  <c r="B30" i="73" s="1"/>
  <c r="H28" i="73" l="1"/>
  <c r="H30" i="73" s="1"/>
  <c r="E13" i="22"/>
  <c r="E26" i="22" s="1"/>
  <c r="D16" i="22" l="1"/>
  <c r="D20" i="22" s="1"/>
  <c r="D26" i="22" s="1"/>
  <c r="C130" i="67" l="1"/>
  <c r="C37" i="68"/>
  <c r="C100" i="67"/>
  <c r="J199" i="2" s="1"/>
  <c r="C75" i="67" l="1"/>
  <c r="C69" i="67"/>
  <c r="D20" i="19"/>
  <c r="C20" i="19"/>
  <c r="C26" i="19" s="1"/>
  <c r="C52" i="67"/>
  <c r="C24" i="32"/>
  <c r="C16" i="32" l="1"/>
  <c r="D40" i="67"/>
  <c r="C20" i="67"/>
  <c r="C13" i="67"/>
  <c r="C12" i="67"/>
  <c r="D130" i="67"/>
  <c r="D119" i="67"/>
  <c r="D37" i="68" l="1"/>
  <c r="D100" i="67"/>
  <c r="J199" i="1" s="1"/>
  <c r="D75" i="67"/>
  <c r="D78" i="67"/>
  <c r="D69" i="67" l="1"/>
  <c r="D52" i="67"/>
  <c r="D20" i="67" l="1"/>
  <c r="D17" i="67"/>
  <c r="D13" i="67" l="1"/>
  <c r="D12" i="67"/>
  <c r="M88" i="54" l="1"/>
  <c r="M88" i="53"/>
  <c r="J210" i="1"/>
  <c r="I4" i="54" l="1"/>
  <c r="I4" i="53"/>
  <c r="I4" i="41"/>
  <c r="I4" i="40"/>
  <c r="G5" i="50"/>
  <c r="C337" i="1" l="1"/>
  <c r="C336" i="1"/>
  <c r="C335" i="1"/>
  <c r="C334" i="1"/>
  <c r="C333" i="1"/>
  <c r="C332" i="1"/>
  <c r="C331" i="1"/>
  <c r="C330" i="1"/>
  <c r="C329" i="1"/>
  <c r="C328" i="1"/>
  <c r="C327" i="1"/>
  <c r="C326" i="1"/>
  <c r="C310" i="1"/>
  <c r="C309" i="1"/>
  <c r="C308" i="1"/>
  <c r="C307" i="1"/>
  <c r="C306" i="1"/>
  <c r="C305" i="1"/>
  <c r="C304" i="1"/>
  <c r="C303" i="1"/>
  <c r="C302" i="1"/>
  <c r="C301" i="1"/>
  <c r="C300" i="1"/>
  <c r="C299" i="1"/>
  <c r="C298" i="1"/>
  <c r="C297" i="1"/>
  <c r="C296" i="1"/>
  <c r="C295" i="1"/>
  <c r="C294" i="1"/>
  <c r="C268" i="1"/>
  <c r="C269" i="1"/>
  <c r="C270" i="1"/>
  <c r="C271" i="1"/>
  <c r="C272" i="1"/>
  <c r="C273" i="1"/>
  <c r="C274" i="1"/>
  <c r="C275" i="1"/>
  <c r="C276" i="1"/>
  <c r="C277" i="1"/>
  <c r="C278" i="1"/>
  <c r="C279" i="1"/>
  <c r="C280" i="1"/>
  <c r="C281" i="1"/>
  <c r="C282" i="1"/>
  <c r="C283" i="1"/>
  <c r="C284" i="1"/>
  <c r="C285" i="1"/>
  <c r="C286" i="1"/>
  <c r="C287" i="1"/>
  <c r="C288" i="1"/>
  <c r="C289" i="1"/>
  <c r="J216" i="1"/>
  <c r="H216" i="1"/>
  <c r="H215" i="1"/>
  <c r="J249" i="1"/>
  <c r="E249" i="1"/>
  <c r="C249" i="1"/>
  <c r="J249" i="2"/>
  <c r="E23" i="2" l="1"/>
  <c r="J23" i="2" s="1"/>
  <c r="G24" i="79" s="1"/>
  <c r="C86" i="1"/>
  <c r="C87" i="1"/>
  <c r="C88" i="1"/>
  <c r="C89" i="1"/>
  <c r="C90" i="1"/>
  <c r="E248" i="1" l="1"/>
  <c r="E241" i="1"/>
  <c r="C187" i="1"/>
  <c r="C248" i="1"/>
  <c r="C246" i="1"/>
  <c r="C244" i="1"/>
  <c r="C243" i="1"/>
  <c r="C242" i="1"/>
  <c r="C241" i="1"/>
  <c r="C239" i="1"/>
  <c r="C236" i="1"/>
  <c r="C235" i="1"/>
  <c r="C234" i="1"/>
  <c r="C233" i="1"/>
  <c r="C226" i="1"/>
  <c r="C221" i="1"/>
  <c r="C219" i="1"/>
  <c r="C218" i="1"/>
  <c r="C217" i="1"/>
  <c r="C216" i="1"/>
  <c r="C214" i="1"/>
  <c r="C206" i="1"/>
  <c r="C196" i="1"/>
  <c r="C212" i="1"/>
  <c r="C211" i="1"/>
  <c r="C210" i="1"/>
  <c r="C209" i="1"/>
  <c r="C208" i="1"/>
  <c r="C204" i="1"/>
  <c r="C203" i="1"/>
  <c r="C202" i="1"/>
  <c r="C200" i="1"/>
  <c r="C199" i="1"/>
  <c r="C198" i="1"/>
  <c r="C194" i="1"/>
  <c r="C190" i="1"/>
  <c r="C191" i="1"/>
  <c r="C192" i="1"/>
  <c r="C189" i="1"/>
  <c r="C152" i="1"/>
  <c r="C151" i="1"/>
  <c r="C150" i="1"/>
  <c r="C149" i="1"/>
  <c r="C148" i="1"/>
  <c r="C147" i="1"/>
  <c r="C146" i="1"/>
  <c r="C145" i="1"/>
  <c r="C144" i="1"/>
  <c r="C143" i="1"/>
  <c r="C141" i="1"/>
  <c r="C140" i="1"/>
  <c r="C139" i="1"/>
  <c r="C138" i="1"/>
  <c r="C137" i="1"/>
  <c r="C135" i="1"/>
  <c r="C134" i="1"/>
  <c r="C133" i="1"/>
  <c r="C132" i="1"/>
  <c r="C131" i="1"/>
  <c r="C130" i="1"/>
  <c r="C129" i="1"/>
  <c r="C128" i="1"/>
  <c r="C127" i="1"/>
  <c r="C126" i="1"/>
  <c r="C125" i="1"/>
  <c r="C124" i="1"/>
  <c r="C123" i="1"/>
  <c r="C122" i="1"/>
  <c r="C121" i="1"/>
  <c r="C120" i="1"/>
  <c r="C101" i="1"/>
  <c r="C99" i="1"/>
  <c r="C98" i="1"/>
  <c r="C97" i="1"/>
  <c r="C96" i="1"/>
  <c r="C95" i="1"/>
  <c r="C93" i="1"/>
  <c r="C91" i="1"/>
  <c r="C85" i="1"/>
  <c r="C83" i="1"/>
  <c r="C82" i="1"/>
  <c r="C81" i="1"/>
  <c r="C80" i="1"/>
  <c r="C79" i="1"/>
  <c r="C78" i="1"/>
  <c r="C77" i="1"/>
  <c r="C75" i="1"/>
  <c r="C74" i="1"/>
  <c r="C73" i="1"/>
  <c r="C72" i="1"/>
  <c r="C71" i="1"/>
  <c r="C70" i="1"/>
  <c r="C69" i="1"/>
  <c r="C67" i="1"/>
  <c r="C66" i="1"/>
  <c r="C65" i="1"/>
  <c r="C64" i="1"/>
  <c r="C63" i="1"/>
  <c r="C62" i="1"/>
  <c r="C61" i="1"/>
  <c r="C41" i="1"/>
  <c r="C40" i="1"/>
  <c r="C39" i="1"/>
  <c r="C38" i="1"/>
  <c r="C37" i="1"/>
  <c r="C35" i="1"/>
  <c r="C34" i="1"/>
  <c r="C30" i="1"/>
  <c r="C27" i="1"/>
  <c r="C23" i="1"/>
  <c r="C22" i="1"/>
  <c r="C21" i="1"/>
  <c r="C20" i="1"/>
  <c r="C19" i="1"/>
  <c r="C18" i="1"/>
  <c r="C15" i="1"/>
  <c r="D232" i="1"/>
  <c r="D230" i="1"/>
  <c r="D229" i="1"/>
  <c r="D228" i="1"/>
  <c r="D227" i="1"/>
  <c r="D224" i="1"/>
  <c r="D222" i="1"/>
  <c r="D218" i="1"/>
  <c r="D217" i="1"/>
  <c r="D216" i="1"/>
  <c r="D211" i="1"/>
  <c r="D210" i="1"/>
  <c r="D209" i="1"/>
  <c r="D208" i="1"/>
  <c r="D165" i="1"/>
  <c r="D161" i="1"/>
  <c r="D149" i="1"/>
  <c r="D148" i="1"/>
  <c r="D145" i="1"/>
  <c r="D140" i="1"/>
  <c r="D139" i="1"/>
  <c r="D138" i="1"/>
  <c r="D130" i="1"/>
  <c r="D124" i="1"/>
  <c r="D125" i="1"/>
  <c r="D126" i="1"/>
  <c r="D127" i="1"/>
  <c r="D128" i="1"/>
  <c r="D122" i="1"/>
  <c r="D123" i="1"/>
  <c r="D121" i="1"/>
  <c r="D98" i="1"/>
  <c r="D97" i="1"/>
  <c r="D96" i="1"/>
  <c r="D93" i="1"/>
  <c r="D90" i="1"/>
  <c r="D89" i="1"/>
  <c r="D88" i="1"/>
  <c r="D87" i="1"/>
  <c r="D86" i="1"/>
  <c r="D82" i="1"/>
  <c r="D81" i="1"/>
  <c r="D80" i="1"/>
  <c r="D79" i="1"/>
  <c r="D78" i="1"/>
  <c r="D74" i="1"/>
  <c r="D73" i="1"/>
  <c r="D72" i="1"/>
  <c r="D71" i="1"/>
  <c r="D70" i="1"/>
  <c r="D66" i="1"/>
  <c r="D65" i="1"/>
  <c r="D64" i="1"/>
  <c r="D63" i="1"/>
  <c r="D62" i="1"/>
  <c r="D23" i="1"/>
  <c r="D30" i="1"/>
  <c r="D20" i="1"/>
  <c r="D19" i="1"/>
  <c r="A8" i="1"/>
  <c r="J7" i="1"/>
  <c r="J7" i="2"/>
  <c r="E5" i="22" l="1"/>
  <c r="H5" i="12"/>
  <c r="D5" i="32"/>
  <c r="D5" i="19"/>
  <c r="D5" i="9"/>
  <c r="D5" i="5"/>
  <c r="C5" i="37"/>
  <c r="E5" i="20"/>
  <c r="B5" i="26"/>
  <c r="O5" i="13"/>
  <c r="D5" i="68"/>
  <c r="D150" i="1" l="1"/>
  <c r="D146" i="1"/>
  <c r="D133" i="1"/>
  <c r="D16" i="71" l="1"/>
  <c r="D17" i="71" l="1"/>
  <c r="D21" i="71" s="1"/>
  <c r="G25" i="79" s="1"/>
  <c r="B19" i="26"/>
  <c r="C124" i="67" s="1"/>
  <c r="E152" i="67" l="1"/>
  <c r="D54" i="67" l="1"/>
  <c r="C54" i="67"/>
  <c r="E124" i="2" l="1"/>
  <c r="E54" i="67"/>
  <c r="E124" i="1"/>
  <c r="D26" i="19" l="1"/>
  <c r="D41" i="68" l="1"/>
  <c r="D108" i="67" s="1"/>
  <c r="C41" i="68"/>
  <c r="C108" i="67" s="1"/>
  <c r="D33" i="68"/>
  <c r="D107" i="67" s="1"/>
  <c r="C33" i="68"/>
  <c r="C107" i="67" s="1"/>
  <c r="D25" i="68"/>
  <c r="D106" i="67" s="1"/>
  <c r="C25" i="68"/>
  <c r="C106" i="67" s="1"/>
  <c r="D17" i="68"/>
  <c r="C17" i="68"/>
  <c r="C105" i="67" s="1"/>
  <c r="D4" i="68"/>
  <c r="A1" i="68"/>
  <c r="M18" i="13"/>
  <c r="L18" i="13"/>
  <c r="K18" i="13"/>
  <c r="J18" i="13"/>
  <c r="I18" i="13"/>
  <c r="H18" i="13"/>
  <c r="G18" i="13"/>
  <c r="F18" i="13"/>
  <c r="E18" i="13"/>
  <c r="D18" i="13"/>
  <c r="C18" i="13"/>
  <c r="B18" i="13"/>
  <c r="N16" i="13"/>
  <c r="O16" i="13" s="1"/>
  <c r="J35" i="1" s="1"/>
  <c r="N13" i="13"/>
  <c r="O13" i="13" s="1"/>
  <c r="O4" i="13"/>
  <c r="A1" i="13"/>
  <c r="B4" i="26"/>
  <c r="A1" i="26"/>
  <c r="E49" i="20"/>
  <c r="E33" i="20"/>
  <c r="C33" i="20"/>
  <c r="E4" i="20"/>
  <c r="A1" i="20"/>
  <c r="C4" i="37"/>
  <c r="A1" i="37"/>
  <c r="D4" i="5"/>
  <c r="A1" i="5"/>
  <c r="C21" i="9"/>
  <c r="C56" i="67" s="1"/>
  <c r="D4" i="9"/>
  <c r="A1" i="9"/>
  <c r="D28" i="19"/>
  <c r="D32" i="19" s="1"/>
  <c r="D61" i="67" s="1"/>
  <c r="C28" i="19"/>
  <c r="C32" i="19" s="1"/>
  <c r="C61" i="67" s="1"/>
  <c r="D4" i="19"/>
  <c r="A1" i="19"/>
  <c r="D24" i="32"/>
  <c r="C18" i="32"/>
  <c r="B18" i="32"/>
  <c r="D17" i="32"/>
  <c r="D16" i="32"/>
  <c r="D15" i="32"/>
  <c r="D4" i="32"/>
  <c r="A1" i="32"/>
  <c r="B25" i="12"/>
  <c r="D23" i="12" s="1"/>
  <c r="F23" i="12" s="1"/>
  <c r="B17" i="12"/>
  <c r="D16" i="12" s="1"/>
  <c r="H4" i="12"/>
  <c r="A1" i="12"/>
  <c r="D35" i="67"/>
  <c r="D34" i="67"/>
  <c r="C36" i="67"/>
  <c r="E4" i="22"/>
  <c r="W86" i="54"/>
  <c r="K58" i="54"/>
  <c r="K57" i="54"/>
  <c r="K55" i="54"/>
  <c r="K54" i="54"/>
  <c r="W86" i="53"/>
  <c r="K58" i="53"/>
  <c r="K57" i="53"/>
  <c r="K55" i="53"/>
  <c r="K54" i="53"/>
  <c r="N38" i="52"/>
  <c r="E18" i="52"/>
  <c r="D18" i="52"/>
  <c r="W86" i="41"/>
  <c r="K58" i="41"/>
  <c r="K57" i="41"/>
  <c r="K55" i="41"/>
  <c r="K54" i="41"/>
  <c r="W86" i="40"/>
  <c r="N38" i="42"/>
  <c r="D25" i="50"/>
  <c r="B25" i="50"/>
  <c r="E27" i="50" s="1"/>
  <c r="J244" i="1"/>
  <c r="H235" i="1"/>
  <c r="E234" i="1"/>
  <c r="H234" i="1" s="1"/>
  <c r="E233" i="1"/>
  <c r="J229" i="1"/>
  <c r="J228" i="1"/>
  <c r="J227" i="1"/>
  <c r="J224" i="1"/>
  <c r="J222" i="1"/>
  <c r="E218" i="1"/>
  <c r="E217" i="1"/>
  <c r="E216" i="1"/>
  <c r="J190" i="1"/>
  <c r="E161" i="1"/>
  <c r="E151" i="1"/>
  <c r="G150" i="1"/>
  <c r="E150" i="1"/>
  <c r="E149" i="1"/>
  <c r="E148" i="1"/>
  <c r="E146" i="1"/>
  <c r="E145" i="1"/>
  <c r="E140" i="1"/>
  <c r="E139" i="1"/>
  <c r="E138" i="1"/>
  <c r="E134" i="1"/>
  <c r="J134" i="1" s="1"/>
  <c r="E133" i="1"/>
  <c r="G132" i="1"/>
  <c r="E132" i="1"/>
  <c r="E130" i="1"/>
  <c r="E128" i="1"/>
  <c r="E127" i="1"/>
  <c r="E125" i="1"/>
  <c r="E123" i="1"/>
  <c r="E121" i="1"/>
  <c r="E98" i="1"/>
  <c r="E90" i="1"/>
  <c r="G89" i="1"/>
  <c r="E86" i="1"/>
  <c r="G74" i="1"/>
  <c r="E74" i="1"/>
  <c r="G73" i="1"/>
  <c r="E73" i="1"/>
  <c r="H72" i="1"/>
  <c r="G72" i="1"/>
  <c r="E72" i="1"/>
  <c r="G71" i="1"/>
  <c r="E71" i="1"/>
  <c r="H70" i="1"/>
  <c r="G70" i="1"/>
  <c r="G86" i="1" s="1"/>
  <c r="G149" i="1" s="1"/>
  <c r="E66" i="1"/>
  <c r="E64" i="1"/>
  <c r="E63" i="1"/>
  <c r="J189" i="1" s="1"/>
  <c r="E62" i="1"/>
  <c r="J34" i="1"/>
  <c r="G22" i="1"/>
  <c r="G21" i="1"/>
  <c r="G20" i="1"/>
  <c r="A258" i="1"/>
  <c r="J244" i="2"/>
  <c r="H235" i="2"/>
  <c r="E234" i="2"/>
  <c r="E233" i="2"/>
  <c r="J229" i="2"/>
  <c r="J228" i="2"/>
  <c r="J224" i="2"/>
  <c r="J222" i="2"/>
  <c r="E218" i="2"/>
  <c r="E217" i="2"/>
  <c r="E216" i="2"/>
  <c r="J215" i="2"/>
  <c r="J215" i="1" s="1"/>
  <c r="J190" i="2"/>
  <c r="E161" i="2"/>
  <c r="E151" i="2"/>
  <c r="G150" i="2"/>
  <c r="E150" i="2"/>
  <c r="E149" i="2"/>
  <c r="E148" i="2"/>
  <c r="G146" i="2"/>
  <c r="E146" i="2"/>
  <c r="E145" i="2"/>
  <c r="E140" i="2"/>
  <c r="E139" i="2"/>
  <c r="E138" i="2"/>
  <c r="E134" i="2"/>
  <c r="E133" i="2"/>
  <c r="G132" i="2"/>
  <c r="E132" i="2"/>
  <c r="G130" i="2"/>
  <c r="G131" i="2" s="1"/>
  <c r="E130" i="2"/>
  <c r="E128" i="2"/>
  <c r="E127" i="2"/>
  <c r="E125" i="2"/>
  <c r="E123" i="2"/>
  <c r="E121" i="2"/>
  <c r="E98" i="2"/>
  <c r="E90" i="2"/>
  <c r="G89" i="2"/>
  <c r="E86" i="2"/>
  <c r="G74" i="2"/>
  <c r="E74" i="2"/>
  <c r="E73" i="2"/>
  <c r="H72" i="2"/>
  <c r="G72" i="2"/>
  <c r="E72" i="2"/>
  <c r="G71" i="2"/>
  <c r="E71" i="2"/>
  <c r="H70" i="2"/>
  <c r="G70" i="2"/>
  <c r="G86" i="2" s="1"/>
  <c r="G149" i="2" s="1"/>
  <c r="E70" i="2"/>
  <c r="E66" i="2"/>
  <c r="E65" i="2"/>
  <c r="E64" i="2"/>
  <c r="E63" i="2"/>
  <c r="E62" i="2"/>
  <c r="G22" i="2"/>
  <c r="G21" i="2"/>
  <c r="G20" i="2"/>
  <c r="A318" i="2"/>
  <c r="D146" i="67"/>
  <c r="E146" i="67" s="1"/>
  <c r="E139" i="67"/>
  <c r="E138" i="67"/>
  <c r="E131" i="67"/>
  <c r="E130" i="67"/>
  <c r="D127" i="67"/>
  <c r="E126" i="67"/>
  <c r="E125" i="67"/>
  <c r="E121" i="67"/>
  <c r="E119" i="67"/>
  <c r="D116" i="67"/>
  <c r="C116" i="67"/>
  <c r="E115" i="67"/>
  <c r="E114" i="67"/>
  <c r="E113" i="67"/>
  <c r="E100" i="67"/>
  <c r="D96" i="67"/>
  <c r="C96" i="67"/>
  <c r="E95" i="67"/>
  <c r="E91" i="67"/>
  <c r="D87" i="67"/>
  <c r="C87" i="67"/>
  <c r="D82" i="67"/>
  <c r="C82" i="67"/>
  <c r="E81" i="67"/>
  <c r="E80" i="67"/>
  <c r="E79" i="67"/>
  <c r="E78" i="67"/>
  <c r="E77" i="67"/>
  <c r="E76" i="67"/>
  <c r="E75" i="67"/>
  <c r="D71" i="67"/>
  <c r="C71" i="67"/>
  <c r="E70" i="67"/>
  <c r="A70" i="67"/>
  <c r="E69" i="67"/>
  <c r="E68" i="67"/>
  <c r="A68" i="67"/>
  <c r="E64" i="67"/>
  <c r="E63" i="67"/>
  <c r="B63" i="67"/>
  <c r="E62" i="67"/>
  <c r="E60" i="67"/>
  <c r="E59" i="67"/>
  <c r="E58" i="67"/>
  <c r="E57" i="67"/>
  <c r="E55" i="67"/>
  <c r="E53" i="67"/>
  <c r="E52" i="67"/>
  <c r="E51" i="67"/>
  <c r="E45" i="67"/>
  <c r="E37" i="67"/>
  <c r="D36" i="67"/>
  <c r="C34" i="67"/>
  <c r="E33" i="67"/>
  <c r="D29" i="67"/>
  <c r="C29" i="67"/>
  <c r="C28" i="67"/>
  <c r="D27" i="67"/>
  <c r="C27" i="67"/>
  <c r="D26" i="67"/>
  <c r="C26" i="67"/>
  <c r="C25" i="67"/>
  <c r="C22" i="67"/>
  <c r="E21" i="67"/>
  <c r="A21" i="67"/>
  <c r="A29" i="67" s="1"/>
  <c r="E20" i="67"/>
  <c r="A20" i="67"/>
  <c r="A28" i="67" s="1"/>
  <c r="E19" i="67"/>
  <c r="A19" i="67"/>
  <c r="A27" i="67" s="1"/>
  <c r="E18" i="67"/>
  <c r="A18" i="67"/>
  <c r="A26" i="67" s="1"/>
  <c r="A17" i="67"/>
  <c r="A25" i="67" s="1"/>
  <c r="C14" i="67"/>
  <c r="E13" i="67"/>
  <c r="E11" i="67"/>
  <c r="E10" i="67"/>
  <c r="E9" i="67"/>
  <c r="B2" i="67"/>
  <c r="A9" i="50" s="1"/>
  <c r="D18" i="32" l="1"/>
  <c r="C65" i="67"/>
  <c r="B27" i="50"/>
  <c r="J134" i="2"/>
  <c r="J189" i="2"/>
  <c r="C89" i="67"/>
  <c r="E156" i="2"/>
  <c r="E156" i="1"/>
  <c r="D89" i="67"/>
  <c r="C40" i="67"/>
  <c r="E40" i="67" s="1"/>
  <c r="D105" i="67"/>
  <c r="D22" i="67"/>
  <c r="E82" i="2"/>
  <c r="J198" i="1"/>
  <c r="J198" i="2"/>
  <c r="E219" i="2"/>
  <c r="H217" i="2" s="1"/>
  <c r="D14" i="12"/>
  <c r="F14" i="12" s="1"/>
  <c r="D15" i="12"/>
  <c r="F15" i="12" s="1"/>
  <c r="E70" i="1"/>
  <c r="E78" i="1" s="1"/>
  <c r="E17" i="67"/>
  <c r="D25" i="67"/>
  <c r="E292" i="1"/>
  <c r="D28" i="67"/>
  <c r="E210" i="2"/>
  <c r="D132" i="67"/>
  <c r="E87" i="1"/>
  <c r="E93" i="1"/>
  <c r="J93" i="1" s="1"/>
  <c r="E210" i="1"/>
  <c r="H210" i="1" s="1"/>
  <c r="E88" i="1"/>
  <c r="J191" i="2"/>
  <c r="E211" i="2"/>
  <c r="D14" i="67"/>
  <c r="E65" i="1"/>
  <c r="E12" i="67"/>
  <c r="E292" i="2"/>
  <c r="D142" i="67"/>
  <c r="E51" i="20"/>
  <c r="J248" i="1" s="1"/>
  <c r="C51" i="20"/>
  <c r="X52" i="53"/>
  <c r="O18" i="13"/>
  <c r="J35" i="2" s="1"/>
  <c r="J34" i="2"/>
  <c r="N18" i="13"/>
  <c r="E80" i="1"/>
  <c r="E81" i="2"/>
  <c r="A318" i="1"/>
  <c r="A181" i="2"/>
  <c r="A258" i="2"/>
  <c r="J50" i="1"/>
  <c r="A111" i="2"/>
  <c r="A111" i="1"/>
  <c r="A181" i="1"/>
  <c r="A51" i="2"/>
  <c r="A51" i="1"/>
  <c r="X52" i="40"/>
  <c r="H234" i="2"/>
  <c r="E96" i="67"/>
  <c r="J191" i="1"/>
  <c r="J110" i="1"/>
  <c r="E78" i="2"/>
  <c r="J230" i="1"/>
  <c r="X52" i="41"/>
  <c r="X52" i="54"/>
  <c r="E131" i="1"/>
  <c r="E61" i="67"/>
  <c r="E131" i="2"/>
  <c r="D38" i="67"/>
  <c r="E89" i="1"/>
  <c r="C35" i="67"/>
  <c r="E34" i="67"/>
  <c r="E87" i="2"/>
  <c r="E89" i="2"/>
  <c r="E36" i="67"/>
  <c r="E93" i="2"/>
  <c r="H23" i="12"/>
  <c r="D44" i="67" s="1"/>
  <c r="D24" i="12"/>
  <c r="D22" i="12"/>
  <c r="J227" i="2"/>
  <c r="H233" i="2"/>
  <c r="E208" i="2"/>
  <c r="E108" i="67"/>
  <c r="E209" i="2"/>
  <c r="C109" i="67"/>
  <c r="E106" i="67"/>
  <c r="E152" i="2"/>
  <c r="E141" i="2"/>
  <c r="E71" i="67"/>
  <c r="E126" i="2"/>
  <c r="E75" i="2"/>
  <c r="E27" i="67"/>
  <c r="E80" i="2"/>
  <c r="C30" i="67"/>
  <c r="E67" i="2"/>
  <c r="E79" i="2"/>
  <c r="H233" i="1"/>
  <c r="E219" i="1"/>
  <c r="H217" i="1" s="1"/>
  <c r="E116" i="67"/>
  <c r="E211" i="1"/>
  <c r="E107" i="67"/>
  <c r="E209" i="1"/>
  <c r="E152" i="1"/>
  <c r="E82" i="67"/>
  <c r="E141" i="1"/>
  <c r="D21" i="9"/>
  <c r="D56" i="67" s="1"/>
  <c r="D65" i="67" s="1"/>
  <c r="E29" i="67"/>
  <c r="E82" i="1"/>
  <c r="E79" i="1"/>
  <c r="E26" i="67"/>
  <c r="G34" i="79" l="1"/>
  <c r="E160" i="2"/>
  <c r="E164" i="2" s="1"/>
  <c r="E56" i="67"/>
  <c r="D144" i="67"/>
  <c r="E160" i="1"/>
  <c r="E164" i="1" s="1"/>
  <c r="E20" i="1"/>
  <c r="E19" i="1"/>
  <c r="E105" i="67"/>
  <c r="J230" i="2"/>
  <c r="E235" i="1"/>
  <c r="E236" i="1" s="1"/>
  <c r="F233" i="1" s="1"/>
  <c r="J233" i="1" s="1"/>
  <c r="J192" i="2"/>
  <c r="J194" i="2" s="1"/>
  <c r="E208" i="1"/>
  <c r="E212" i="1" s="1"/>
  <c r="D109" i="67"/>
  <c r="H15" i="12"/>
  <c r="C44" i="67" s="1"/>
  <c r="E28" i="67"/>
  <c r="H211" i="2"/>
  <c r="H208" i="2"/>
  <c r="H210" i="2"/>
  <c r="E22" i="67"/>
  <c r="E14" i="67"/>
  <c r="D133" i="67"/>
  <c r="D30" i="67"/>
  <c r="E30" i="67" s="1"/>
  <c r="E91" i="1"/>
  <c r="D17" i="12"/>
  <c r="E67" i="1"/>
  <c r="E75" i="1"/>
  <c r="E81" i="1"/>
  <c r="E83" i="1" s="1"/>
  <c r="E25" i="67"/>
  <c r="C38" i="67"/>
  <c r="J246" i="2"/>
  <c r="C142" i="67"/>
  <c r="J248" i="2"/>
  <c r="C144" i="67"/>
  <c r="J180" i="1"/>
  <c r="E83" i="2"/>
  <c r="J257" i="1"/>
  <c r="J317" i="1"/>
  <c r="E212" i="2"/>
  <c r="J180" i="2"/>
  <c r="J317" i="2"/>
  <c r="J257" i="2"/>
  <c r="J110" i="2"/>
  <c r="J50" i="2"/>
  <c r="J192" i="1"/>
  <c r="J194" i="1" s="1"/>
  <c r="E65" i="67"/>
  <c r="E35" i="67"/>
  <c r="E88" i="2"/>
  <c r="J93" i="2"/>
  <c r="E97" i="1"/>
  <c r="D25" i="12"/>
  <c r="F22" i="12"/>
  <c r="F24" i="12" s="1"/>
  <c r="F16" i="12"/>
  <c r="C127" i="67"/>
  <c r="E124" i="67"/>
  <c r="H211" i="1"/>
  <c r="E126" i="1"/>
  <c r="F235" i="1" l="1"/>
  <c r="J235" i="1" s="1"/>
  <c r="E235" i="2"/>
  <c r="E91" i="2"/>
  <c r="J200" i="1"/>
  <c r="J202" i="1" s="1"/>
  <c r="F234" i="1"/>
  <c r="J234" i="1" s="1"/>
  <c r="H208" i="1"/>
  <c r="E109" i="67"/>
  <c r="G18" i="50"/>
  <c r="E97" i="2"/>
  <c r="E38" i="67"/>
  <c r="E44" i="67"/>
  <c r="C132" i="67"/>
  <c r="E127" i="67"/>
  <c r="E142" i="67"/>
  <c r="E19" i="2"/>
  <c r="E144" i="67"/>
  <c r="E20" i="2"/>
  <c r="J200" i="2"/>
  <c r="J202" i="2" s="1"/>
  <c r="E236" i="2" l="1"/>
  <c r="F234" i="2" s="1"/>
  <c r="J234" i="2" s="1"/>
  <c r="F235" i="2"/>
  <c r="J235" i="2" s="1"/>
  <c r="H20" i="1"/>
  <c r="H21" i="1"/>
  <c r="F209" i="1"/>
  <c r="H209" i="1" s="1"/>
  <c r="H212" i="1" s="1"/>
  <c r="J203" i="1"/>
  <c r="H22" i="1"/>
  <c r="H63" i="1"/>
  <c r="H71" i="1" s="1"/>
  <c r="J71" i="1" s="1"/>
  <c r="H19" i="1"/>
  <c r="H138" i="1"/>
  <c r="J138" i="1" s="1"/>
  <c r="H63" i="2"/>
  <c r="H21" i="2"/>
  <c r="J203" i="2"/>
  <c r="H20" i="2"/>
  <c r="J20" i="2" s="1"/>
  <c r="H19" i="2"/>
  <c r="J19" i="2" s="1"/>
  <c r="F209" i="2"/>
  <c r="H209" i="2" s="1"/>
  <c r="H212" i="2" s="1"/>
  <c r="H138" i="2"/>
  <c r="J138" i="2" s="1"/>
  <c r="H22" i="2"/>
  <c r="J236" i="1"/>
  <c r="E157" i="1" s="1"/>
  <c r="E132" i="67"/>
  <c r="C133" i="67"/>
  <c r="G22" i="50"/>
  <c r="J204" i="1" l="1"/>
  <c r="H19" i="81" s="1"/>
  <c r="H21" i="81" s="1"/>
  <c r="E122" i="1" s="1"/>
  <c r="J212" i="1"/>
  <c r="H131" i="1" s="1"/>
  <c r="J131" i="1" s="1"/>
  <c r="J204" i="2"/>
  <c r="G19" i="81" s="1"/>
  <c r="G21" i="81" s="1"/>
  <c r="E122" i="2" s="1"/>
  <c r="J212" i="2"/>
  <c r="J217" i="2" s="1"/>
  <c r="L217" i="2" s="1"/>
  <c r="F233" i="2"/>
  <c r="J233" i="2" s="1"/>
  <c r="J21" i="2"/>
  <c r="J19" i="1"/>
  <c r="J22" i="2"/>
  <c r="J21" i="1"/>
  <c r="J20" i="1"/>
  <c r="J22" i="1"/>
  <c r="H126" i="1"/>
  <c r="J126" i="1" s="1"/>
  <c r="J63" i="1"/>
  <c r="G20" i="41" s="1"/>
  <c r="H126" i="2"/>
  <c r="J126" i="2" s="1"/>
  <c r="H71" i="2"/>
  <c r="J71" i="2" s="1"/>
  <c r="J63" i="2"/>
  <c r="E133" i="67"/>
  <c r="G27" i="50"/>
  <c r="H127" i="2" l="1"/>
  <c r="J127" i="2" s="1"/>
  <c r="H130" i="2"/>
  <c r="J130" i="2" s="1"/>
  <c r="H65" i="2"/>
  <c r="J65" i="2" s="1"/>
  <c r="H139" i="2"/>
  <c r="J139" i="2" s="1"/>
  <c r="H65" i="1"/>
  <c r="J65" i="1" s="1"/>
  <c r="H145" i="1"/>
  <c r="J145" i="1" s="1"/>
  <c r="H127" i="1"/>
  <c r="J127" i="1" s="1"/>
  <c r="H146" i="1"/>
  <c r="J146" i="1" s="1"/>
  <c r="H130" i="1"/>
  <c r="J130" i="1" s="1"/>
  <c r="H128" i="1"/>
  <c r="J128" i="1" s="1"/>
  <c r="J217" i="1"/>
  <c r="H73" i="2"/>
  <c r="J73" i="2" s="1"/>
  <c r="J81" i="2" s="1"/>
  <c r="H73" i="1"/>
  <c r="J73" i="1" s="1"/>
  <c r="J81" i="1" s="1"/>
  <c r="H139" i="1"/>
  <c r="J139" i="1" s="1"/>
  <c r="J122" i="1"/>
  <c r="E135" i="1"/>
  <c r="H97" i="1"/>
  <c r="J97" i="1" s="1"/>
  <c r="J122" i="2"/>
  <c r="E135" i="2"/>
  <c r="H131" i="2"/>
  <c r="J131" i="2" s="1"/>
  <c r="H128" i="2"/>
  <c r="J128" i="2" s="1"/>
  <c r="L217" i="1"/>
  <c r="H66" i="1" s="1"/>
  <c r="H74" i="1" s="1"/>
  <c r="J74" i="1" s="1"/>
  <c r="H145" i="2"/>
  <c r="J145" i="2" s="1"/>
  <c r="H146" i="2"/>
  <c r="J146" i="2" s="1"/>
  <c r="G21" i="79"/>
  <c r="G20" i="79"/>
  <c r="G22" i="79"/>
  <c r="G23" i="79"/>
  <c r="J236" i="2"/>
  <c r="H124" i="1"/>
  <c r="J124" i="1" s="1"/>
  <c r="G20" i="54"/>
  <c r="J79" i="1"/>
  <c r="H121" i="1"/>
  <c r="H123" i="1"/>
  <c r="J123" i="1" s="1"/>
  <c r="H125" i="1"/>
  <c r="J125" i="1" s="1"/>
  <c r="H124" i="2"/>
  <c r="J124" i="2" s="1"/>
  <c r="H121" i="2"/>
  <c r="H123" i="2"/>
  <c r="J123" i="2" s="1"/>
  <c r="H125" i="2"/>
  <c r="J125" i="2" s="1"/>
  <c r="H97" i="2"/>
  <c r="J97" i="2" s="1"/>
  <c r="G20" i="53"/>
  <c r="G20" i="40"/>
  <c r="J79" i="2"/>
  <c r="H66" i="2"/>
  <c r="D43" i="67" l="1"/>
  <c r="E96" i="1"/>
  <c r="E99" i="1" s="1"/>
  <c r="E101" i="1" s="1"/>
  <c r="E167" i="1" s="1"/>
  <c r="E163" i="1" s="1"/>
  <c r="E165" i="1" s="1"/>
  <c r="E170" i="1" s="1"/>
  <c r="E96" i="2"/>
  <c r="C43" i="67"/>
  <c r="H133" i="1"/>
  <c r="G26" i="79"/>
  <c r="J66" i="1"/>
  <c r="E157" i="2"/>
  <c r="G21" i="54"/>
  <c r="G21" i="41"/>
  <c r="H132" i="1"/>
  <c r="J132" i="1" s="1"/>
  <c r="J121" i="1"/>
  <c r="H132" i="2"/>
  <c r="J132" i="2" s="1"/>
  <c r="J121" i="2"/>
  <c r="J75" i="1"/>
  <c r="H74" i="2"/>
  <c r="J66" i="2"/>
  <c r="G21" i="53"/>
  <c r="G21" i="40"/>
  <c r="J133" i="1"/>
  <c r="H140" i="1"/>
  <c r="J140" i="1" s="1"/>
  <c r="D46" i="67" l="1"/>
  <c r="C46" i="67"/>
  <c r="E43" i="67"/>
  <c r="E99" i="2"/>
  <c r="E101" i="2" s="1"/>
  <c r="E167" i="2" s="1"/>
  <c r="E163" i="2" s="1"/>
  <c r="E165" i="2" s="1"/>
  <c r="E170" i="2" s="1"/>
  <c r="J82" i="1"/>
  <c r="J83" i="1" s="1"/>
  <c r="J67" i="1"/>
  <c r="J135" i="1"/>
  <c r="J67" i="2"/>
  <c r="H67" i="2" s="1"/>
  <c r="J74" i="2"/>
  <c r="J82" i="2" s="1"/>
  <c r="H133" i="2"/>
  <c r="G28" i="41"/>
  <c r="G29" i="41" s="1"/>
  <c r="I29" i="41" s="1"/>
  <c r="G28" i="54"/>
  <c r="G29" i="54" s="1"/>
  <c r="I29" i="54" s="1"/>
  <c r="J141" i="1"/>
  <c r="D48" i="67" l="1"/>
  <c r="C48" i="67"/>
  <c r="E46" i="67"/>
  <c r="H83" i="1"/>
  <c r="H67" i="1"/>
  <c r="H148" i="1" s="1"/>
  <c r="H151" i="1" s="1"/>
  <c r="J151" i="1" s="1"/>
  <c r="G24" i="41"/>
  <c r="G25" i="41" s="1"/>
  <c r="I25" i="41" s="1"/>
  <c r="J96" i="1"/>
  <c r="J75" i="2"/>
  <c r="J133" i="2"/>
  <c r="J135" i="2" s="1"/>
  <c r="H140" i="2"/>
  <c r="J140" i="2" s="1"/>
  <c r="J83" i="2"/>
  <c r="H83" i="2" s="1"/>
  <c r="G24" i="54"/>
  <c r="G25" i="54" s="1"/>
  <c r="I25" i="54" s="1"/>
  <c r="E48" i="67" l="1"/>
  <c r="H98" i="1"/>
  <c r="J98" i="1" s="1"/>
  <c r="J148" i="1"/>
  <c r="H150" i="1"/>
  <c r="J150" i="1" s="1"/>
  <c r="H164" i="1"/>
  <c r="H87" i="1"/>
  <c r="H148" i="2"/>
  <c r="H98" i="2"/>
  <c r="J98" i="2" s="1"/>
  <c r="G28" i="53"/>
  <c r="G29" i="53" s="1"/>
  <c r="I29" i="53" s="1"/>
  <c r="G28" i="40"/>
  <c r="G29" i="40" s="1"/>
  <c r="I29" i="40" s="1"/>
  <c r="J141" i="2"/>
  <c r="J99" i="1" l="1"/>
  <c r="J152" i="1"/>
  <c r="G32" i="54" s="1"/>
  <c r="G33" i="54" s="1"/>
  <c r="I33" i="54" s="1"/>
  <c r="I35" i="54" s="1"/>
  <c r="P67" i="54" s="1"/>
  <c r="Q67" i="54" s="1"/>
  <c r="J164" i="1"/>
  <c r="H164" i="2"/>
  <c r="J164" i="2" s="1"/>
  <c r="H87" i="2"/>
  <c r="H150" i="2"/>
  <c r="J150" i="2" s="1"/>
  <c r="H151" i="2"/>
  <c r="J151" i="2" s="1"/>
  <c r="J148" i="2"/>
  <c r="G24" i="40"/>
  <c r="G25" i="40" s="1"/>
  <c r="I25" i="40" s="1"/>
  <c r="J96" i="2"/>
  <c r="G24" i="53"/>
  <c r="G25" i="53" s="1"/>
  <c r="I25" i="53" s="1"/>
  <c r="H88" i="1"/>
  <c r="J87" i="1"/>
  <c r="P66" i="54" l="1"/>
  <c r="Q66" i="54" s="1"/>
  <c r="G32" i="41"/>
  <c r="G33" i="41" s="1"/>
  <c r="I33" i="41" s="1"/>
  <c r="I35" i="41" s="1"/>
  <c r="P66" i="41" s="1"/>
  <c r="Q66" i="41" s="1"/>
  <c r="P68" i="54"/>
  <c r="Q68" i="54" s="1"/>
  <c r="J88" i="1"/>
  <c r="H89" i="1"/>
  <c r="J89" i="1" s="1"/>
  <c r="H90" i="1"/>
  <c r="J90" i="1" s="1"/>
  <c r="J99" i="2"/>
  <c r="J87" i="2"/>
  <c r="H88" i="2"/>
  <c r="J152" i="2"/>
  <c r="P68" i="41" l="1"/>
  <c r="Q68" i="41" s="1"/>
  <c r="P67" i="41"/>
  <c r="Q67" i="41" s="1"/>
  <c r="J91" i="1"/>
  <c r="J88" i="2"/>
  <c r="H90" i="2"/>
  <c r="J90" i="2" s="1"/>
  <c r="H89" i="2"/>
  <c r="J89" i="2" s="1"/>
  <c r="G32" i="40"/>
  <c r="G33" i="40" s="1"/>
  <c r="I33" i="40" s="1"/>
  <c r="I35" i="40" s="1"/>
  <c r="G32" i="53"/>
  <c r="G33" i="53" s="1"/>
  <c r="I33" i="53" s="1"/>
  <c r="I35" i="53" s="1"/>
  <c r="J91" i="2" l="1"/>
  <c r="P67" i="53"/>
  <c r="Q67" i="53" s="1"/>
  <c r="H19" i="52" s="1"/>
  <c r="P66" i="53"/>
  <c r="Q66" i="53" s="1"/>
  <c r="H18" i="52" s="1"/>
  <c r="P68" i="53"/>
  <c r="Q68" i="53" s="1"/>
  <c r="H20" i="52" s="1"/>
  <c r="P67" i="40"/>
  <c r="Q67" i="40" s="1"/>
  <c r="H19" i="42" s="1"/>
  <c r="P66" i="40"/>
  <c r="Q66" i="40" s="1"/>
  <c r="H18" i="42" s="1"/>
  <c r="P68" i="40"/>
  <c r="Q68" i="40" s="1"/>
  <c r="H20" i="42" s="1"/>
  <c r="J101" i="1"/>
  <c r="J101" i="2" l="1"/>
  <c r="J167" i="2" s="1"/>
  <c r="J167" i="1"/>
  <c r="J163" i="1" s="1"/>
  <c r="J163" i="2" l="1"/>
  <c r="G42" i="40"/>
  <c r="G43" i="40" s="1"/>
  <c r="I43" i="40" s="1"/>
  <c r="G42" i="53"/>
  <c r="G43" i="53" s="1"/>
  <c r="I43" i="53" s="1"/>
  <c r="G42" i="54"/>
  <c r="G43" i="54" s="1"/>
  <c r="I43" i="54" s="1"/>
  <c r="G42" i="41"/>
  <c r="G43" i="41" s="1"/>
  <c r="I43" i="41" s="1"/>
  <c r="J27" i="1"/>
  <c r="J165" i="1" l="1"/>
  <c r="J165" i="2"/>
  <c r="J170" i="2" l="1"/>
  <c r="G38" i="53"/>
  <c r="G39" i="53" s="1"/>
  <c r="I39" i="53" s="1"/>
  <c r="I45" i="53" s="1"/>
  <c r="G38" i="40"/>
  <c r="G39" i="40" s="1"/>
  <c r="I39" i="40" s="1"/>
  <c r="I45" i="40" s="1"/>
  <c r="G38" i="41"/>
  <c r="G39" i="41" s="1"/>
  <c r="I39" i="41" s="1"/>
  <c r="I45" i="41" s="1"/>
  <c r="G38" i="54"/>
  <c r="G39" i="54" s="1"/>
  <c r="I39" i="54" s="1"/>
  <c r="I45" i="54" s="1"/>
  <c r="J170" i="1"/>
  <c r="G16" i="79" l="1"/>
  <c r="S67" i="54"/>
  <c r="T67" i="54" s="1"/>
  <c r="V67" i="54" s="1"/>
  <c r="X67" i="54" s="1"/>
  <c r="S68" i="54"/>
  <c r="T68" i="54" s="1"/>
  <c r="V68" i="54" s="1"/>
  <c r="X68" i="54" s="1"/>
  <c r="S66" i="54"/>
  <c r="T66" i="54" s="1"/>
  <c r="V66" i="54" s="1"/>
  <c r="J15" i="1"/>
  <c r="S68" i="40"/>
  <c r="T68" i="40" s="1"/>
  <c r="S66" i="40"/>
  <c r="T66" i="40" s="1"/>
  <c r="S67" i="40"/>
  <c r="T67" i="40" s="1"/>
  <c r="S66" i="53"/>
  <c r="T66" i="53" s="1"/>
  <c r="S68" i="53"/>
  <c r="T68" i="53" s="1"/>
  <c r="S67" i="53"/>
  <c r="T67" i="53" s="1"/>
  <c r="J15" i="2"/>
  <c r="S68" i="41"/>
  <c r="T68" i="41" s="1"/>
  <c r="V68" i="41" s="1"/>
  <c r="X68" i="41" s="1"/>
  <c r="S66" i="41"/>
  <c r="T66" i="41" s="1"/>
  <c r="V66" i="41" s="1"/>
  <c r="S67" i="41"/>
  <c r="T67" i="41" s="1"/>
  <c r="V67" i="41" s="1"/>
  <c r="X67" i="41" s="1"/>
  <c r="V67" i="53" l="1"/>
  <c r="X67" i="53" s="1"/>
  <c r="K19" i="52"/>
  <c r="V68" i="53"/>
  <c r="X68" i="53" s="1"/>
  <c r="K20" i="52"/>
  <c r="V68" i="40"/>
  <c r="X68" i="40" s="1"/>
  <c r="K20" i="42"/>
  <c r="V66" i="40"/>
  <c r="X66" i="40" s="1"/>
  <c r="X86" i="40" s="1"/>
  <c r="X88" i="40" s="1"/>
  <c r="K18" i="42"/>
  <c r="V66" i="53"/>
  <c r="K18" i="52"/>
  <c r="V67" i="40"/>
  <c r="X67" i="40" s="1"/>
  <c r="K19" i="42"/>
  <c r="G29" i="79"/>
  <c r="X66" i="41"/>
  <c r="X86" i="41" s="1"/>
  <c r="X88" i="41" s="1"/>
  <c r="V86" i="41"/>
  <c r="B12" i="5"/>
  <c r="B15" i="5" s="1"/>
  <c r="J30" i="1"/>
  <c r="C12" i="5"/>
  <c r="C15" i="5" s="1"/>
  <c r="C17" i="5" s="1"/>
  <c r="X66" i="54"/>
  <c r="X86" i="54" s="1"/>
  <c r="X88" i="54" s="1"/>
  <c r="V86" i="54"/>
  <c r="X66" i="53"/>
  <c r="V86" i="53"/>
  <c r="X86" i="53" l="1"/>
  <c r="X88" i="53" s="1"/>
  <c r="V86" i="40"/>
  <c r="E56" i="79"/>
  <c r="E44" i="79"/>
  <c r="G56" i="79"/>
  <c r="E42" i="79"/>
  <c r="D148" i="67"/>
  <c r="M19" i="42"/>
  <c r="O19" i="42" s="1"/>
  <c r="M18" i="42"/>
  <c r="M20" i="42"/>
  <c r="O20" i="42" s="1"/>
  <c r="J27" i="2"/>
  <c r="M19" i="52"/>
  <c r="O19" i="52" s="1"/>
  <c r="M18" i="52"/>
  <c r="M20" i="52"/>
  <c r="O20" i="52" s="1"/>
  <c r="E54" i="79" l="1"/>
  <c r="E48" i="79"/>
  <c r="E52" i="79"/>
  <c r="G54" i="79"/>
  <c r="E46" i="79"/>
  <c r="B17" i="5"/>
  <c r="O18" i="42"/>
  <c r="O38" i="42" s="1"/>
  <c r="O40" i="42" s="1"/>
  <c r="M38" i="42"/>
  <c r="J30" i="2"/>
  <c r="M38" i="52"/>
  <c r="O18" i="52"/>
  <c r="O38" i="52" s="1"/>
  <c r="O40" i="52" s="1"/>
  <c r="C148" i="67" l="1"/>
  <c r="E148" i="67" l="1"/>
</calcChain>
</file>

<file path=xl/comments1.xml><?xml version="1.0" encoding="utf-8"?>
<comments xmlns="http://schemas.openxmlformats.org/spreadsheetml/2006/main">
  <authors>
    <author>Ted Czupik</author>
    <author>Czupik, Ted Jr</author>
  </authors>
  <commentList>
    <comment ref="C37" authorId="0" shapeId="0">
      <text>
        <r>
          <rPr>
            <sz val="10"/>
            <color indexed="81"/>
            <rFont val="Tahoma"/>
            <family val="2"/>
          </rPr>
          <t xml:space="preserve">The Company has chosen option 2 for ITC and therefore this number should be zero and amortization of ITC should be included
</t>
        </r>
      </text>
    </comment>
    <comment ref="D37" authorId="0" shapeId="0">
      <text>
        <r>
          <rPr>
            <sz val="10"/>
            <color indexed="81"/>
            <rFont val="Tahoma"/>
            <family val="2"/>
          </rPr>
          <t xml:space="preserve">The Company has chosen option 2 for ITC and therefore this number should be zero and amortization of ITC should be included
</t>
        </r>
      </text>
    </comment>
    <comment ref="C146" authorId="1" shapeId="0">
      <text>
        <r>
          <rPr>
            <sz val="8"/>
            <color indexed="81"/>
            <rFont val="Tahoma"/>
            <family val="2"/>
          </rPr>
          <t xml:space="preserve">ROE = 10.88% + 50 basis point adder for being a memember of an RTO
</t>
        </r>
      </text>
    </comment>
    <comment ref="C154" authorId="1" shapeId="0">
      <text>
        <r>
          <rPr>
            <sz val="8"/>
            <color indexed="81"/>
            <rFont val="Tahoma"/>
            <family val="2"/>
          </rPr>
          <t xml:space="preserve">FERC Refund Rate is the approved rate as of December 31 of calendar year prior to the rate year (see 18 CFR Section 35.19a).
</t>
        </r>
      </text>
    </comment>
  </commentList>
</comments>
</file>

<file path=xl/comments2.xml><?xml version="1.0" encoding="utf-8"?>
<comments xmlns="http://schemas.openxmlformats.org/spreadsheetml/2006/main">
  <authors>
    <author>Ted Czupik</author>
  </authors>
  <commentList>
    <comment ref="E90" authorId="0" shapeId="0">
      <text>
        <r>
          <rPr>
            <sz val="10"/>
            <color indexed="81"/>
            <rFont val="Tahoma"/>
            <family val="2"/>
          </rPr>
          <t xml:space="preserve">The Company has chosen option 2 for ITC and therefore this number should be zero and amortization of ITC should be included
</t>
        </r>
      </text>
    </comment>
  </commentList>
</comments>
</file>

<file path=xl/comments3.xml><?xml version="1.0" encoding="utf-8"?>
<comments xmlns="http://schemas.openxmlformats.org/spreadsheetml/2006/main">
  <authors>
    <author>Ted Czupik</author>
  </authors>
  <commentList>
    <comment ref="E90" authorId="0" shapeId="0">
      <text>
        <r>
          <rPr>
            <sz val="10"/>
            <color indexed="81"/>
            <rFont val="Tahoma"/>
            <family val="2"/>
          </rPr>
          <t xml:space="preserve">The Company has chosen option 2 for ITC and therefore this number should be zero and amortization of ITC should be included
</t>
        </r>
      </text>
    </comment>
  </commentList>
</comments>
</file>

<file path=xl/comments4.xml><?xml version="1.0" encoding="utf-8"?>
<comments xmlns="http://schemas.openxmlformats.org/spreadsheetml/2006/main">
  <authors>
    <author>Ted Czupik</author>
  </authors>
  <commentList>
    <comment ref="D15" authorId="0" shapeId="0">
      <text>
        <r>
          <rPr>
            <sz val="10"/>
            <color indexed="81"/>
            <rFont val="Tahoma"/>
            <family val="2"/>
          </rPr>
          <t xml:space="preserve">page 350, line 3
</t>
        </r>
      </text>
    </comment>
    <comment ref="C30" authorId="0" shapeId="0">
      <text>
        <r>
          <rPr>
            <sz val="10"/>
            <color indexed="81"/>
            <rFont val="Tahoma"/>
            <family val="2"/>
          </rPr>
          <t xml:space="preserve">All safety advertising for corporate support is charged to account 909650.
</t>
        </r>
      </text>
    </comment>
  </commentList>
</comments>
</file>

<file path=xl/comments5.xml><?xml version="1.0" encoding="utf-8"?>
<comments xmlns="http://schemas.openxmlformats.org/spreadsheetml/2006/main">
  <authors>
    <author>Czupik, Ted Jr</author>
  </authors>
  <commentList>
    <comment ref="C15" authorId="0" shapeId="0">
      <text>
        <r>
          <rPr>
            <sz val="8"/>
            <color indexed="81"/>
            <rFont val="Tahoma"/>
            <family val="2"/>
          </rPr>
          <t xml:space="preserve">Piedmont adjustments will not be required.  For the Piedmont acquisition there is no “hold harmless’ requirement.  All Piedmont transaction costs were properly booked to account 426 or booked to Duke Energy Corp, which was not allocated to the jurisdictions.
</t>
        </r>
      </text>
    </comment>
    <comment ref="D15" authorId="0" shapeId="0">
      <text>
        <r>
          <rPr>
            <sz val="8"/>
            <color indexed="81"/>
            <rFont val="Tahoma"/>
            <family val="2"/>
          </rPr>
          <t xml:space="preserve">Piedmont adjustments will not be required.  For the Piedmont acquisition there is no “hold harmless’ requirement.  All Piedmont transaction costs were properly booked to account 426 or booked to Duke Energy Corp, which was not allocated to the jurisdictions.
</t>
        </r>
      </text>
    </comment>
  </commentList>
</comments>
</file>

<file path=xl/comments6.xml><?xml version="1.0" encoding="utf-8"?>
<comments xmlns="http://schemas.openxmlformats.org/spreadsheetml/2006/main">
  <authors>
    <author>Ted Czupik</author>
    <author>Czupik, Ted Jr</author>
  </authors>
  <commentList>
    <comment ref="C18" authorId="0" shapeId="0">
      <text>
        <r>
          <rPr>
            <sz val="10"/>
            <color indexed="81"/>
            <rFont val="Tahoma"/>
            <family val="2"/>
          </rPr>
          <t xml:space="preserve">Pole attachment revenue
</t>
        </r>
      </text>
    </comment>
    <comment ref="E18" authorId="0" shapeId="0">
      <text>
        <r>
          <rPr>
            <sz val="10"/>
            <color indexed="81"/>
            <rFont val="Tahoma"/>
            <family val="2"/>
          </rPr>
          <t xml:space="preserve">Pole attachment revenue
</t>
        </r>
      </text>
    </comment>
    <comment ref="C37" authorId="1" shapeId="0">
      <text>
        <r>
          <rPr>
            <sz val="8"/>
            <color indexed="81"/>
            <rFont val="Tahoma"/>
            <family val="2"/>
          </rPr>
          <t xml:space="preserve">Charged to Account 561.4
</t>
        </r>
      </text>
    </comment>
    <comment ref="C51" authorId="1" shapeId="0">
      <text>
        <r>
          <rPr>
            <sz val="8"/>
            <color indexed="81"/>
            <rFont val="Tahoma"/>
            <family val="2"/>
          </rPr>
          <t xml:space="preserve">Represents Schedule 7, Firm PTP Revenue
</t>
        </r>
      </text>
    </comment>
    <comment ref="E51" authorId="1" shapeId="0">
      <text>
        <r>
          <rPr>
            <sz val="8"/>
            <color indexed="81"/>
            <rFont val="Tahoma"/>
            <family val="2"/>
          </rPr>
          <t xml:space="preserve">Represents Schedule 7, Firm PTP Revenue
</t>
        </r>
      </text>
    </comment>
  </commentList>
</comments>
</file>

<file path=xl/sharedStrings.xml><?xml version="1.0" encoding="utf-8"?>
<sst xmlns="http://schemas.openxmlformats.org/spreadsheetml/2006/main" count="2084" uniqueCount="901">
  <si>
    <t>205.5.g &amp; 207.99.g</t>
  </si>
  <si>
    <t>1a</t>
  </si>
  <si>
    <t>Less Account 565</t>
  </si>
  <si>
    <t>V</t>
  </si>
  <si>
    <t>Step-ups leased to Duke Energy Kentucky</t>
  </si>
  <si>
    <t xml:space="preserve">Duke Energy Ohio Consolidated </t>
  </si>
  <si>
    <t>Capital Structure</t>
  </si>
  <si>
    <t xml:space="preserve">Formula Rate - Non-Levelized </t>
  </si>
  <si>
    <t xml:space="preserve"> </t>
  </si>
  <si>
    <t>Line</t>
  </si>
  <si>
    <t>Allocated</t>
  </si>
  <si>
    <t>No.</t>
  </si>
  <si>
    <t>Amount</t>
  </si>
  <si>
    <t>Total</t>
  </si>
  <si>
    <t>Allocator</t>
  </si>
  <si>
    <t>TP</t>
  </si>
  <si>
    <t>NET REVENUE REQUIREMENT</t>
  </si>
  <si>
    <t>(Note C)</t>
  </si>
  <si>
    <t>(Note D)</t>
  </si>
  <si>
    <t>(1)</t>
  </si>
  <si>
    <t>(2)</t>
  </si>
  <si>
    <t>(3)</t>
  </si>
  <si>
    <t>(4)</t>
  </si>
  <si>
    <t>(5)</t>
  </si>
  <si>
    <t>Form No. 1</t>
  </si>
  <si>
    <t>Transmission</t>
  </si>
  <si>
    <t>Page, Line, Col.</t>
  </si>
  <si>
    <t>Company Total</t>
  </si>
  <si>
    <t>RATE BASE:</t>
  </si>
  <si>
    <t>GROSS PLANT IN SERVICE</t>
  </si>
  <si>
    <t xml:space="preserve">  Production</t>
  </si>
  <si>
    <t>NA</t>
  </si>
  <si>
    <t xml:space="preserve">  Transmission</t>
  </si>
  <si>
    <t xml:space="preserve">  Distribution</t>
  </si>
  <si>
    <t xml:space="preserve">  General &amp; Intangible</t>
  </si>
  <si>
    <t xml:space="preserve">  Common</t>
  </si>
  <si>
    <t>TOTAL GROSS PLANT (sum lines 1-5)</t>
  </si>
  <si>
    <t>GP=</t>
  </si>
  <si>
    <t>ACCUMULATED DEPRECIATION</t>
  </si>
  <si>
    <t>NET PLANT IN SERVICE</t>
  </si>
  <si>
    <t xml:space="preserve"> (line 3 - line 9)</t>
  </si>
  <si>
    <t xml:space="preserve"> (line 4 - line 10)</t>
  </si>
  <si>
    <t xml:space="preserve"> (line 5 - line 11)</t>
  </si>
  <si>
    <t>TOTAL NET PLANT (sum lines 13-17)</t>
  </si>
  <si>
    <t>NP=</t>
  </si>
  <si>
    <t>273.8.k</t>
  </si>
  <si>
    <t>NP</t>
  </si>
  <si>
    <t>TE</t>
  </si>
  <si>
    <t>GP</t>
  </si>
  <si>
    <t>O&amp;M</t>
  </si>
  <si>
    <t xml:space="preserve">  Transmission </t>
  </si>
  <si>
    <t xml:space="preserve">  A&amp;G</t>
  </si>
  <si>
    <t xml:space="preserve">  Transmission Lease Payments</t>
  </si>
  <si>
    <t>DEPRECIATION EXPENSE</t>
  </si>
  <si>
    <t>TOTAL DEPRECIATION (Sum lines 9 - 11)</t>
  </si>
  <si>
    <t xml:space="preserve">  LABOR RELATED</t>
  </si>
  <si>
    <t xml:space="preserve">  PLANT RELATED</t>
  </si>
  <si>
    <t xml:space="preserve">         Property</t>
  </si>
  <si>
    <t xml:space="preserve">         Gross Receipts</t>
  </si>
  <si>
    <t xml:space="preserve">         Other</t>
  </si>
  <si>
    <t xml:space="preserve">         Payments in lieu of taxes</t>
  </si>
  <si>
    <t>TOTAL OTHER TAXES  (sum lines 13 - 19)</t>
  </si>
  <si>
    <t xml:space="preserve">  </t>
  </si>
  <si>
    <t xml:space="preserve">RETURN </t>
  </si>
  <si>
    <t xml:space="preserve">TRANSMISSION EXPENSES </t>
  </si>
  <si>
    <t>Total transmission expenses    (page 3, line 1, column 3)</t>
  </si>
  <si>
    <t>TE=</t>
  </si>
  <si>
    <t>TP=</t>
  </si>
  <si>
    <t>WAGES &amp; SALARY ALLOCATOR   (W&amp;S)</t>
  </si>
  <si>
    <t>Form 1 Reference</t>
  </si>
  <si>
    <t>$</t>
  </si>
  <si>
    <t>Allocation</t>
  </si>
  <si>
    <t>354.20.b</t>
  </si>
  <si>
    <t xml:space="preserve">  Other</t>
  </si>
  <si>
    <t>($ / Allocation)</t>
  </si>
  <si>
    <t>=</t>
  </si>
  <si>
    <t>% Electric</t>
  </si>
  <si>
    <t xml:space="preserve">  Electric</t>
  </si>
  <si>
    <t>200.3.c</t>
  </si>
  <si>
    <t>(line 16)</t>
  </si>
  <si>
    <t>CE</t>
  </si>
  <si>
    <t xml:space="preserve">  Gas</t>
  </si>
  <si>
    <t>*</t>
  </si>
  <si>
    <t xml:space="preserve">  Water</t>
  </si>
  <si>
    <t>RETURN (R)</t>
  </si>
  <si>
    <t xml:space="preserve">                                          Development of Common Stock:</t>
  </si>
  <si>
    <t>Common Stock</t>
  </si>
  <si>
    <t>Cost</t>
  </si>
  <si>
    <t>%</t>
  </si>
  <si>
    <t>Weighted</t>
  </si>
  <si>
    <t>=WCLTD</t>
  </si>
  <si>
    <t xml:space="preserve">  Common Stock  (line 26)</t>
  </si>
  <si>
    <t>=R</t>
  </si>
  <si>
    <t>REVENUE CREDITS</t>
  </si>
  <si>
    <t>(310-311)</t>
  </si>
  <si>
    <t xml:space="preserve">  Total of (a)-(b)</t>
  </si>
  <si>
    <t>(330.x.n)</t>
  </si>
  <si>
    <t>General Note:  References to pages in this formulary rate are indicated as:  (page#, line#, col.#)</t>
  </si>
  <si>
    <t>Note</t>
  </si>
  <si>
    <t>Letter</t>
  </si>
  <si>
    <t>A</t>
  </si>
  <si>
    <t>B</t>
  </si>
  <si>
    <t>C</t>
  </si>
  <si>
    <t>D</t>
  </si>
  <si>
    <t>E</t>
  </si>
  <si>
    <t>F</t>
  </si>
  <si>
    <t>G</t>
  </si>
  <si>
    <t>Identified in Form 1 as being only transmission related.</t>
  </si>
  <si>
    <t>H</t>
  </si>
  <si>
    <t>Cash Working Capital assigned to transmission is one-eighth of O&amp;M allocated to transmission at page 3, line 8, column 5.</t>
  </si>
  <si>
    <t>I</t>
  </si>
  <si>
    <t>J</t>
  </si>
  <si>
    <t>K</t>
  </si>
  <si>
    <t>L</t>
  </si>
  <si>
    <t>M</t>
  </si>
  <si>
    <t>Removes transmission plant determined by Commission order to be state-jurisdictional according to the seven-factor test (until Form 1</t>
  </si>
  <si>
    <t>N</t>
  </si>
  <si>
    <t>O</t>
  </si>
  <si>
    <t>P</t>
  </si>
  <si>
    <t>Q</t>
  </si>
  <si>
    <t>R</t>
  </si>
  <si>
    <t>Account 456</t>
  </si>
  <si>
    <t>Account 454</t>
  </si>
  <si>
    <t>Rent from Electric Property in per Books Total above</t>
  </si>
  <si>
    <t>Revenue Credits, Accounts 454 and 456</t>
  </si>
  <si>
    <t>Includes income related only to transmission facilities, such as pole attachments, rentals and special use.</t>
  </si>
  <si>
    <t xml:space="preserve">  Account No. 281 (enter negative)</t>
  </si>
  <si>
    <t xml:space="preserve">  Account No. 282 (enter negative)</t>
  </si>
  <si>
    <t xml:space="preserve">  Account No. 283 (enter negative)</t>
  </si>
  <si>
    <t xml:space="preserve">  Account No. 255 (enter negative)</t>
  </si>
  <si>
    <t xml:space="preserve">  Account No. 190 </t>
  </si>
  <si>
    <t xml:space="preserve">  Prepayments (Account 165)</t>
  </si>
  <si>
    <t xml:space="preserve">  a. Bundled Non-RQ Sales for Resale (311.x.h)</t>
  </si>
  <si>
    <t>Total Income Taxes</t>
  </si>
  <si>
    <t xml:space="preserve">  Total  (sum lines 17 - 19)</t>
  </si>
  <si>
    <t>Load</t>
  </si>
  <si>
    <t>(page 4, line 34)</t>
  </si>
  <si>
    <t>(line 1 minus line 6)</t>
  </si>
  <si>
    <t>FIT =</t>
  </si>
  <si>
    <t>SIT=</t>
  </si>
  <si>
    <t xml:space="preserve">  (State Income Tax Rate or Composite SIT)</t>
  </si>
  <si>
    <t>p =</t>
  </si>
  <si>
    <t xml:space="preserve">  (percent of federal income tax deductible for state purposes)</t>
  </si>
  <si>
    <t xml:space="preserve">     T=1 - {[(1 - SIT) * (1 - FIT)] / (1 - SIT * FIT * p)} =</t>
  </si>
  <si>
    <t xml:space="preserve">     CIT=(T/1-T) * (1-(WCLTD/R)) =</t>
  </si>
  <si>
    <t xml:space="preserve">      1 / (1 - T)  = (from line 21)</t>
  </si>
  <si>
    <t xml:space="preserve">       and FIT, SIT &amp; p are as given in footnote K.</t>
  </si>
  <si>
    <t>REV. REQUIREMENT  (sum lines 8, 12, 20, 27, 28)</t>
  </si>
  <si>
    <t xml:space="preserve">         Inputs Required:</t>
  </si>
  <si>
    <t>ITC adjustment (line 23 * line 24)</t>
  </si>
  <si>
    <t>(line 25 plus line 26)</t>
  </si>
  <si>
    <t>calculated</t>
  </si>
  <si>
    <t>WS</t>
  </si>
  <si>
    <t xml:space="preserve">  CWC  </t>
  </si>
  <si>
    <t>Total  (sum lines 27-29)</t>
  </si>
  <si>
    <t xml:space="preserve">  Total  (sum lines 12-15)</t>
  </si>
  <si>
    <t>Removes dollar amount of transmission plant included in the development of OATT ancillary services rates and generation</t>
  </si>
  <si>
    <t>5a</t>
  </si>
  <si>
    <t>zero</t>
  </si>
  <si>
    <t>S</t>
  </si>
  <si>
    <t>T</t>
  </si>
  <si>
    <t>Percentage of transmission expenses after adjustment (line 8 divided by line 6)</t>
  </si>
  <si>
    <t>Included transmission expenses (line 6 less line 7)</t>
  </si>
  <si>
    <t xml:space="preserve">   </t>
  </si>
  <si>
    <t>219.25.c</t>
  </si>
  <si>
    <t>219.26.c</t>
  </si>
  <si>
    <t>Jan</t>
  </si>
  <si>
    <t>Feb</t>
  </si>
  <si>
    <t>Mar</t>
  </si>
  <si>
    <t>Apr</t>
  </si>
  <si>
    <t>Jun</t>
  </si>
  <si>
    <t>Aug</t>
  </si>
  <si>
    <t>Dec</t>
  </si>
  <si>
    <t>Average</t>
  </si>
  <si>
    <t>Notes:</t>
  </si>
  <si>
    <t>267.8.h</t>
  </si>
  <si>
    <t>263.i</t>
  </si>
  <si>
    <t>201.3.d</t>
  </si>
  <si>
    <t>201.3.e</t>
  </si>
  <si>
    <t>111.57.c</t>
  </si>
  <si>
    <t>U</t>
  </si>
  <si>
    <t>207.58.g</t>
  </si>
  <si>
    <t>207.75.g</t>
  </si>
  <si>
    <t>Proprietary Capital (112.16.c)</t>
  </si>
  <si>
    <t>Less Account 216.1 (112.12.c)  (enter negative)</t>
  </si>
  <si>
    <t xml:space="preserve">  Long Term Debt (112, sum of 18.c through 21.c)</t>
  </si>
  <si>
    <t xml:space="preserve">  Preferred Stock  (112.3.c)</t>
  </si>
  <si>
    <t>Duke Energy Ohio</t>
  </si>
  <si>
    <t>Duke Energy Kentucky</t>
  </si>
  <si>
    <t>Long Term Interest (117, sum of 62.c through 67.c)</t>
  </si>
  <si>
    <t>Preferred Dividends (118.29.c) (positive number)</t>
  </si>
  <si>
    <t>DEO</t>
  </si>
  <si>
    <t>DEK</t>
  </si>
  <si>
    <t>205.46.g</t>
  </si>
  <si>
    <t>321.112.b</t>
  </si>
  <si>
    <t>321.96.b</t>
  </si>
  <si>
    <t>323.197.b</t>
  </si>
  <si>
    <t>354.21.b</t>
  </si>
  <si>
    <t>354.23.b</t>
  </si>
  <si>
    <t>354.24,25,26.b</t>
  </si>
  <si>
    <t xml:space="preserve">Less Preferred Stock (112.3.c) </t>
  </si>
  <si>
    <t>Production</t>
  </si>
  <si>
    <t>Distribution</t>
  </si>
  <si>
    <t>Transmission Plant</t>
  </si>
  <si>
    <t>Page 1 of 2</t>
  </si>
  <si>
    <t>O&amp;M EXPENSE</t>
  </si>
  <si>
    <t>9</t>
  </si>
  <si>
    <t>10</t>
  </si>
  <si>
    <t>TAXES OTHER THAN INCOME TAXES</t>
  </si>
  <si>
    <t>11</t>
  </si>
  <si>
    <t>Total Other Taxes</t>
  </si>
  <si>
    <t>12</t>
  </si>
  <si>
    <t>INCOME TAXES</t>
  </si>
  <si>
    <t>Return on Rate Base</t>
  </si>
  <si>
    <t>Page 2 of 2</t>
  </si>
  <si>
    <t>(Note F)</t>
  </si>
  <si>
    <t>in Note K.  Account 281 is not allocated.</t>
  </si>
  <si>
    <t>Detail of Land Held for Future Use</t>
  </si>
  <si>
    <t>Woodsdale Station</t>
  </si>
  <si>
    <t>Other Projects</t>
  </si>
  <si>
    <t>East Bend Station - Production</t>
  </si>
  <si>
    <t>Project Name</t>
  </si>
  <si>
    <t>Amount of Safety Related Advertising</t>
  </si>
  <si>
    <t>A&amp;G Expense, Page 323, line 197, column b</t>
  </si>
  <si>
    <t>A&amp;G Expense</t>
  </si>
  <si>
    <t>Account 282</t>
  </si>
  <si>
    <t>Account 190</t>
  </si>
  <si>
    <t>Sole use Property</t>
  </si>
  <si>
    <t>Distribution Use</t>
  </si>
  <si>
    <t>Assets removed through 2011 by FERC Agreement</t>
  </si>
  <si>
    <t>The balances in Accounts 190, 281, 282 and 283, as adjusted by any amounts in contra accounts identified as regulatory assets or liabilities related to FASB 106 or 109.</t>
  </si>
  <si>
    <t>Balance of Account 255 is reduced by prior flow throughs and excluded if the utility chose to utilize amortization of tax credits against taxable income as discussed</t>
  </si>
  <si>
    <t>Gross Transmission Plant - Total</t>
  </si>
  <si>
    <t>Net Transmission Plant - Total</t>
  </si>
  <si>
    <t>Total O&amp;M Allocated to Transmission</t>
  </si>
  <si>
    <t>Annual Allocation Factor for O&amp;M</t>
  </si>
  <si>
    <t>5</t>
  </si>
  <si>
    <t>6</t>
  </si>
  <si>
    <t>Annual Allocation Factor for Other Taxes</t>
  </si>
  <si>
    <t>7</t>
  </si>
  <si>
    <t>Annual Allocation Factor for Expense</t>
  </si>
  <si>
    <t>8</t>
  </si>
  <si>
    <t>Annual Allocation Factor for Income Taxes</t>
  </si>
  <si>
    <t>Annual Allocation Factor for Return on Rate Base</t>
  </si>
  <si>
    <t>Annual Allocation Factor for Return</t>
  </si>
  <si>
    <t>Line No.</t>
  </si>
  <si>
    <t>MTEP Project Number</t>
  </si>
  <si>
    <t xml:space="preserve">Project Gross Plant </t>
  </si>
  <si>
    <t>Annual Expense Charge</t>
  </si>
  <si>
    <t xml:space="preserve">Project Net Plant </t>
  </si>
  <si>
    <t>Annual Return Charge</t>
  </si>
  <si>
    <t>Project Depreciation Expense</t>
  </si>
  <si>
    <t>Annual Revenue Requirement</t>
  </si>
  <si>
    <t>True-Up Adjustment</t>
  </si>
  <si>
    <t>Network Upgrade Charge</t>
  </si>
  <si>
    <t>(Col. 3 * Col. 4)</t>
  </si>
  <si>
    <t>(Col. 6 * Col. 7)</t>
  </si>
  <si>
    <t>(Note E)</t>
  </si>
  <si>
    <t>(Sum Col. 5, 8 &amp; 9)</t>
  </si>
  <si>
    <t>Sum Col. 10 &amp; 11
(Note G)</t>
  </si>
  <si>
    <t>Project 1</t>
  </si>
  <si>
    <t>P1</t>
  </si>
  <si>
    <t>1b</t>
  </si>
  <si>
    <t>Project 2</t>
  </si>
  <si>
    <t>P2</t>
  </si>
  <si>
    <t>1c</t>
  </si>
  <si>
    <t>Project 3</t>
  </si>
  <si>
    <t>P3</t>
  </si>
  <si>
    <t>2</t>
  </si>
  <si>
    <t>Annual Totals</t>
  </si>
  <si>
    <t>Project Gross Plant is the total capital investment for the project calculated in the same method as the gross plant value in line 1 and includes CWIP in rate base if applicable.  This value includes subsequent capital investments required to maintain the facilities to their original capabilities.</t>
  </si>
  <si>
    <t>Project Net Plant is the Project Gross Plant Identified in Column 3 less the associated Accumulated Depreciation.</t>
  </si>
  <si>
    <t>True-Up Adjustment is included pursuant to a FERC approved methodology if applicable.</t>
  </si>
  <si>
    <t>The Network Upgrade Charge is the value to be used in Schedule 26.</t>
  </si>
  <si>
    <t>Hillcrest 345 kV</t>
  </si>
  <si>
    <t>Rate Formula Template</t>
  </si>
  <si>
    <t>Tower Lease Revenues in per Books Total above</t>
  </si>
  <si>
    <t>Materials and Supplies</t>
  </si>
  <si>
    <t>Total M&amp;S</t>
  </si>
  <si>
    <t>(In Dollars)</t>
  </si>
  <si>
    <t>Actual</t>
  </si>
  <si>
    <t xml:space="preserve">          Total Common Stock Equity</t>
  </si>
  <si>
    <t>13</t>
  </si>
  <si>
    <t>14</t>
  </si>
  <si>
    <t>May</t>
  </si>
  <si>
    <t>Jul</t>
  </si>
  <si>
    <t>Sep</t>
  </si>
  <si>
    <t>Oct</t>
  </si>
  <si>
    <t>Nov</t>
  </si>
  <si>
    <t>Utilizing FERC Form 1 Data</t>
  </si>
  <si>
    <t>SUPPORTING CALCULATIONS AND NOTES</t>
  </si>
  <si>
    <t>Network Upgrade Charge Calculation By Project</t>
  </si>
  <si>
    <t>Annual Cost ($/kW/Yr) - 1 CP</t>
  </si>
  <si>
    <t>RATE BASE</t>
  </si>
  <si>
    <t>$/MWh</t>
  </si>
  <si>
    <t>MWh</t>
  </si>
  <si>
    <t>Schedule 1A Rate Calculations</t>
  </si>
  <si>
    <t>B.</t>
  </si>
  <si>
    <t>Net Schedule 1A Revenue Requirement for Zone</t>
  </si>
  <si>
    <t>Total Load Dispatch &amp; Scheduling (Account 561)</t>
  </si>
  <si>
    <t>A.</t>
  </si>
  <si>
    <t>Requirement</t>
  </si>
  <si>
    <t>Revenue</t>
  </si>
  <si>
    <t>Transmission Formula Rate Revenue Requirement</t>
  </si>
  <si>
    <t>Schedule 1A Annual Revenue Requirements</t>
  </si>
  <si>
    <t>Appendix A</t>
  </si>
  <si>
    <t>Page 1 of 1</t>
  </si>
  <si>
    <t>Attachment H-22A, Page 4, Line 7</t>
  </si>
  <si>
    <t>Revenue Credits for Schedule 1A - Note A</t>
  </si>
  <si>
    <t>Note:</t>
  </si>
  <si>
    <t>used to calculate rates under Attachment H-22A.</t>
  </si>
  <si>
    <t>4a</t>
  </si>
  <si>
    <t>4b</t>
  </si>
  <si>
    <t>Source</t>
  </si>
  <si>
    <t>Reserved</t>
  </si>
  <si>
    <t>Schedule 1A Rate Calculation</t>
  </si>
  <si>
    <t>Appendix C</t>
  </si>
  <si>
    <t>RTEP - Transmission Enhancement Charges</t>
  </si>
  <si>
    <t>Attachment H-22A</t>
  </si>
  <si>
    <t>Utilizing Attachment H-22A Data</t>
  </si>
  <si>
    <t>Prepayments are the electric related prepayments booked to Account No. 165 and reported on Page 111 line 57 in the Form 1.</t>
  </si>
  <si>
    <t>step-up facilities, which are deemed to be included in OATT ancillary services.  For these purposes, generation step-up</t>
  </si>
  <si>
    <t>facilities are those facilities at a generator substation on which there is no through-flow when the generator is shut down.</t>
  </si>
  <si>
    <t>No. 456.1 and all other uses are to be included in the divisor.</t>
  </si>
  <si>
    <t>(page 4, line 35)</t>
  </si>
  <si>
    <t>DIVISOR</t>
  </si>
  <si>
    <t>(line 7 / line 8)</t>
  </si>
  <si>
    <t>General Advertising - 930.1</t>
  </si>
  <si>
    <t>TRANSMISSION PLANT INCLUDED IN ISO RATES</t>
  </si>
  <si>
    <t>Total transmission plant (page 2, line 2, column 3)</t>
  </si>
  <si>
    <t>Transmission plant included in ISO Rates  (line 1 less lines 2 &amp; 3)</t>
  </si>
  <si>
    <t>Percentage of transmission plant included in ISO Rates (line 4 divided by line 1)</t>
  </si>
  <si>
    <t>Percentage of transmission plant included in ISO Rates (line 5)</t>
  </si>
  <si>
    <t>Percentage of transmission expenses included in ISO Rates (line 9 times line 10)</t>
  </si>
  <si>
    <t>Project Depreciation Expense is the actual value booked for the project and included in the Depreciation Expense in Attachment H-22A page 3 line 12.</t>
  </si>
  <si>
    <t>Determination of Transmission Plant Included in OATT Ancillary Services</t>
  </si>
  <si>
    <t>State Tax Composite Rate</t>
  </si>
  <si>
    <t>Revenue Requirement</t>
  </si>
  <si>
    <t>Tax Rate</t>
  </si>
  <si>
    <t>State Taxes</t>
  </si>
  <si>
    <t>Composite Tax Rate</t>
  </si>
  <si>
    <t>Allocation of Account 163</t>
  </si>
  <si>
    <t xml:space="preserve">Line 5 - EPRI Annual Membership Dues listed in Form 1 at 353.f, all Regulatory Commission Expenses itemized at 351.h, and non-safety related advertising included </t>
  </si>
  <si>
    <t xml:space="preserve">in Account 930.1.  Line 5a - Regulatory Commission Expenses directly related to transmission service, ISO filings, or transmission siting itemized at 351.h. </t>
  </si>
  <si>
    <t>Includes only FICA, unemployment, highway, property, gross receipts, and other assessments charged in the current year.  Taxes related to income are excluded.</t>
  </si>
  <si>
    <t>Gross receipts taxes are not included in transmission revenue requirement in the Rate Formula Template, since they are recovered elsewhere.</t>
  </si>
  <si>
    <t xml:space="preserve">"the percentage of federal income tax deductible for state income taxes".  If the utility is taxed in more than one state it must attach a work paper showing the name </t>
  </si>
  <si>
    <t>of each state and how the blended or composite SIT was developed.  Furthermore, a utility that elected to utilize amortization of tax credits</t>
  </si>
  <si>
    <t xml:space="preserve">against taxable income, rather than book tax credits to Account No. 255 and reduce rate base, must reduce its income tax expense by </t>
  </si>
  <si>
    <t>the amount of the Amortized Investment Tax Credit (Form 1, 266.8.f) multiplied by (1/1-T) (page 3, line 26).</t>
  </si>
  <si>
    <t xml:space="preserve">       where WCLTD=(page 4, line 27) and R= (page 4, line 30)</t>
  </si>
  <si>
    <t xml:space="preserve">214.x.d  </t>
  </si>
  <si>
    <t>COMMON PLANT ALLOCATOR  (CE)</t>
  </si>
  <si>
    <t>266.8.f (enter negative)</t>
  </si>
  <si>
    <t>Amortized Investment Tax Credit</t>
  </si>
  <si>
    <t>Income Tax Calculation (line 22 * line 28)</t>
  </si>
  <si>
    <t xml:space="preserve">  b. Bundled Sales for Resale included in Divisor on page 1</t>
  </si>
  <si>
    <t>Revenue received pursuant to PJM Schedule 1A revenue allocation procedures</t>
  </si>
  <si>
    <t>The Total General and Common Depreciation Expense excludes any depreciation expense directly associated with a project and thereby included in page 2 column 9.</t>
  </si>
  <si>
    <t>TRANSMISSION PLANT</t>
  </si>
  <si>
    <t>RTEP Project Number</t>
  </si>
  <si>
    <t>Sum of lines 11 and 13</t>
  </si>
  <si>
    <t>Appendix B</t>
  </si>
  <si>
    <t xml:space="preserve"> (line 1 - line 7)</t>
  </si>
  <si>
    <t xml:space="preserve"> (line 2 - line 8)</t>
  </si>
  <si>
    <t>(Col. 3 times Col. 4)</t>
  </si>
  <si>
    <t>Line 33 must equal zero since all short-term power sales must be unbundled and the transmission component reflected in Account</t>
  </si>
  <si>
    <t>(Note P)</t>
  </si>
  <si>
    <t xml:space="preserve">assignment facilities and GSUs) which are not recovered under this Rate Formula Template. </t>
  </si>
  <si>
    <t>Account No. 454</t>
  </si>
  <si>
    <t>Revenues from Grandfathered Interzonal Transactions</t>
  </si>
  <si>
    <t>Less FERC Annual Fees</t>
  </si>
  <si>
    <t>Payroll</t>
  </si>
  <si>
    <t>Highway and vehicle</t>
  </si>
  <si>
    <t>1 CP   (Note A)</t>
  </si>
  <si>
    <t>12 CP  (Note B)</t>
  </si>
  <si>
    <t>LAND HELD FOR FUTURE USE   (Note G)</t>
  </si>
  <si>
    <t xml:space="preserve">  Materials &amp; Supplies    (Note G)</t>
  </si>
  <si>
    <t>Less transmission plant excluded from ISO rates  (Note M)</t>
  </si>
  <si>
    <t>Less transmission plant included in OATT Ancillary Services  (Note N)</t>
  </si>
  <si>
    <t>Less transmission expenses included in OATT Ancillary Services  (Note L)</t>
  </si>
  <si>
    <t>ACCOUNT 447 (SALES FOR RESALE)  (Note Q)</t>
  </si>
  <si>
    <t>ACCOUNT 454 (RENT FROM ELECTRIC PROPERTY)    (Note R)</t>
  </si>
  <si>
    <t>Less LSE Expenses included in Transmission O&amp;M Accounts  (Note V)</t>
  </si>
  <si>
    <t>Less EPRI &amp; Reg. Comm. Exp. &amp; Non-safety  Advertising    (Note I)</t>
  </si>
  <si>
    <t>Plus Transmission Related Reg. Comm. Exp.   (Note I)</t>
  </si>
  <si>
    <t>TAXES OTHER THAN INCOME TAXES    (Note J)</t>
  </si>
  <si>
    <t>Less transmission plant excluded from ISO rates   (Note M)</t>
  </si>
  <si>
    <t>REVENUE CREDITS    (Note T)</t>
  </si>
  <si>
    <t>WORKING CAPITAL    (Note H)</t>
  </si>
  <si>
    <t xml:space="preserve">  Materials &amp; Supplies     (Note G)</t>
  </si>
  <si>
    <t>INCOME TAXES           (Note K)</t>
  </si>
  <si>
    <t>W</t>
  </si>
  <si>
    <t>revenues associated with FERC annual charges, gross receipts taxes, ancillary services, or facilities not included in this template (e.g., direct</t>
  </si>
  <si>
    <t>Account No. 456.1</t>
  </si>
  <si>
    <t>ACCOUNT 456.1 (OTHER ELECTRIC REVENUES)        (Note U)</t>
  </si>
  <si>
    <t>3a</t>
  </si>
  <si>
    <t>3b</t>
  </si>
  <si>
    <t>DEO - Monthly Transmission System Peak Load (1)</t>
  </si>
  <si>
    <t>DEO - Monthly Transmission System Peak Load</t>
  </si>
  <si>
    <t>17a</t>
  </si>
  <si>
    <t>Annual Cost ($/kW/Yr) - 12 CP</t>
  </si>
  <si>
    <t>(line 7 / line 9)</t>
  </si>
  <si>
    <t>Network Rate ($/kW/Mo)</t>
  </si>
  <si>
    <t>(line 15 / 12)</t>
  </si>
  <si>
    <t>Point-To-Point Rate ($/kW/Mo)</t>
  </si>
  <si>
    <t>(line 16 / 12)</t>
  </si>
  <si>
    <t>Point-To-Point Rate ($/kW/Wk)</t>
  </si>
  <si>
    <t>Point-To-Point Rate ($/kW/Day)</t>
  </si>
  <si>
    <t>Point-To-Point Rate ($/MWh)</t>
  </si>
  <si>
    <t>(line 16 / 52; line 16 / 52)</t>
  </si>
  <si>
    <t>(line 16 / 260; line 16 / 365)</t>
  </si>
  <si>
    <t>(line 16 / 4,160; line 16 / 8,760 * 1000)</t>
  </si>
  <si>
    <t>Peak Rate</t>
  </si>
  <si>
    <t>Off-Peak Rate</t>
  </si>
  <si>
    <t>Capped at weekly rate</t>
  </si>
  <si>
    <t>Capped at weekly and daily rate</t>
  </si>
  <si>
    <t>Less:</t>
  </si>
  <si>
    <t>(A)</t>
  </si>
  <si>
    <t>(B)</t>
  </si>
  <si>
    <t>(C)</t>
  </si>
  <si>
    <t>Duke Energy Ohio and Duke Energy Kentucky</t>
  </si>
  <si>
    <t>for transmission service outside of DEOK's zone during the year</t>
  </si>
  <si>
    <t xml:space="preserve">balances are adjusted to reflect application of seven-factor test).  </t>
  </si>
  <si>
    <r>
      <rPr>
        <vertAlign val="superscript"/>
        <sz val="12"/>
        <rFont val="Arial"/>
        <family val="2"/>
      </rPr>
      <t>(1)</t>
    </r>
    <r>
      <rPr>
        <sz val="12"/>
        <rFont val="Arial"/>
        <family val="2"/>
      </rPr>
      <t xml:space="preserve">  For the purpose of calculating the DEO annual peak, the DEK annual peak as reported on page 401, column d of Form 1, was subtracted from the DEO annual peak as reported on page 400.</t>
    </r>
  </si>
  <si>
    <t>DEOK</t>
  </si>
  <si>
    <t>Exhibit No. DUK-102</t>
  </si>
  <si>
    <r>
      <t xml:space="preserve">Total M&amp;S </t>
    </r>
    <r>
      <rPr>
        <u/>
        <vertAlign val="superscript"/>
        <sz val="10"/>
        <rFont val="Arial"/>
        <family val="2"/>
      </rPr>
      <t>(1)</t>
    </r>
  </si>
  <si>
    <t>Regulatory Commission Expense</t>
  </si>
  <si>
    <t>Electric Power Research Institute</t>
  </si>
  <si>
    <t>Subtotal</t>
  </si>
  <si>
    <t>Adjusted A&amp;G Expense - To Page 3, Line 3</t>
  </si>
  <si>
    <t>Transmission plant included in OATT Ancillary Services - To Page 4, Line 3</t>
  </si>
  <si>
    <t>DEK Monthly Peak Demand (2)</t>
  </si>
  <si>
    <t>Revenues from service provided by ISO at a discount</t>
  </si>
  <si>
    <t>Debt cost rate = long-term interest (line 21) / long term debt (line 27).  Preferred cost rate = preferred dividends (line 22) / preferred outstanding (line 28).</t>
  </si>
  <si>
    <t>ROE will be supported in the original filing and no change in ROE may be made absent a filing with FERC.  Capitalization adjusted to exclude impacts of purchase accounting.</t>
  </si>
  <si>
    <t>transactions and revenues from service provided by ISO at a discount.</t>
  </si>
  <si>
    <t>Sum of lines 4, 6 and 8</t>
  </si>
  <si>
    <t>page 6 of 6</t>
  </si>
  <si>
    <t>page 1 of 6</t>
  </si>
  <si>
    <t>page 2 of 6</t>
  </si>
  <si>
    <t>page 3 of 6</t>
  </si>
  <si>
    <t>page 5 of 6</t>
  </si>
  <si>
    <t>page 4 of 6</t>
  </si>
  <si>
    <t>DUKE ENERGY OHIO, INC.</t>
  </si>
  <si>
    <t>DEPRECIATION RATES</t>
  </si>
  <si>
    <t>FERC</t>
  </si>
  <si>
    <t>Company</t>
  </si>
  <si>
    <t>Account</t>
  </si>
  <si>
    <t xml:space="preserve">Accrual </t>
  </si>
  <si>
    <t>Number</t>
  </si>
  <si>
    <t>Description</t>
  </si>
  <si>
    <t>Rates</t>
  </si>
  <si>
    <t>(D)</t>
  </si>
  <si>
    <t>Wholly Owned Transmission Plant</t>
  </si>
  <si>
    <t>Rights of Way</t>
  </si>
  <si>
    <t>Structures &amp;  Improvements</t>
  </si>
  <si>
    <t>Structures &amp;  Improvements - Duke Ohio - Loc. in Ky.</t>
  </si>
  <si>
    <t>Station Equipment</t>
  </si>
  <si>
    <t>Station Equipment - Duke Ohio - Loc. in Ky.</t>
  </si>
  <si>
    <t>Towers &amp; Fixtures</t>
  </si>
  <si>
    <t>Towers &amp; Fixtures - Duke Ohio - Loc. in Ky.</t>
  </si>
  <si>
    <t>Poles &amp; Fixtures</t>
  </si>
  <si>
    <t>Poles &amp; Fixtures - Duke Ohio - Loc. in Ky.</t>
  </si>
  <si>
    <t>Overhead Conductors &amp; Devices</t>
  </si>
  <si>
    <t>Overhead Conductors &amp; Devices - Duke Ohio - Loc. in Ky.</t>
  </si>
  <si>
    <t>Underground Conduit</t>
  </si>
  <si>
    <t>Underground Conductors &amp; Devices</t>
  </si>
  <si>
    <t>Commonly Owned Transmission Plant - CCD Projects</t>
  </si>
  <si>
    <t>Structures &amp;  Improvements - CCD Projects</t>
  </si>
  <si>
    <t>Station Equipment - CCD Projects</t>
  </si>
  <si>
    <t>Towers &amp; Fixtures - CCD Projects</t>
  </si>
  <si>
    <t>Towers &amp; Fixtures - CCD Projects - Loc. In Ky.</t>
  </si>
  <si>
    <t>Poles &amp; Fixtures - CCD Projects</t>
  </si>
  <si>
    <t>Overhead Conductors &amp; Devices - CCD Projects</t>
  </si>
  <si>
    <t>Overhead Conductors &amp; Devices - CCD Projects - Loc. In Ky.</t>
  </si>
  <si>
    <t>Commonly Owned Transmission Plant - CD Projects</t>
  </si>
  <si>
    <t>Structures &amp;  Improvements - CD Projects</t>
  </si>
  <si>
    <t>Station Equipment - CD Projects</t>
  </si>
  <si>
    <t>Towers &amp; Fixtures - CD Projects</t>
  </si>
  <si>
    <t>Overhead Conductors &amp; Devices - CD Projects</t>
  </si>
  <si>
    <t>General and Intagible Plant</t>
  </si>
  <si>
    <t xml:space="preserve">Miscellaneous Intangible Plant </t>
  </si>
  <si>
    <t>Land and Land Rights</t>
  </si>
  <si>
    <t>N/A</t>
  </si>
  <si>
    <t>Structures and Improvements</t>
  </si>
  <si>
    <t>Office Furniture and Equipment</t>
  </si>
  <si>
    <t>Electronic Data Processing Equipment</t>
  </si>
  <si>
    <t>Transportation Equipment</t>
  </si>
  <si>
    <t>Trailers</t>
  </si>
  <si>
    <t>Tools, Shop &amp; Garage Equipment</t>
  </si>
  <si>
    <t>Laboratory Equipment</t>
  </si>
  <si>
    <t>Power Operated Equipment</t>
  </si>
  <si>
    <t>Communication Equipment</t>
  </si>
  <si>
    <t>Miscellaneous Equipment</t>
  </si>
  <si>
    <t>DUKE ENERGY KENTUCKY, INC.</t>
  </si>
  <si>
    <t>Structures &amp; Improvements</t>
  </si>
  <si>
    <t>Station Equipment - Major</t>
  </si>
  <si>
    <t>Station Equipment - Electronic</t>
  </si>
  <si>
    <t>Miscellaneous Intangible Plant</t>
  </si>
  <si>
    <t>Portion Attributable to Transmission</t>
  </si>
  <si>
    <t>X</t>
  </si>
  <si>
    <t>Y</t>
  </si>
  <si>
    <t>Less Midwest ISO Exit Fees included in Transmission O&amp;M</t>
  </si>
  <si>
    <t>(Note X)</t>
  </si>
  <si>
    <t>Less PJM Integration Costs included in A&amp;G</t>
  </si>
  <si>
    <t>(Note Y)</t>
  </si>
  <si>
    <t>Development of Common Stock:</t>
  </si>
  <si>
    <t>INCOME TAXE RATES</t>
  </si>
  <si>
    <t>Federal Income Tax (FIT)</t>
  </si>
  <si>
    <t>State Income Tax (SIT) or Composite SIT</t>
  </si>
  <si>
    <t>Effective Income Tax Rate</t>
  </si>
  <si>
    <t>(percent of federal income tax deductible for state purposes)</t>
  </si>
  <si>
    <t>Calculated</t>
  </si>
  <si>
    <t>COMMON PLANT ALLOCATOR  (CE) (Note O)</t>
  </si>
  <si>
    <t>TOTAL GROSS PLANT</t>
  </si>
  <si>
    <t>TOTAL ACCUM. DEPRECIATION</t>
  </si>
  <si>
    <t>TOTAL NET PLANT</t>
  </si>
  <si>
    <t>TOTAL ADJUSTMENTS</t>
  </si>
  <si>
    <t>TOTAL WORKING CAPITAL</t>
  </si>
  <si>
    <t>WORKING CAPITAL</t>
  </si>
  <si>
    <t>ADJUSTMENTS TO RATE BASE</t>
  </si>
  <si>
    <t>DESCRIPTION</t>
  </si>
  <si>
    <t>ROE - Docket Nos. ER12-91-000 and ER12-92-000 (Settlement)</t>
  </si>
  <si>
    <t>For the 12 months ended:</t>
  </si>
  <si>
    <t>Rates effective:</t>
  </si>
  <si>
    <t>Corrections to previous year's revenue requirement to be reflected in current year's NITS rate calculation</t>
  </si>
  <si>
    <r>
      <rPr>
        <b/>
        <sz val="12"/>
        <rFont val="Arial"/>
        <family val="2"/>
      </rPr>
      <t>Less:</t>
    </r>
    <r>
      <rPr>
        <sz val="12"/>
        <rFont val="Arial"/>
        <family val="2"/>
      </rPr>
      <t xml:space="preserve"> </t>
    </r>
  </si>
  <si>
    <r>
      <rPr>
        <b/>
        <sz val="12"/>
        <rFont val="Arial"/>
        <family val="2"/>
      </rPr>
      <t>Less:</t>
    </r>
    <r>
      <rPr>
        <sz val="12"/>
        <rFont val="Arial"/>
        <family val="2"/>
      </rPr>
      <t/>
    </r>
  </si>
  <si>
    <t xml:space="preserve">This amount reflects corrections to the prior year rate calculation, plus accumulated interest, and is included here in accordance with the formula rate protocols.  </t>
  </si>
  <si>
    <t>It is shown on a combined basis, and not separately entered on the DEO and DEK tabs.</t>
  </si>
  <si>
    <t xml:space="preserve">200.21.c &amp; 219.28.c </t>
  </si>
  <si>
    <t>Total Generation Step-up Transformers</t>
  </si>
  <si>
    <t xml:space="preserve">336.1.f &amp; 336.10.f </t>
  </si>
  <si>
    <t>General and Intangible Plant</t>
  </si>
  <si>
    <t># of Work Papers</t>
  </si>
  <si>
    <t>Per Books Total, Page 275, lines 2 &amp; 6, column k</t>
  </si>
  <si>
    <t>227.8.c &amp; 227.16.c</t>
  </si>
  <si>
    <t>The currently effective income tax rate, where FIT is the Federal income tax rate; SIT is the State income tax rate, and p =</t>
  </si>
  <si>
    <t>Reported on FERC Form 1</t>
  </si>
  <si>
    <t xml:space="preserve">(1)  DEOK 1 CP is Duke Energy Ohio ("DEO") Monthly Firm Transmission System Peak Load as reported on page 400, column b of Form 1 at the time of DEO's annual peak,  </t>
  </si>
  <si>
    <t>Percentage</t>
  </si>
  <si>
    <t>To be completed in conjunction with Attachment H-22A.</t>
  </si>
  <si>
    <t>336.11.f</t>
  </si>
  <si>
    <t>336.7.f</t>
  </si>
  <si>
    <t>Accumulated Deferred Income Taxes</t>
  </si>
  <si>
    <t>Per Books Total, Page 234, lines 8 &amp; 17, column c</t>
  </si>
  <si>
    <r>
      <t>M&amp;S</t>
    </r>
    <r>
      <rPr>
        <u val="singleAccounting"/>
        <vertAlign val="superscript"/>
        <sz val="10"/>
        <rFont val="Arial"/>
        <family val="2"/>
      </rPr>
      <t xml:space="preserve"> (2)</t>
    </r>
  </si>
  <si>
    <r>
      <t>163</t>
    </r>
    <r>
      <rPr>
        <u val="singleAccounting"/>
        <vertAlign val="superscript"/>
        <sz val="10"/>
        <rFont val="Arial"/>
        <family val="2"/>
      </rPr>
      <t xml:space="preserve"> (3)</t>
    </r>
  </si>
  <si>
    <t>Ohio Consumers' Counsel</t>
  </si>
  <si>
    <t>PUCO - Division of Forecasting</t>
  </si>
  <si>
    <t>Non-Safety Adv., Reg. Comm. Exp. &amp; EPRI</t>
  </si>
  <si>
    <t>Less amounts recorded in a non-formula related account</t>
  </si>
  <si>
    <t>FERC Account 506</t>
  </si>
  <si>
    <t>FERC Account 588</t>
  </si>
  <si>
    <t>FERC Account 910</t>
  </si>
  <si>
    <t>Total Electric Power Research Institute</t>
  </si>
  <si>
    <t>Total Account 456 Per Books Total, Page 300</t>
  </si>
  <si>
    <t>Sch 1 - Scheduling, System Control &amp; Dispatch</t>
  </si>
  <si>
    <t>Sch 2 - Reactive Supply &amp; Voltage Control</t>
  </si>
  <si>
    <t>Sch 4 - Day-Ahead Load Response Charge Allocation</t>
  </si>
  <si>
    <t>Sch 4 - Real-Time Load Response Charge Allocation</t>
  </si>
  <si>
    <t>Sch 8 - Non-Firm PTP</t>
  </si>
  <si>
    <t>Sch 9 - NITS</t>
  </si>
  <si>
    <t>Sch 24 - Load Balancing</t>
  </si>
  <si>
    <t>PJM Customer Payment Default</t>
  </si>
  <si>
    <t>Facilities Charges</t>
  </si>
  <si>
    <t>Other Transmission Revenues - FTR's</t>
  </si>
  <si>
    <t>Total Account 456.1 - To Page 4, Line 35</t>
  </si>
  <si>
    <t>Less: Transmission Revenues - Load in Divisor</t>
  </si>
  <si>
    <t>Total Transmission Revenues - Load in Divisor</t>
  </si>
  <si>
    <t>Sch 26 - MTEP Project Cost Recovery</t>
  </si>
  <si>
    <r>
      <rPr>
        <vertAlign val="superscript"/>
        <sz val="10"/>
        <rFont val="Arial"/>
        <family val="2"/>
      </rPr>
      <t>(2)</t>
    </r>
    <r>
      <rPr>
        <sz val="10"/>
        <rFont val="Arial"/>
        <family val="2"/>
      </rPr>
      <t xml:space="preserve"> Source FERC Form 1, page 227, line 12, column (c)</t>
    </r>
  </si>
  <si>
    <r>
      <rPr>
        <vertAlign val="superscript"/>
        <sz val="10"/>
        <rFont val="Arial"/>
        <family val="2"/>
      </rPr>
      <t>(3)</t>
    </r>
    <r>
      <rPr>
        <sz val="10"/>
        <rFont val="Arial"/>
        <family val="2"/>
      </rPr>
      <t xml:space="preserve"> Source FERC Form 1, page 227, line 16, column (c)</t>
    </r>
  </si>
  <si>
    <t>Revenue Credit Applicable to Attachment H-22A</t>
  </si>
  <si>
    <t>Total Account 454 - To Page 4, Line 34</t>
  </si>
  <si>
    <t>356</t>
  </si>
  <si>
    <t>Exhibit No. DUK-102, Pg. 1</t>
  </si>
  <si>
    <t xml:space="preserve">Exhibit No. DUK-102, Pg. 1 </t>
  </si>
  <si>
    <t>321.88.b, 92.b</t>
  </si>
  <si>
    <t>350.b</t>
  </si>
  <si>
    <t>Exhibit No. DUK-102, Pg. 4</t>
  </si>
  <si>
    <t xml:space="preserve">263.i. </t>
  </si>
  <si>
    <t>Non-Safety Adv., Reg. Comm. Exp. &amp; EPRI - To Page 3, Line 5</t>
  </si>
  <si>
    <r>
      <rPr>
        <vertAlign val="superscript"/>
        <sz val="10"/>
        <rFont val="Arial"/>
        <family val="2"/>
      </rPr>
      <t>(1)</t>
    </r>
    <r>
      <rPr>
        <sz val="10"/>
        <rFont val="Arial"/>
        <family val="2"/>
      </rPr>
      <t xml:space="preserve"> To Page 2, Line 27.</t>
    </r>
  </si>
  <si>
    <t>Adjusted Balances - To Page 2, Line 22</t>
  </si>
  <si>
    <t>Adjusted Balances - To Page 2, Line 20</t>
  </si>
  <si>
    <t>Less Internal Integration Costs included in A&amp;G</t>
  </si>
  <si>
    <t>(Note Z)</t>
  </si>
  <si>
    <t xml:space="preserve">Midcontinent ISO Exit Fees include (1) the charge that DEOK paid to the Midcontinent ISO pursuant to the Settlement Agreement filed on July 29, 2011 in Docket No. ER11-2059 and (2) the exit </t>
  </si>
  <si>
    <t>fees that DEOK paid to the Midcontinent ISO pursuant to the Exit Fee Agreement filed on October 5, 2011 in Docket No. ER12-33.</t>
  </si>
  <si>
    <t>Less Midcontinent ISO Exit Fees included in Transmission O&amp;M</t>
  </si>
  <si>
    <t>PJM Integration Costs are the fees that PJM assessed DEOK for the costs that PJM incurred in connection with DEOK's move into PJM.  Internal Integration Costs are the internal</t>
  </si>
  <si>
    <t>administrative costs incurred by Duke Energy Ohio and Duke Energy Kentucky to accomplish their move from the Midcontinent ISO into PJM.</t>
  </si>
  <si>
    <t>Less PJM Integration Costs included in A&amp;G and</t>
  </si>
  <si>
    <r>
      <rPr>
        <b/>
        <sz val="12"/>
        <rFont val="Arial"/>
        <family val="2"/>
      </rPr>
      <t>Less:</t>
    </r>
    <r>
      <rPr>
        <sz val="12"/>
        <rFont val="Arial"/>
        <family val="2"/>
      </rPr>
      <t xml:space="preserve"> Lobbying Expense</t>
    </r>
  </si>
  <si>
    <t>321.85-87.b</t>
  </si>
  <si>
    <t>MISO - Sch 37</t>
  </si>
  <si>
    <t>Account 283</t>
  </si>
  <si>
    <t>FAS 106</t>
  </si>
  <si>
    <t>FAS 109</t>
  </si>
  <si>
    <t>Per Books Total, Page 277, lines 3 &amp; 18, column k</t>
  </si>
  <si>
    <t xml:space="preserve">         Internal Integration Costs included in A&amp;G</t>
  </si>
  <si>
    <t>The Network Upgrade Charge is the value to be used in Schedule 12.</t>
  </si>
  <si>
    <t>RTEP Transmission Enhancement Charges for Attachment H-22A</t>
  </si>
  <si>
    <t>Accounts 190, Account 282, and Account 283</t>
  </si>
  <si>
    <t>Att. H-22A, p 3, lines 10 &amp; 11, col 5 (Note H)</t>
  </si>
  <si>
    <r>
      <rPr>
        <b/>
        <sz val="12"/>
        <rFont val="Arial"/>
        <family val="2"/>
      </rPr>
      <t>Less:</t>
    </r>
    <r>
      <rPr>
        <sz val="12"/>
        <rFont val="Arial"/>
        <family val="2"/>
      </rPr>
      <t xml:space="preserve"> Department of Justice Settlement - 2015</t>
    </r>
  </si>
  <si>
    <t>Parent DE Ohio</t>
  </si>
  <si>
    <t>Holding Co.</t>
  </si>
  <si>
    <t>Production Labor</t>
  </si>
  <si>
    <t>Producation Labor Page 354, line 20, column b</t>
  </si>
  <si>
    <t>Transmission Labor</t>
  </si>
  <si>
    <t>Transmission Labor Page 354, line 21, column b</t>
  </si>
  <si>
    <t>Distribtution Labor</t>
  </si>
  <si>
    <t>Distribution Labor Page 354, line 23, column b</t>
  </si>
  <si>
    <t>Other Labor</t>
  </si>
  <si>
    <r>
      <rPr>
        <b/>
        <sz val="12"/>
        <rFont val="Arial"/>
        <family val="2"/>
      </rPr>
      <t>Less:</t>
    </r>
    <r>
      <rPr>
        <sz val="12"/>
        <rFont val="Arial"/>
        <family val="2"/>
      </rPr>
      <t xml:space="preserve"> Duke / Progress merger costs to achieve non-incremental labor. </t>
    </r>
  </si>
  <si>
    <t>Wages &amp; Salary Allocator - To Page 4, Line 12</t>
  </si>
  <si>
    <t>Wages &amp; Salary Allocator - To Page 4, Line 13</t>
  </si>
  <si>
    <t>Wages &amp; Salary Allocator - To Page 4, Line 14</t>
  </si>
  <si>
    <t>Wages &amp; Salary Allocator - To Page 4, Line 15</t>
  </si>
  <si>
    <t>Request for Rate Increase &amp; Other Misc Exp</t>
  </si>
  <si>
    <t>FERC Account 557</t>
  </si>
  <si>
    <t>Less amounts recorded in a transmission account</t>
  </si>
  <si>
    <t>FERC Account 566</t>
  </si>
  <si>
    <t>(Note I)</t>
  </si>
  <si>
    <t>Less EPRI Annual Membership Dues  (Note I)</t>
  </si>
  <si>
    <t>Less EPRI Annual Membership Dues</t>
  </si>
  <si>
    <t>(1)  To Page 3, line 1c</t>
  </si>
  <si>
    <t>Impact of</t>
  </si>
  <si>
    <t>Correction</t>
  </si>
  <si>
    <t>Corrections to May 13, 2016 Attachment H Filing</t>
  </si>
  <si>
    <t>FERC Refund Rate</t>
  </si>
  <si>
    <t>Z</t>
  </si>
  <si>
    <t>Corrections to May 2017 Annual Update Filing</t>
  </si>
  <si>
    <t>Number of Periods</t>
  </si>
  <si>
    <t>Interest - ((Amount * (1+Rate)^Periods) - Amount)</t>
  </si>
  <si>
    <t>Miscellaneous</t>
  </si>
  <si>
    <t>Total Proprietary Capital, Page 112, line 16, column c</t>
  </si>
  <si>
    <r>
      <rPr>
        <b/>
        <sz val="12"/>
        <rFont val="Arial"/>
        <family val="2"/>
      </rPr>
      <t>Less:</t>
    </r>
    <r>
      <rPr>
        <sz val="12"/>
        <rFont val="Arial"/>
        <family val="2"/>
      </rPr>
      <t xml:space="preserve"> Goodwill</t>
    </r>
  </si>
  <si>
    <t>Original Refunds Due to Customers - May 13, 2016 Filing</t>
  </si>
  <si>
    <t>Less: Other Electric Revenues - Account 456</t>
  </si>
  <si>
    <t>Variance</t>
  </si>
  <si>
    <t>ACCUMULATED DEPRECIATION AND AMORTIZATION</t>
  </si>
  <si>
    <t>TOTAL ACCUM. DEPRECIATION AND AMORTIZATION (sum lines 7-11)</t>
  </si>
  <si>
    <t>275.2.k &amp; 275.6.k</t>
  </si>
  <si>
    <t>277.9.k &amp; 277.18.k</t>
  </si>
  <si>
    <t>234.8.c &amp; 234.17.c</t>
  </si>
  <si>
    <t xml:space="preserve">  Account No. 255 (enter negative)  (Note K)</t>
  </si>
  <si>
    <t>321.88.b &amp; 321.92.b</t>
  </si>
  <si>
    <t>350.x.b</t>
  </si>
  <si>
    <t>TOTAL O&amp;M   (sum lines 1, 3, 5a, 6, 7 less lines 1a, 1b, 1c, 2, 3b, 4, 5)</t>
  </si>
  <si>
    <t>DEPRECIATION AND AMORTIZATION EXPENSE</t>
  </si>
  <si>
    <t>TOTAL DEPRECIATION AND AMORTIZATION (Sum lines 9 - 11)</t>
  </si>
  <si>
    <t xml:space="preserve">DEOK will provide, in connection with each Annual Update, a copy of the entire annual actuarial valuation report supporting the derivation of the annual Postretirement Benefits </t>
  </si>
  <si>
    <t>Other than Pensions (“PBOP”) expense as charged to FERC account 926, and the amount of such expense included in Total Admin and General Expenses provided on</t>
  </si>
  <si>
    <t xml:space="preserve">Attachment H-22A, page 3 of 6, line 3 of the Formula Rate.  DEOK will provide, in connection with each Annual Update, a worksheet that shows the actual PBOP expense </t>
  </si>
  <si>
    <t xml:space="preserve">components and calculation derivation (including, for each account to which PBOP expense is recorded, the account number, expense amount, description, calculation </t>
  </si>
  <si>
    <t>derivation and source).</t>
  </si>
  <si>
    <t>Account Nos. 561.4 and 561.8 consist of RTO expenses billed to load-serving entities and are not included in Transmission Owner revenue requirements.</t>
  </si>
  <si>
    <t>Company Records</t>
  </si>
  <si>
    <t>GENERAL AND COMMON (G&amp;C) DEPRECIATION AND AMORTIZATION EXPENSE</t>
  </si>
  <si>
    <t>Total G&amp;C Depreciation and Amortization Expense</t>
  </si>
  <si>
    <t>Annual Allocation Factor for G&amp;C Depreciation and Amortization Expense</t>
  </si>
  <si>
    <t>PBOP Expense excluding Pension Expense included in line 3 for information only</t>
  </si>
  <si>
    <t>Gross Transmission Plant is that identified on page 2, line 2 of Attachment H-22A.</t>
  </si>
  <si>
    <t>Net Transmission Plant is that identified on page 2, line 14 of Attachment H-22A.</t>
  </si>
  <si>
    <t>Notes</t>
  </si>
  <si>
    <t>Per 2017 FERC Form 1</t>
  </si>
  <si>
    <t xml:space="preserve">                        References to data from FERC Form 1 are indicated as:   #.y.x  (page, line, column)</t>
  </si>
  <si>
    <t>Other</t>
  </si>
  <si>
    <t>WAGES &amp; SALARY ALLOCATOR   (WS)</t>
  </si>
  <si>
    <t>ACCOUNT 456.1 (OTHER ELECTRIC REVENUES)        (Note W)</t>
  </si>
  <si>
    <t xml:space="preserve">On Line 36, enter revenues from RTO settlements that are associated with MTEP projects.  Exclude NITS, firm Point-to-Point, non-firm Point-to-Point revenues, revenues related to </t>
  </si>
  <si>
    <t>RTEP projects, revenues from grandfathered interzonal transactions and revenues from service provided by ISO at a discount.</t>
  </si>
  <si>
    <r>
      <t xml:space="preserve">DEOK 1 CP is Duke Energy Ohio ("DEO") Monthly Firm Transmission System Peak Load as reported on page 400, column b of Form 1 at the time of DEO's annual peak. </t>
    </r>
    <r>
      <rPr>
        <vertAlign val="superscript"/>
        <sz val="12"/>
        <color rgb="FF0000FF"/>
        <rFont val="Arial"/>
        <family val="2"/>
      </rPr>
      <t>(1)</t>
    </r>
    <r>
      <rPr>
        <sz val="12"/>
        <color rgb="FF0000FF"/>
        <rFont val="Arial"/>
        <family val="2"/>
      </rPr>
      <t xml:space="preserve">  </t>
    </r>
  </si>
  <si>
    <t>TOTAL REVENUE CREDITS  (sum lines 2-5)</t>
  </si>
  <si>
    <t xml:space="preserve">  Total Electric (sum lines 12-15)</t>
  </si>
  <si>
    <t>Revenues from Transmission of Electricity for Others, Page 330</t>
  </si>
  <si>
    <t>Property</t>
  </si>
  <si>
    <t>Gross Receipts</t>
  </si>
  <si>
    <t>Payments in lieu of taxes</t>
  </si>
  <si>
    <t>ADJUSTMENTS TO RATE BASE   (Note F)</t>
  </si>
  <si>
    <t>TOTAL ADJUSTMENTS  (sum lines 19 - 23)</t>
  </si>
  <si>
    <t>TOTAL WORKING CAPITAL (sum lines 26 - 28)</t>
  </si>
  <si>
    <t>RATE BASE  (sum lines 18, 24, 25, &amp; 29)</t>
  </si>
  <si>
    <t xml:space="preserve">Less Preferred Stock (line 28) </t>
  </si>
  <si>
    <t>Common Stock (sum lines 23-25)</t>
  </si>
  <si>
    <t>(line 17 / line 20)</t>
  </si>
  <si>
    <t xml:space="preserve">On Line 35, enter revenues from RTO settlements that are associated with firm Point-to-Point Service for which the load is not included in the divisor to derive Duke Energy Ohio's </t>
  </si>
  <si>
    <t xml:space="preserve">and Duke Energy Kentucky's zonal rates.  Exclude NITS, non-firm Point-to-Point revenues, revenues related to MTEP and RTEP projects, revenues from grandfathered interzonal </t>
  </si>
  <si>
    <t>(page 4, line 36)</t>
  </si>
  <si>
    <t>219.20.c-219.24.c</t>
  </si>
  <si>
    <t>WS Allocator</t>
  </si>
  <si>
    <t>Removes dollar amount of transmission expenses included in the OATT ancillary services rates, including Account Nos. 561.1, 561.2 and 561.3.</t>
  </si>
  <si>
    <t>The annual MWh used by all transmission customers per PJM MSRS report.</t>
  </si>
  <si>
    <t>MTEP - Transmission Enhancement Charges</t>
  </si>
  <si>
    <t>MTEP Transmission Enhancement Charges</t>
  </si>
  <si>
    <t>December 31, 2017</t>
  </si>
  <si>
    <t>2017 OATT Annual Update</t>
  </si>
  <si>
    <t>Worksheet for Derivation of PBOP Expense</t>
  </si>
  <si>
    <t>Included in 2017 FERC Form 1 Data</t>
  </si>
  <si>
    <t>Actual PBOP Expense Components and Calculation Derivation (per Note E)</t>
  </si>
  <si>
    <t>FERC Account</t>
  </si>
  <si>
    <t>Description and Calculation Derivation</t>
  </si>
  <si>
    <t>DEO /
Duke Energy Ohio (503)</t>
  </si>
  <si>
    <t>Duke Energy Business Services
 (110)</t>
  </si>
  <si>
    <t>Total
 DEO</t>
  </si>
  <si>
    <t>Duke Energy - All Legacy Postretirement Welfare Plans</t>
  </si>
  <si>
    <t xml:space="preserve">   Net Periodic Benefit Cost - Before Purchase Accounting Adjustment</t>
  </si>
  <si>
    <t>Duke Energy Pension and OPEB 2017 Benefit Cost Report.pdf</t>
  </si>
  <si>
    <t xml:space="preserve">   Purchase accounting adjustment</t>
  </si>
  <si>
    <t>Long-term disability expense</t>
  </si>
  <si>
    <t xml:space="preserve">  Adjustment to Reflect (Gains) and Losses - Legacy Duke</t>
  </si>
  <si>
    <t>Duke Energy 2017 Postemployment Welfare Benefits (ASC 712) Report.pdf</t>
  </si>
  <si>
    <t xml:space="preserve">  Adjustment to Reflect (Gains) and Losses - Legacy Progress</t>
  </si>
  <si>
    <t xml:space="preserve">  Accrual for future disableds </t>
  </si>
  <si>
    <t>O&amp;M Percentage</t>
  </si>
  <si>
    <t>Total DEO Actual PBOP Expense - FERC Account 926</t>
  </si>
  <si>
    <t>DEK /
Duke Energy Kentucky (536)</t>
  </si>
  <si>
    <t>Total
 DEK</t>
  </si>
  <si>
    <t>Total DEK Actual PBOP Expense - FERC Account 926</t>
  </si>
  <si>
    <r>
      <t xml:space="preserve">Source </t>
    </r>
    <r>
      <rPr>
        <sz val="12"/>
        <rFont val="Arial"/>
        <family val="2"/>
      </rPr>
      <t>(Document, Page)</t>
    </r>
  </si>
  <si>
    <t>Gas Non-Utility &amp; Non-Regulated</t>
  </si>
  <si>
    <t>Grand Total</t>
  </si>
  <si>
    <t>Wholesale Load Responsibility Total</t>
  </si>
  <si>
    <t>IMPA</t>
  </si>
  <si>
    <t>EPVORO</t>
  </si>
  <si>
    <t>EPVOHO</t>
  </si>
  <si>
    <t>EPVOBO</t>
  </si>
  <si>
    <t>EKPC</t>
  </si>
  <si>
    <t>AMPWTN</t>
  </si>
  <si>
    <t>AMPLEB</t>
  </si>
  <si>
    <t>AMPHAM</t>
  </si>
  <si>
    <t>AMPGEO</t>
  </si>
  <si>
    <t>AEPBCK</t>
  </si>
  <si>
    <t>Wholesale Load Responsibility</t>
  </si>
  <si>
    <t>Retail Load Responsibility Total</t>
  </si>
  <si>
    <t>De-rated Losses Total</t>
  </si>
  <si>
    <t>Default Supplier Load Total</t>
  </si>
  <si>
    <t>NAGPDK</t>
  </si>
  <si>
    <t>FESDPR</t>
  </si>
  <si>
    <t>EADUKE</t>
  </si>
  <si>
    <t>DTTDEO</t>
  </si>
  <si>
    <t>CEDDPR</t>
  </si>
  <si>
    <t>BTGDOH</t>
  </si>
  <si>
    <t>AEPDPR</t>
  </si>
  <si>
    <t>Default Supplier Load</t>
  </si>
  <si>
    <t>Seller</t>
  </si>
  <si>
    <t>Transaction Type</t>
  </si>
  <si>
    <t>BUCK</t>
  </si>
  <si>
    <t>Report Category: Other Ancillary Services</t>
  </si>
  <si>
    <t>Source: PJM MSRS Report Catalog</t>
  </si>
  <si>
    <t>Report: Sched 1A Credit Summary</t>
  </si>
  <si>
    <t>Revenue Credits for Schedule 1A</t>
  </si>
  <si>
    <t>(2)  Source: DEK peak as reported on FERC Form 1 Page 401b, column d.</t>
  </si>
  <si>
    <t xml:space="preserve">     For the purpose of calculating the DEO monthly peak, the DEK monthly peak as reported on page 401, column d of Form 1, was subtracted from the DEO monthly peak as reported on page 400.</t>
  </si>
  <si>
    <t xml:space="preserve">     For the purpose of calculating the DEK monthly peak, the DEK monthly peak is as reported on page 401, column d of Form 1, at the time of the DEK monthly peak.</t>
  </si>
  <si>
    <t>Add:</t>
  </si>
  <si>
    <t>Total Subtracted from Account 190 Balance</t>
  </si>
  <si>
    <t>FAS 109 - Tax Reform</t>
  </si>
  <si>
    <t>Base Tax Reform EDIT</t>
  </si>
  <si>
    <t>Total Added to Account 190 Balance</t>
  </si>
  <si>
    <t>Total Subtracted from Account 282 Balance</t>
  </si>
  <si>
    <t>Total Added to Account 282 Balance</t>
  </si>
  <si>
    <t>Total Subtracted from Account 283 Balance</t>
  </si>
  <si>
    <t>Total Added to Account 283 Balance</t>
  </si>
  <si>
    <t>Percent DEBS Allocation to DEO</t>
  </si>
  <si>
    <t>Total Net Periodic Benefit Cost - Including Purchase Accounting Adj.</t>
  </si>
  <si>
    <t>Service Company Labor Allocation to DEO for 2017</t>
  </si>
  <si>
    <t xml:space="preserve">   Electric only percentage</t>
  </si>
  <si>
    <t>LTD_FAS 112 Summary</t>
  </si>
  <si>
    <t>Page 33</t>
  </si>
  <si>
    <t>Page 35</t>
  </si>
  <si>
    <t>Page 19</t>
  </si>
  <si>
    <t>Page 54</t>
  </si>
  <si>
    <t xml:space="preserve">   Adjustment to transfer expense to/from Duke affiliates</t>
  </si>
  <si>
    <t>PBOP Expense O&amp;M for DEO (Line 10 * Line 12 * (Line 13 or Line 14))</t>
  </si>
  <si>
    <t>Percent DEBS Allocation to DEK</t>
  </si>
  <si>
    <t>PBOP Expense O&amp;M for DEK (Line 10 * Line 12 * (Line 13 or Line 14))</t>
  </si>
  <si>
    <t>Service Company Labor Allocation to DEK for 2017</t>
  </si>
  <si>
    <t>Legacy MTEP Credit (Account 456.1)</t>
  </si>
  <si>
    <r>
      <t xml:space="preserve">DEOK 12 CP is Duke Energy Ohio ("DEO") Monthly Firm Transmission System Peak Load as reported on page 400, column b of Form 1 at the time of DEO's monthly peaks. </t>
    </r>
    <r>
      <rPr>
        <vertAlign val="superscript"/>
        <sz val="12"/>
        <color rgb="FF0000FF"/>
        <rFont val="Arial"/>
        <family val="2"/>
      </rPr>
      <t>(1)</t>
    </r>
    <r>
      <rPr>
        <sz val="12"/>
        <color rgb="FF0000FF"/>
        <rFont val="Arial"/>
        <family val="2"/>
      </rPr>
      <t xml:space="preserve">  </t>
    </r>
  </si>
  <si>
    <t>The revenues credited on page 1 lines 2-5 shall include only the amounts received directly (in the case of grandfathered agreements)</t>
  </si>
  <si>
    <t>Duke Energy Pension and OPEB 2018 Benefit Cost Report.pdf</t>
  </si>
  <si>
    <t>Counts</t>
  </si>
  <si>
    <t>Pole Attachment Percentage Calculation</t>
  </si>
  <si>
    <t>Poles</t>
  </si>
  <si>
    <t>Towers</t>
  </si>
  <si>
    <t>Structures</t>
  </si>
  <si>
    <t xml:space="preserve"> For Revenue Credits, Account 454</t>
  </si>
  <si>
    <t>Att. H-22A, p 3, line 28, col 5</t>
  </si>
  <si>
    <t>Att. H-22A, p 3, line 27, col 5</t>
  </si>
  <si>
    <t>Att. H-22A, p 3, line 20, col 5</t>
  </si>
  <si>
    <t>Att. H-22A, p 3, line 8, col 5</t>
  </si>
  <si>
    <t>Att. H-22A, p 2, line 2, col 5 (Note A)</t>
  </si>
  <si>
    <t>Att. H-22A, p 2, line 14, col 5 (Note B)</t>
  </si>
  <si>
    <t>(line 12 divided by line 2, col 3)</t>
  </si>
  <si>
    <t>(line 5 divided by line 1, col 3)</t>
  </si>
  <si>
    <t>(line 7 divided by line 1, col 3)</t>
  </si>
  <si>
    <t>(line 10 divided by line 2, col 3)</t>
  </si>
  <si>
    <t>(line 3 divided by line 1, col 3)</t>
  </si>
  <si>
    <r>
      <rPr>
        <vertAlign val="superscript"/>
        <sz val="12"/>
        <rFont val="Arial"/>
        <family val="2"/>
      </rPr>
      <t>(2)</t>
    </r>
    <r>
      <rPr>
        <sz val="12"/>
        <rFont val="Arial"/>
        <family val="2"/>
      </rPr>
      <t xml:space="preserve"> Balances to Page 2, Line 25.</t>
    </r>
  </si>
  <si>
    <r>
      <t xml:space="preserve">Duke Energy Kentucky </t>
    </r>
    <r>
      <rPr>
        <b/>
        <vertAlign val="superscript"/>
        <sz val="12"/>
        <rFont val="Arial"/>
        <family val="2"/>
      </rPr>
      <t>(1)</t>
    </r>
  </si>
  <si>
    <r>
      <t xml:space="preserve">Duke Energy Ohio </t>
    </r>
    <r>
      <rPr>
        <b/>
        <vertAlign val="superscript"/>
        <sz val="12"/>
        <rFont val="Arial"/>
        <family val="2"/>
      </rPr>
      <t>(1)</t>
    </r>
  </si>
  <si>
    <r>
      <rPr>
        <vertAlign val="superscript"/>
        <sz val="12"/>
        <rFont val="Arial"/>
        <family val="2"/>
      </rPr>
      <t>(1)</t>
    </r>
    <r>
      <rPr>
        <sz val="12"/>
        <rFont val="Arial"/>
        <family val="2"/>
      </rPr>
      <t xml:space="preserve"> Source:  FERC Form 1, Page 214</t>
    </r>
  </si>
  <si>
    <t>DUKE ENERGY OHIO AND DUKE ENERGY KENTUCKY (DEOK)</t>
  </si>
  <si>
    <t xml:space="preserve">  [Rate Base (page 2, line 30) * Rate of Return (page 4, line 30)]</t>
  </si>
  <si>
    <t>Exhibit No. DUK-102, Pg. 9</t>
  </si>
  <si>
    <t>Exhibit No. DUK-102, Pg. 8</t>
  </si>
  <si>
    <t>(MSRS: Sch 1A Credit Summary)</t>
  </si>
  <si>
    <t>Transmission Owner Scheduling, System Control and Dispatch Service Credit Summary</t>
  </si>
  <si>
    <t>PJM Billing Line Item 2320</t>
  </si>
  <si>
    <t>Schedule</t>
  </si>
  <si>
    <t>PJM</t>
  </si>
  <si>
    <t>Month</t>
  </si>
  <si>
    <t>1A</t>
  </si>
  <si>
    <t>1A Non-</t>
  </si>
  <si>
    <t>Cum.</t>
  </si>
  <si>
    <t>Invoice</t>
  </si>
  <si>
    <t>Booked</t>
  </si>
  <si>
    <t>Zone Credit</t>
  </si>
  <si>
    <t>Var.</t>
  </si>
  <si>
    <t>December 2016</t>
  </si>
  <si>
    <t>January 2017</t>
  </si>
  <si>
    <t>February</t>
  </si>
  <si>
    <t>March</t>
  </si>
  <si>
    <t>April</t>
  </si>
  <si>
    <t>June</t>
  </si>
  <si>
    <t>July</t>
  </si>
  <si>
    <t>August</t>
  </si>
  <si>
    <t>September</t>
  </si>
  <si>
    <t>October</t>
  </si>
  <si>
    <t>November</t>
  </si>
  <si>
    <t>December</t>
  </si>
  <si>
    <t>Attachment H-22A, Appendix A - Line 2</t>
  </si>
  <si>
    <t>Exhibit No. DUK-102, Pg. 15</t>
  </si>
  <si>
    <t xml:space="preserve">Exhibit No. DUK-102, Pg. 2 </t>
  </si>
  <si>
    <t>214.x.d [Exhibit No. DUK-102, Pg. 3]</t>
  </si>
  <si>
    <t xml:space="preserve">Exhibit No. DUK-102, Pg. 4 </t>
  </si>
  <si>
    <t xml:space="preserve">Exhibit No. DUK-102, Pg. 5 </t>
  </si>
  <si>
    <t>Exhibit No. DUK-102, Pg. 7</t>
  </si>
  <si>
    <t>Portion Attributable to Transmission (Exhibit No. DUK-102, Page 16)</t>
  </si>
  <si>
    <t>Page 1 of 6, Line 7</t>
  </si>
  <si>
    <t>356 (Total Common x Elec Dept %)</t>
  </si>
  <si>
    <t>DUKE ENERGY OHIO (DEO)</t>
  </si>
  <si>
    <t>DUKE ENERGY KENTUCKY (DEK)</t>
  </si>
  <si>
    <t>(page 3, line 29)</t>
  </si>
  <si>
    <t>GROSS REVENUE REQUIREMENT</t>
  </si>
  <si>
    <t>DEO + DEK</t>
  </si>
  <si>
    <t>Schedule 1A rate $/MWh</t>
  </si>
  <si>
    <t>Adjusted Balances - To Page 2, Line 21</t>
  </si>
  <si>
    <r>
      <t xml:space="preserve">Related </t>
    </r>
    <r>
      <rPr>
        <u val="singleAccounting"/>
        <vertAlign val="superscript"/>
        <sz val="12"/>
        <rFont val="Arial"/>
        <family val="2"/>
      </rPr>
      <t>(2)</t>
    </r>
  </si>
  <si>
    <t xml:space="preserve"> Related Portion</t>
  </si>
  <si>
    <t>Non-Transmission</t>
  </si>
  <si>
    <t>Rent from Electric Property Attributable to Transmission</t>
  </si>
  <si>
    <t>Form 1, P.353, col.d</t>
  </si>
  <si>
    <t>Form 1, P.350, col. d</t>
  </si>
  <si>
    <t>Salaries &amp; Wages</t>
  </si>
  <si>
    <t>Other Labor Page 354, line 24, 25, 26, column b</t>
  </si>
  <si>
    <t>Schedule 1A - Annual MWh</t>
  </si>
  <si>
    <r>
      <rPr>
        <vertAlign val="superscript"/>
        <sz val="12"/>
        <color rgb="FF0000FF"/>
        <rFont val="Arial"/>
        <family val="2"/>
      </rPr>
      <t>(1)</t>
    </r>
    <r>
      <rPr>
        <sz val="12"/>
        <color rgb="FF0000FF"/>
        <rFont val="Arial"/>
        <family val="2"/>
      </rPr>
      <t xml:space="preserve">  For the purpose of calculating the DEK annual peak, the DEK annual peak is as reported on page 401, column d of Form 1, at the time of the DEK annual peak.</t>
    </r>
  </si>
  <si>
    <t>Total Account 454 per Books Total, Page 300</t>
  </si>
  <si>
    <t>(Page 1, line 9)</t>
  </si>
  <si>
    <t>(Page 1, line 14)</t>
  </si>
  <si>
    <t>from the ISO (for service under this tariff) reflecting the Transmission Owner's integrated transmission facilities.  They do not include</t>
  </si>
  <si>
    <t>Form 1, P.323.191, col. b</t>
  </si>
  <si>
    <t>page 1 of 1</t>
  </si>
  <si>
    <t>1 CP</t>
  </si>
  <si>
    <t>12 CP</t>
  </si>
  <si>
    <t>Actual O&amp;M % of Total Payroll for YE 2016</t>
  </si>
  <si>
    <t>LSE Expenses Included in Transmission O&amp;M</t>
  </si>
  <si>
    <t>Scheduling, System Control &amp; Dispatch Services</t>
  </si>
  <si>
    <t>Reliability, Planning and Standards Development Services</t>
  </si>
  <si>
    <t>Total LSE Expenses Included in Transmission O&amp;M</t>
  </si>
  <si>
    <t>TE Allocator</t>
  </si>
  <si>
    <t>LSE Expense Allocated to Transmission (to Page 3 of 6, Line 1a)</t>
  </si>
  <si>
    <t>Corrections Related to May 2017 Filing  (Note Z)</t>
  </si>
  <si>
    <t>Corrections to May 15, 2018 Filing - To Attachment H, page 1 of 1</t>
  </si>
  <si>
    <t>Total Refunds Due to Customers</t>
  </si>
  <si>
    <r>
      <rPr>
        <b/>
        <sz val="12"/>
        <rFont val="Arial"/>
        <family val="2"/>
      </rPr>
      <t>Less:</t>
    </r>
    <r>
      <rPr>
        <sz val="12"/>
        <rFont val="Arial"/>
        <family val="2"/>
      </rPr>
      <t xml:space="preserve"> Duke / Progress merger costs to achieve</t>
    </r>
  </si>
  <si>
    <t>DEK 2017 Allocation Stat Percentages Table</t>
  </si>
  <si>
    <t>Line 1 + Line 4</t>
  </si>
  <si>
    <t>DEO 2017 Allocation Stat Percentages Table</t>
  </si>
  <si>
    <r>
      <rPr>
        <b/>
        <sz val="12"/>
        <rFont val="Arial"/>
        <family val="2"/>
      </rPr>
      <t>Less:</t>
    </r>
    <r>
      <rPr>
        <sz val="12"/>
        <rFont val="Arial"/>
        <family val="2"/>
      </rPr>
      <t xml:space="preserve"> Account 930.2 per AMP Preliminary Challenge A.3</t>
    </r>
  </si>
  <si>
    <t>May 15, 2018 Filing</t>
  </si>
  <si>
    <r>
      <t>Long-term interest, amortization of Premium on Debt- Credit (429)</t>
    </r>
    <r>
      <rPr>
        <sz val="12"/>
        <color rgb="FF4D4D4D"/>
        <rFont val="Arial"/>
        <family val="2"/>
      </rPr>
      <t xml:space="preserve">, </t>
    </r>
    <r>
      <rPr>
        <sz val="12"/>
        <rFont val="Arial"/>
        <family val="2"/>
      </rPr>
      <t>FERC Form 1</t>
    </r>
    <r>
      <rPr>
        <b/>
        <sz val="12"/>
        <rFont val="Arial"/>
        <family val="2"/>
      </rPr>
      <t xml:space="preserve">, </t>
    </r>
    <r>
      <rPr>
        <sz val="12"/>
        <rFont val="Arial"/>
        <family val="2"/>
      </rPr>
      <t>page 117</t>
    </r>
    <r>
      <rPr>
        <sz val="12"/>
        <color rgb="FF4D4D4D"/>
        <rFont val="Arial"/>
        <family val="2"/>
      </rPr>
      <t xml:space="preserve">, </t>
    </r>
    <r>
      <rPr>
        <sz val="12"/>
        <rFont val="Arial"/>
        <family val="2"/>
      </rPr>
      <t>line 65, should have been subtracted rather than added</t>
    </r>
  </si>
  <si>
    <t>Change in A&amp;G</t>
  </si>
  <si>
    <t>Return</t>
  </si>
  <si>
    <t>Income Tax</t>
  </si>
  <si>
    <t>Exhibit No. DUK-102, page 5 of 11, DEO A&amp;G expenses should not have included Ohio Commercial Activity Tax for 2015 Related to Discontinued Business in Account 930.2</t>
  </si>
  <si>
    <t>Total Refunds Due to Customers - To Attachment H, page 1 of 1</t>
  </si>
  <si>
    <t>Line 24 + Line 30</t>
  </si>
  <si>
    <r>
      <rPr>
        <b/>
        <sz val="12"/>
        <rFont val="Arial"/>
        <family val="2"/>
      </rPr>
      <t>Less:</t>
    </r>
    <r>
      <rPr>
        <sz val="12"/>
        <rFont val="Arial"/>
        <family val="2"/>
      </rPr>
      <t xml:space="preserve"> Account 930.2 per AMP Preliminary Challenge A.2</t>
    </r>
  </si>
  <si>
    <t>Changes to May 15, 2018 Attachment H Filing</t>
  </si>
  <si>
    <t>Revised Revenue Requirement - May 15, 2018 Filing</t>
  </si>
  <si>
    <t>Changes to May 2018 Annual Update Filing</t>
  </si>
  <si>
    <t>Change</t>
  </si>
  <si>
    <t xml:space="preserve">Exhibit No. DUK-102, page 5 of 11, DEO A&amp;G expenses reduced to reflect revisions made by DEOK to remove $3,966,523 from account 930.2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</si>
</sst>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4">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0"/>
    <numFmt numFmtId="173" formatCode="&quot;$&quot;#,##0.00"/>
    <numFmt numFmtId="174" formatCode="_(* #,##0_);_(* \(#,##0\);_(* &quot;-&quot;??_);_(@_)"/>
    <numFmt numFmtId="175" formatCode="_(&quot;$&quot;* #,##0_);_(&quot;$&quot;* \(#,##0\);_(&quot;$&quot;* &quot;-&quot;??_);_(@_)"/>
    <numFmt numFmtId="176" formatCode="_(* #,##0.0%_);_(* \(#,##0.0%\);_(* &quot;- %&quot;??_);_(@_)"/>
    <numFmt numFmtId="177" formatCode="0_);\(0\)"/>
    <numFmt numFmtId="178" formatCode="_(* #,##0.0\¢_m;[Red]_(* \-#,##0.0\¢_m;[Green]_(* 0.0\¢_m;_(@_)_%"/>
    <numFmt numFmtId="179" formatCode="_(* #,##0.00\¢_m;[Red]_(* \-#,##0.00\¢_m;[Green]_(* 0.00\¢_m;_(@_)_%"/>
    <numFmt numFmtId="180" formatCode="_(* #,##0.000\¢_m;[Red]_(* \-#,##0.000\¢_m;[Green]_(* 0.000\¢_m;_(@_)_%"/>
    <numFmt numFmtId="181" formatCode="_(_(\£* #,##0_)_%;[Red]_(\(\£* #,##0\)_%;[Green]_(_(\£* #,##0_)_%;_(@_)_%"/>
    <numFmt numFmtId="182" formatCode="_(_(\£* #,##0.0_)_%;[Red]_(\(\£* #,##0.0\)_%;[Green]_(_(\£* #,##0.0_)_%;_(@_)_%"/>
    <numFmt numFmtId="183" formatCode="_(_(\£* #,##0.00_)_%;[Red]_(\(\£* #,##0.00\)_%;[Green]_(_(\£* #,##0.00_)_%;_(@_)_%"/>
    <numFmt numFmtId="184" formatCode="0.0%_);\(0.0%\)"/>
    <numFmt numFmtId="185" formatCode="\•\ \ @"/>
    <numFmt numFmtId="186" formatCode="_(_(\•_ #0_)_%;[Red]_(_(\•_ \-#0\)_%;[Green]_(_(\•_ #0_)_%;_(_(\•_ @_)_%"/>
    <numFmt numFmtId="187" formatCode="_(_(_•_ \•_ #0_)_%;[Red]_(_(_•_ \•_ \-#0\)_%;[Green]_(_(_•_ \•_ #0_)_%;_(_(_•_ \•_ @_)_%"/>
    <numFmt numFmtId="188" formatCode="_(_(_•_ _•_ \•_ #0_)_%;[Red]_(_(_•_ _•_ \•_ \-#0\)_%;[Green]_(_(_•_ _•_ \•_ #0_)_%;_(_(_•_ \•_ @_)_%"/>
    <numFmt numFmtId="189" formatCode="#,##0,_);\(#,##0,\)"/>
    <numFmt numFmtId="190" formatCode="#,##0.0_);\(#,##0.0\)"/>
    <numFmt numFmtId="191" formatCode="0.0,_);\(0.0,\)"/>
    <numFmt numFmtId="192" formatCode="0.00,_);\(0.00,\)"/>
    <numFmt numFmtId="193" formatCode="#,##0.000_);\(#,##0.000\)"/>
    <numFmt numFmtId="194" formatCode="_(_(_$* #,##0.0_)_%;[Red]_(\(_$* #,##0.0\)_%;[Green]_(_(_$* #,##0.0_)_%;_(@_)_%"/>
    <numFmt numFmtId="195" formatCode="_(_(_$* #,##0.00_)_%;[Red]_(\(_$* #,##0.00\)_%;[Green]_(_(_$* #,##0.00_)_%;_(@_)_%"/>
    <numFmt numFmtId="196" formatCode="_(_(_$* #,##0.000_)_%;[Red]_(\(_$* #,##0.000\)_%;[Green]_(_(_$* #,##0.000_)_%;_(@_)_%"/>
    <numFmt numFmtId="197" formatCode="_._.* #,##0.0_)_%;_._.* \(#,##0.0\)_%;_._.* \ ?_)_%"/>
    <numFmt numFmtId="198" formatCode="_._.* #,##0.00_)_%;_._.* \(#,##0.00\)_%;_._.* \ ?_)_%"/>
    <numFmt numFmtId="199" formatCode="_._.* #,##0.000_)_%;_._.* \(#,##0.000\)_%;_._.* \ ?_)_%"/>
    <numFmt numFmtId="200" formatCode="_._.* #,##0.0000_)_%;_._.* \(#,##0.0000\)_%;_._.* \ ?_)_%"/>
    <numFmt numFmtId="201" formatCode="_(_(&quot;$&quot;* #,##0.0_)_%;[Red]_(\(&quot;$&quot;* #,##0.0\)_%;[Green]_(_(&quot;$&quot;* #,##0.0_)_%;_(@_)_%"/>
    <numFmt numFmtId="202" formatCode="_(_(&quot;$&quot;* #,##0.00_)_%;[Red]_(\(&quot;$&quot;* #,##0.00\)_%;[Green]_(_(&quot;$&quot;* #,##0.00_)_%;_(@_)_%"/>
    <numFmt numFmtId="203" formatCode="_(_(&quot;$&quot;* #,##0.000_)_%;[Red]_(\(&quot;$&quot;* #,##0.000\)_%;[Green]_(_(&quot;$&quot;* #,##0.000_)_%;_(@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_(* dd\-mmm\-yy_)_%"/>
    <numFmt numFmtId="214" formatCode="_(* dd\ mmmm\ yyyy_)_%"/>
    <numFmt numFmtId="215" formatCode="_(* mmmm\ dd\,\ yyyy_)_%"/>
    <numFmt numFmtId="216" formatCode="_(* dd\.mm\.yyyy_)_%"/>
    <numFmt numFmtId="217" formatCode="_(* mm/dd/yyyy_)_%"/>
    <numFmt numFmtId="218" formatCode="m/d/yy;@"/>
    <numFmt numFmtId="219" formatCode="#,##0.0\x_);\(#,##0.0\x\)"/>
    <numFmt numFmtId="220" formatCode="#,##0.00\x_);\(#,##0.00\x\)"/>
    <numFmt numFmtId="221" formatCode="_([$€-2]* #,##0.00_);_([$€-2]* \(#,##0.00\);_([$€-2]* &quot;-&quot;??_)"/>
    <numFmt numFmtId="222" formatCode="General_)_%"/>
    <numFmt numFmtId="223" formatCode="_(_(#0_)_%;[Red]_(_(\-#0\)_%;[Green]_(_(#0_)_%;_(_(@_)_%"/>
    <numFmt numFmtId="224" formatCode="_(_(_•_ #0_)_%;[Red]_(_(_•_ \-#0\)_%;[Green]_(_(_•_ #0_)_%;_(_(_•_ @_)_%"/>
    <numFmt numFmtId="225" formatCode="_(_(_•_ _•_ #0_)_%;[Red]_(_(_•_ _•_ \-#0\)_%;[Green]_(_(_•_ _•_ #0_)_%;_(_(_•_ _•_ @_)_%"/>
    <numFmt numFmtId="226" formatCode="_(_(_•_ _•_ _•_ #0_)_%;[Red]_(_(_•_ _•_ _•_ \-#0\)_%;[Green]_(_(_•_ _•_ _•_ #0_)_%;_(_(_•_ _•_ _•_ @_)_%"/>
    <numFmt numFmtId="227" formatCode="#,##0\x;\(#,##0\x\)"/>
    <numFmt numFmtId="228" formatCode="0.0\x;\(0.0\x\)"/>
    <numFmt numFmtId="229" formatCode="#,##0.00\x;\(#,##0.00\x\)"/>
    <numFmt numFmtId="230" formatCode="#,##0.000\x;\(#,##0.000\x\)"/>
    <numFmt numFmtId="231" formatCode="0.0_);\(0.0\)"/>
    <numFmt numFmtId="232" formatCode="0%;\(0%\)"/>
    <numFmt numFmtId="233" formatCode="0.00\ \x_);\(0.00\ \x\)"/>
    <numFmt numFmtId="234" formatCode="_(* #,##0_);_(* \(#,##0\);_(* &quot;-&quot;????_);_(@_)"/>
    <numFmt numFmtId="235" formatCode="0__"/>
    <numFmt numFmtId="236" formatCode="h:mmAM/PM"/>
    <numFmt numFmtId="237" formatCode="0&quot; E&quot;"/>
    <numFmt numFmtId="238" formatCode="yyyy"/>
    <numFmt numFmtId="239" formatCode="&quot;$&quot;#,##0.0"/>
    <numFmt numFmtId="240" formatCode="0.0%;\(0.0%\)"/>
    <numFmt numFmtId="241" formatCode="0.00%_);\(0.00%\)"/>
    <numFmt numFmtId="242" formatCode="0.000%_);\(0.000%\)"/>
    <numFmt numFmtId="243" formatCode="_(0_)%;\(0\)%;\ \ ?_)%"/>
    <numFmt numFmtId="244" formatCode="_._._(* 0_)%;_._.* \(0\)%;_._._(* \ ?_)%"/>
    <numFmt numFmtId="245" formatCode="0%_);\(0%\)"/>
    <numFmt numFmtId="246" formatCode="_(* #,##0_)_%;[Red]_(* \(#,##0\)_%;[Green]_(* 0_)_%;_(@_)_%"/>
    <numFmt numFmtId="247" formatCode="_(* #,##0.0%_);[Red]_(* \-#,##0.0%_);[Green]_(* 0.0%_);_(@_)_%"/>
    <numFmt numFmtId="248" formatCode="_(* #,##0.00%_);[Red]_(* \-#,##0.00%_);[Green]_(* 0.00%_);_(@_)_%"/>
    <numFmt numFmtId="249" formatCode="_(* #,##0.000%_);[Red]_(* \-#,##0.000%_);[Green]_(* 0.000%_);_(@_)_%"/>
    <numFmt numFmtId="250" formatCode="_(0.0_)%;\(0.0\)%;\ \ ?_)%"/>
    <numFmt numFmtId="251" formatCode="_._._(* 0.0_)%;_._.* \(0.0\)%;_._._(* \ ?_)%"/>
    <numFmt numFmtId="252" formatCode="_(0.00_)%;\(0.00\)%;\ \ ?_)%"/>
    <numFmt numFmtId="253" formatCode="_._._(* 0.00_)%;_._.* \(0.00\)%;_._._(* \ ?_)%"/>
    <numFmt numFmtId="254" formatCode="_(0.000_)%;\(0.000\)%;\ \ ?_)%"/>
    <numFmt numFmtId="255" formatCode="_._._(* 0.000_)%;_._.* \(0.000\)%;_._._(* \ ?_)%"/>
    <numFmt numFmtId="256" formatCode="_(0.0000_)%;\(0.0000\)%;\ \ ?_)%"/>
    <numFmt numFmtId="257" formatCode="_._._(* 0.0000_)%;_._.* \(0.0000\)%;_._._(* \ ?_)%"/>
    <numFmt numFmtId="258" formatCode="0.0%"/>
    <numFmt numFmtId="259" formatCode="mmmm\ dd\,\ yy"/>
    <numFmt numFmtId="260" formatCode="0.0\x"/>
    <numFmt numFmtId="261" formatCode="_(* #,##0_);_(* \(#,##0\);_(* \ ?_)"/>
    <numFmt numFmtId="262" formatCode="_(* #,##0.0_);_(* \(#,##0.0\);_(* \ ?_)"/>
    <numFmt numFmtId="263" formatCode="_(* #,##0.00_);_(* \(#,##0.00\);_(* \ ?_)"/>
    <numFmt numFmtId="264" formatCode="_(* #,##0.000_);_(* \(#,##0.000\);_(* \ ?_)"/>
    <numFmt numFmtId="265" formatCode="_(&quot;$&quot;* #,##0_);_(&quot;$&quot;* \(#,##0\);_(&quot;$&quot;* \ ?_)"/>
    <numFmt numFmtId="266" formatCode="_(&quot;$&quot;* #,##0.0_);_(&quot;$&quot;* \(#,##0.0\);_(&quot;$&quot;* \ ?_)"/>
    <numFmt numFmtId="267" formatCode="_(&quot;$&quot;* #,##0.00_);_(&quot;$&quot;* \(#,##0.00\);_(&quot;$&quot;* \ ?_)"/>
    <numFmt numFmtId="268" formatCode="_(&quot;$&quot;* #,##0.000_);_(&quot;$&quot;* \(#,##0.000\);_(&quot;$&quot;* \ ?_)"/>
    <numFmt numFmtId="269" formatCode="0000&quot;A&quot;"/>
    <numFmt numFmtId="270" formatCode="0&quot;E&quot;"/>
    <numFmt numFmtId="271" formatCode="0000&quot;E&quot;"/>
    <numFmt numFmtId="272" formatCode="&quot;$&quot;#,##0.0000"/>
    <numFmt numFmtId="273" formatCode="0.000000%"/>
    <numFmt numFmtId="274" formatCode="0.00000000"/>
    <numFmt numFmtId="275" formatCode="#,##0.00\ ;[Red]\(#,##0.00\)"/>
    <numFmt numFmtId="276" formatCode="_(* #,##0.0_);_(* \(#,##0.0\);_(* &quot;-&quot;?_);@_)"/>
    <numFmt numFmtId="277" formatCode="d\ mmmm\ yyyy"/>
    <numFmt numFmtId="278" formatCode="#,##0_ ;[Red]\(#,##0\)\ "/>
    <numFmt numFmtId="279" formatCode="dd\ mmm\ yyyy"/>
    <numFmt numFmtId="280" formatCode="General_)"/>
    <numFmt numFmtId="281" formatCode="_([$€-2]* #,##0.000_);_([$€-2]* \(#,##0.000\);_([$€-2]* &quot;-&quot;??_)"/>
  </numFmts>
  <fonts count="231">
    <font>
      <sz val="12"/>
      <name val="Arial MT"/>
    </font>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2"/>
      <name val="Arial MT"/>
    </font>
    <font>
      <sz val="12"/>
      <name val="Times New Roman"/>
      <family val="1"/>
    </font>
    <font>
      <sz val="10"/>
      <name val="Arial MT"/>
    </font>
    <font>
      <sz val="12"/>
      <name val="Arial"/>
      <family val="2"/>
    </font>
    <font>
      <b/>
      <u/>
      <sz val="12"/>
      <name val="Arial"/>
      <family val="2"/>
    </font>
    <font>
      <b/>
      <sz val="12"/>
      <name val="Arial"/>
      <family val="2"/>
    </font>
    <font>
      <sz val="12"/>
      <color indexed="10"/>
      <name val="Arial"/>
      <family val="2"/>
    </font>
    <font>
      <sz val="11"/>
      <name val="Arial"/>
      <family val="2"/>
    </font>
    <font>
      <b/>
      <sz val="12"/>
      <name val="Arial MT"/>
    </font>
    <font>
      <sz val="12"/>
      <color indexed="17"/>
      <name val="Arial MT"/>
    </font>
    <font>
      <sz val="12"/>
      <color indexed="17"/>
      <name val="Arial"/>
      <family val="2"/>
    </font>
    <font>
      <sz val="12"/>
      <color indexed="10"/>
      <name val="Arial MT"/>
    </font>
    <font>
      <sz val="10"/>
      <name val="Arial"/>
      <family val="2"/>
    </font>
    <font>
      <b/>
      <u/>
      <sz val="10"/>
      <name val="Arial"/>
      <family val="2"/>
    </font>
    <font>
      <u val="singleAccounting"/>
      <sz val="10"/>
      <name val="Arial"/>
      <family val="2"/>
    </font>
    <font>
      <u val="doubleAccounting"/>
      <sz val="10"/>
      <name val="Arial"/>
      <family val="2"/>
    </font>
    <font>
      <b/>
      <sz val="10"/>
      <name val="Arial"/>
      <family val="2"/>
    </font>
    <font>
      <sz val="10"/>
      <name val="Arial"/>
      <family val="2"/>
    </font>
    <font>
      <sz val="10"/>
      <color indexed="12"/>
      <name val="Arial"/>
      <family val="2"/>
    </font>
    <font>
      <sz val="12"/>
      <color indexed="12"/>
      <name val="Arial"/>
      <family val="2"/>
    </font>
    <font>
      <b/>
      <sz val="12"/>
      <color indexed="12"/>
      <name val="Arial"/>
      <family val="2"/>
    </font>
    <font>
      <b/>
      <u val="double"/>
      <sz val="12"/>
      <name val="Arial"/>
      <family val="2"/>
    </font>
    <font>
      <u/>
      <sz val="10"/>
      <name val="Arial"/>
      <family val="2"/>
    </font>
    <font>
      <b/>
      <u val="singleAccounting"/>
      <sz val="10"/>
      <name val="Arial"/>
      <family val="2"/>
    </font>
    <font>
      <u val="doubleAccounting"/>
      <sz val="10"/>
      <color indexed="12"/>
      <name val="Arial"/>
      <family val="2"/>
    </font>
    <font>
      <sz val="8"/>
      <name val="Arial"/>
      <family val="2"/>
    </font>
    <font>
      <b/>
      <u val="singleAccounting"/>
      <sz val="12"/>
      <name val="Arial"/>
      <family val="2"/>
    </font>
    <font>
      <u val="singleAccounting"/>
      <sz val="12"/>
      <name val="Arial"/>
      <family val="2"/>
    </font>
    <font>
      <b/>
      <sz val="14"/>
      <name val="Arial"/>
      <family val="2"/>
    </font>
    <font>
      <b/>
      <sz val="11"/>
      <name val="Arial"/>
      <family val="2"/>
    </font>
    <font>
      <b/>
      <sz val="16"/>
      <name val="Arial"/>
      <family val="2"/>
    </font>
    <font>
      <sz val="16"/>
      <name val="Arial"/>
      <family val="2"/>
    </font>
    <font>
      <sz val="10"/>
      <name val="Arial Narrow"/>
      <family val="2"/>
    </font>
    <font>
      <sz val="10"/>
      <name val="MS Sans Serif"/>
      <family val="2"/>
    </font>
    <font>
      <u val="doubleAccounting"/>
      <sz val="12"/>
      <name val="Arial"/>
      <family val="2"/>
    </font>
    <font>
      <sz val="12"/>
      <color rgb="FF0000FF"/>
      <name val="Arial MT"/>
    </font>
    <font>
      <sz val="12"/>
      <color rgb="FF0000FF"/>
      <name val="Arial"/>
      <family val="2"/>
    </font>
    <font>
      <u val="singleAccounting"/>
      <sz val="12"/>
      <color rgb="FF0000FF"/>
      <name val="Arial"/>
      <family val="2"/>
    </font>
    <font>
      <u val="doubleAccounting"/>
      <sz val="12"/>
      <color rgb="FF0000FF"/>
      <name val="Arial"/>
      <family val="2"/>
    </font>
    <font>
      <sz val="10"/>
      <color rgb="FF0000FF"/>
      <name val="Arial"/>
      <family val="2"/>
    </font>
    <font>
      <b/>
      <u/>
      <sz val="12"/>
      <name val="Arial MT"/>
    </font>
    <font>
      <sz val="10"/>
      <name val="MS Sans Serif"/>
      <family val="2"/>
    </font>
    <font>
      <sz val="14"/>
      <name val="Arial"/>
      <family val="2"/>
    </font>
    <font>
      <b/>
      <sz val="10"/>
      <color indexed="12"/>
      <name val="Arial"/>
      <family val="2"/>
    </font>
    <font>
      <sz val="9"/>
      <name val="Arial"/>
      <family val="2"/>
    </font>
    <font>
      <sz val="10"/>
      <name val="C Helvetica Condensed"/>
    </font>
    <font>
      <sz val="10"/>
      <color indexed="12"/>
      <name val="Times New Roman"/>
      <family val="1"/>
    </font>
    <font>
      <sz val="10"/>
      <name val="Times New Roman"/>
      <family val="1"/>
    </font>
    <font>
      <b/>
      <sz val="10"/>
      <color indexed="8"/>
      <name val="Times New Roman"/>
      <family val="1"/>
    </font>
    <font>
      <b/>
      <i/>
      <sz val="14"/>
      <name val="Arial"/>
      <family val="2"/>
    </font>
    <font>
      <b/>
      <sz val="24"/>
      <name val="Arial Narrow"/>
      <family val="2"/>
    </font>
    <font>
      <b/>
      <i/>
      <sz val="12"/>
      <name val="Arial"/>
      <family val="2"/>
    </font>
    <font>
      <i/>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sz val="9"/>
      <color indexed="12"/>
      <name val="Arial"/>
      <family val="2"/>
    </font>
    <font>
      <sz val="9"/>
      <name val="Times New Roman"/>
      <family val="1"/>
    </font>
    <font>
      <b/>
      <sz val="9"/>
      <name val="Arial"/>
      <family val="2"/>
    </font>
    <font>
      <sz val="12"/>
      <name val="Helv"/>
    </font>
    <font>
      <sz val="11"/>
      <name val="Times New Roman"/>
      <family val="1"/>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4"/>
      <name val="Book Antiqua"/>
      <family val="1"/>
    </font>
    <font>
      <i/>
      <sz val="10"/>
      <name val="Book Antiqua"/>
      <family val="1"/>
    </font>
    <font>
      <b/>
      <sz val="10"/>
      <color indexed="22"/>
      <name val="Arial"/>
      <family val="2"/>
    </font>
    <font>
      <sz val="10"/>
      <color indexed="12"/>
      <name val="Book Antiqua"/>
      <family val="1"/>
    </font>
    <font>
      <i/>
      <sz val="16"/>
      <name val="Times New Roman"/>
      <family val="1"/>
    </font>
    <font>
      <sz val="7"/>
      <name val="Small Fonts"/>
      <family val="2"/>
    </font>
    <font>
      <u/>
      <sz val="10"/>
      <name val="Times New Roman"/>
      <family val="1"/>
    </font>
    <font>
      <b/>
      <sz val="10"/>
      <name val="MS Sans Serif"/>
      <family val="2"/>
    </font>
    <font>
      <sz val="8"/>
      <color indexed="38"/>
      <name val="Arial"/>
      <family val="2"/>
    </font>
    <font>
      <b/>
      <i/>
      <sz val="16"/>
      <name val="Arial"/>
      <family val="2"/>
    </font>
    <font>
      <b/>
      <sz val="12"/>
      <color indexed="32"/>
      <name val="Arial"/>
      <family val="2"/>
    </font>
    <font>
      <i/>
      <sz val="11"/>
      <name val="Arial"/>
      <family val="2"/>
    </font>
    <font>
      <sz val="10"/>
      <color indexed="40"/>
      <name val="Arial"/>
      <family val="2"/>
    </font>
    <font>
      <sz val="10"/>
      <color indexed="8"/>
      <name val="Times New Roman"/>
      <family val="1"/>
    </font>
    <font>
      <b/>
      <i/>
      <sz val="12"/>
      <name val="Times New Roman"/>
      <family val="1"/>
    </font>
    <font>
      <sz val="10"/>
      <name val="Futura UBS Bk"/>
      <family val="2"/>
    </font>
    <font>
      <sz val="10"/>
      <color indexed="8"/>
      <name val="MS Sans Serif"/>
      <family val="2"/>
    </font>
    <font>
      <sz val="10"/>
      <color indexed="8"/>
      <name val="Arial"/>
      <family val="2"/>
    </font>
    <font>
      <b/>
      <sz val="10"/>
      <color indexed="8"/>
      <name val="Arial"/>
      <family val="2"/>
    </font>
    <font>
      <b/>
      <sz val="9"/>
      <name val="Times New Roman"/>
      <family val="1"/>
    </font>
    <font>
      <b/>
      <sz val="10"/>
      <color indexed="10"/>
      <name val="Arial"/>
      <family val="2"/>
    </font>
    <font>
      <i/>
      <sz val="8"/>
      <name val="Times New Roman"/>
      <family val="1"/>
    </font>
    <font>
      <sz val="10"/>
      <color indexed="21"/>
      <name val="Arial"/>
      <family val="2"/>
    </font>
    <font>
      <b/>
      <sz val="8"/>
      <name val="Arial"/>
      <family val="2"/>
    </font>
    <font>
      <u val="singleAccounting"/>
      <sz val="10"/>
      <color rgb="FF0000FF"/>
      <name val="Arial"/>
      <family val="2"/>
    </font>
    <font>
      <u/>
      <sz val="12"/>
      <name val="Arial"/>
      <family val="2"/>
    </font>
    <font>
      <u/>
      <sz val="11"/>
      <name val="Arial"/>
      <family val="2"/>
    </font>
    <font>
      <sz val="10"/>
      <name val="Arial"/>
      <family val="2"/>
    </font>
    <font>
      <u/>
      <sz val="12"/>
      <name val="Arial MT"/>
    </font>
    <font>
      <u val="singleAccounting"/>
      <sz val="12"/>
      <color indexed="12"/>
      <name val="Arial"/>
      <family val="2"/>
    </font>
    <font>
      <vertAlign val="superscript"/>
      <sz val="12"/>
      <name val="Arial"/>
      <family val="2"/>
    </font>
    <font>
      <u/>
      <vertAlign val="superscript"/>
      <sz val="10"/>
      <name val="Arial"/>
      <family val="2"/>
    </font>
    <font>
      <vertAlign val="superscript"/>
      <sz val="10"/>
      <name val="Arial"/>
      <family val="2"/>
    </font>
    <font>
      <b/>
      <sz val="10"/>
      <color theme="1"/>
      <name val="Arial"/>
      <family val="2"/>
    </font>
    <font>
      <u/>
      <sz val="10"/>
      <color theme="1"/>
      <name val="Arial"/>
      <family val="2"/>
    </font>
    <font>
      <sz val="12"/>
      <name val="Courier"/>
      <family val="3"/>
    </font>
    <font>
      <vertAlign val="superscript"/>
      <sz val="10"/>
      <color theme="1"/>
      <name val="Arial"/>
      <family val="2"/>
    </font>
    <font>
      <sz val="11"/>
      <color rgb="FF0000FF"/>
      <name val="Arial"/>
      <family val="2"/>
    </font>
    <font>
      <sz val="10"/>
      <color indexed="81"/>
      <name val="Tahoma"/>
      <family val="2"/>
    </font>
    <font>
      <sz val="11"/>
      <color theme="1"/>
      <name val="Calibri"/>
      <family val="2"/>
      <scheme val="minor"/>
    </font>
    <font>
      <u/>
      <sz val="10"/>
      <color rgb="FF0000FF"/>
      <name val="Arial"/>
      <family val="2"/>
    </font>
    <font>
      <sz val="10"/>
      <color indexed="10"/>
      <name val="Arial"/>
      <family val="2"/>
    </font>
    <font>
      <b/>
      <sz val="10"/>
      <color rgb="FF0000FF"/>
      <name val="Arial"/>
      <family val="2"/>
    </font>
    <font>
      <b/>
      <u val="singleAccounting"/>
      <sz val="10"/>
      <color rgb="FFFF0000"/>
      <name val="Arial"/>
      <family val="2"/>
    </font>
    <font>
      <b/>
      <sz val="12"/>
      <color rgb="FF0000FF"/>
      <name val="Arial"/>
      <family val="2"/>
    </font>
    <font>
      <b/>
      <sz val="10"/>
      <color rgb="FFFF0000"/>
      <name val="Arial"/>
      <family val="2"/>
    </font>
    <font>
      <sz val="11"/>
      <name val="Calibri"/>
      <family val="2"/>
    </font>
    <font>
      <sz val="12"/>
      <color rgb="FFFF0000"/>
      <name val="Arial MT"/>
    </font>
    <font>
      <sz val="12"/>
      <color rgb="FF333399"/>
      <name val="Arial MT"/>
    </font>
    <font>
      <sz val="12"/>
      <color rgb="FFFF6600"/>
      <name val="Arial MT"/>
    </font>
    <font>
      <sz val="12"/>
      <color rgb="FF000000"/>
      <name val="Arial MT"/>
    </font>
    <font>
      <sz val="12"/>
      <color rgb="FF993300"/>
      <name val="Arial MT"/>
    </font>
    <font>
      <sz val="12"/>
      <color rgb="FF993366"/>
      <name val="Arial MT"/>
    </font>
    <font>
      <sz val="12"/>
      <color rgb="FF008000"/>
      <name val="Arial MT"/>
    </font>
    <font>
      <u val="singleAccounting"/>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4" tint="-0.249977111117893"/>
      <name val="Arial"/>
      <family val="2"/>
    </font>
    <font>
      <sz val="8"/>
      <color indexed="81"/>
      <name val="Tahoma"/>
      <family val="2"/>
    </font>
    <font>
      <sz val="12"/>
      <color theme="1"/>
      <name val="Calibri"/>
      <family val="2"/>
      <scheme val="minor"/>
    </font>
    <font>
      <vertAlign val="superscript"/>
      <sz val="12"/>
      <color rgb="FF0000FF"/>
      <name val="Arial"/>
      <family val="2"/>
    </font>
    <font>
      <sz val="11"/>
      <color indexed="8"/>
      <name val="Calibri"/>
      <family val="2"/>
    </font>
    <font>
      <sz val="11"/>
      <color indexed="9"/>
      <name val="Calibri"/>
      <family val="2"/>
    </font>
    <font>
      <sz val="11"/>
      <color rgb="FF9C0006"/>
      <name val="Calibri"/>
      <family val="2"/>
    </font>
    <font>
      <b/>
      <sz val="8"/>
      <color indexed="24"/>
      <name val="Arial"/>
      <family val="2"/>
    </font>
    <font>
      <b/>
      <sz val="9"/>
      <color indexed="24"/>
      <name val="Arial"/>
      <family val="2"/>
    </font>
    <font>
      <b/>
      <sz val="11"/>
      <color indexed="24"/>
      <name val="Arial"/>
      <family val="2"/>
    </font>
    <font>
      <b/>
      <sz val="11"/>
      <color rgb="FFFA7D00"/>
      <name val="Calibri"/>
      <family val="2"/>
    </font>
    <font>
      <b/>
      <sz val="11"/>
      <color indexed="52"/>
      <name val="Calibri"/>
      <family val="2"/>
      <scheme val="minor"/>
    </font>
    <font>
      <b/>
      <sz val="11"/>
      <color indexed="9"/>
      <name val="Calibri"/>
      <family val="2"/>
    </font>
    <font>
      <b/>
      <u val="singleAccounting"/>
      <sz val="8"/>
      <color indexed="8"/>
      <name val="Arial"/>
      <family val="2"/>
    </font>
    <font>
      <b/>
      <sz val="10"/>
      <name val="Arial Narrow"/>
      <family val="2"/>
    </font>
    <font>
      <i/>
      <sz val="11"/>
      <color rgb="FF7F7F7F"/>
      <name val="Calibri"/>
      <family val="2"/>
    </font>
    <font>
      <sz val="11"/>
      <color rgb="FF006100"/>
      <name val="Calibri"/>
      <family val="2"/>
    </font>
    <font>
      <b/>
      <u/>
      <sz val="11"/>
      <color indexed="37"/>
      <name val="Arial"/>
      <family val="2"/>
    </font>
    <font>
      <b/>
      <sz val="15"/>
      <color theme="3"/>
      <name val="Calibri"/>
      <family val="2"/>
    </font>
    <font>
      <b/>
      <sz val="15"/>
      <color indexed="56"/>
      <name val="Calibri"/>
      <family val="2"/>
    </font>
    <font>
      <b/>
      <sz val="13"/>
      <color theme="3"/>
      <name val="Calibri"/>
      <family val="2"/>
    </font>
    <font>
      <b/>
      <sz val="13"/>
      <color indexed="56"/>
      <name val="Calibri"/>
      <family val="2"/>
    </font>
    <font>
      <b/>
      <sz val="11"/>
      <color theme="3"/>
      <name val="Calibri"/>
      <family val="2"/>
    </font>
    <font>
      <b/>
      <sz val="11"/>
      <color indexed="56"/>
      <name val="Calibri"/>
      <family val="2"/>
    </font>
    <font>
      <u/>
      <sz val="10"/>
      <color indexed="12"/>
      <name val="Arial"/>
      <family val="2"/>
    </font>
    <font>
      <sz val="12"/>
      <color indexed="8"/>
      <name val="Arial"/>
      <family val="2"/>
    </font>
    <font>
      <sz val="8"/>
      <color indexed="12"/>
      <name val="Arial"/>
      <family val="2"/>
    </font>
    <font>
      <sz val="11"/>
      <color rgb="FF3F3F76"/>
      <name val="Calibri"/>
      <family val="2"/>
    </font>
    <font>
      <sz val="1"/>
      <color indexed="9"/>
      <name val="Symbol"/>
      <family val="1"/>
      <charset val="2"/>
    </font>
    <font>
      <sz val="11"/>
      <color rgb="FFFA7D00"/>
      <name val="Calibri"/>
      <family val="2"/>
    </font>
    <font>
      <sz val="11"/>
      <color indexed="52"/>
      <name val="Calibri"/>
      <family val="2"/>
    </font>
    <font>
      <sz val="11"/>
      <color rgb="FF9C6500"/>
      <name val="Calibri"/>
      <family val="2"/>
    </font>
    <font>
      <sz val="11"/>
      <color indexed="60"/>
      <name val="Calibri"/>
      <family val="2"/>
      <scheme val="minor"/>
    </font>
    <font>
      <b/>
      <u val="singleAccounting"/>
      <sz val="8"/>
      <color indexed="8"/>
      <name val="Verdana"/>
      <family val="2"/>
    </font>
    <font>
      <b/>
      <sz val="10"/>
      <color indexed="9"/>
      <name val="Arial"/>
      <family val="2"/>
    </font>
    <font>
      <b/>
      <sz val="12"/>
      <color indexed="8"/>
      <name val="Verdana"/>
      <family val="2"/>
    </font>
    <font>
      <sz val="10"/>
      <color theme="1"/>
      <name val="Calibri"/>
      <family val="2"/>
      <scheme val="minor"/>
    </font>
    <font>
      <sz val="10"/>
      <color theme="1"/>
      <name val="Times New Roman"/>
      <family val="2"/>
    </font>
    <font>
      <sz val="10"/>
      <color rgb="FF000000"/>
      <name val="Arial"/>
      <family val="2"/>
    </font>
    <font>
      <sz val="10"/>
      <name val="Courier"/>
      <family val="3"/>
    </font>
    <font>
      <sz val="10"/>
      <name val="Arial "/>
    </font>
    <font>
      <sz val="10"/>
      <name val="Arial Unicode MS"/>
      <family val="2"/>
    </font>
    <font>
      <b/>
      <sz val="11"/>
      <color rgb="FF3F3F3F"/>
      <name val="Calibri"/>
      <family val="2"/>
    </font>
    <font>
      <b/>
      <sz val="11"/>
      <color indexed="16"/>
      <name val="Times New Roman"/>
      <family val="1"/>
    </font>
    <font>
      <sz val="10"/>
      <color indexed="18"/>
      <name val="Times New Roman"/>
      <family val="1"/>
    </font>
    <font>
      <sz val="8"/>
      <name val="Arial Narrow"/>
      <family val="2"/>
    </font>
    <font>
      <b/>
      <sz val="8"/>
      <color indexed="9"/>
      <name val="Verdana"/>
      <family val="2"/>
    </font>
    <font>
      <sz val="9"/>
      <color theme="1"/>
      <name val="Calibri"/>
      <family val="2"/>
      <scheme val="minor"/>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8"/>
      <color theme="3"/>
      <name val="Cambria"/>
      <family val="2"/>
    </font>
    <font>
      <b/>
      <sz val="18"/>
      <color indexed="56"/>
      <name val="Cambria"/>
      <family val="2"/>
    </font>
    <font>
      <b/>
      <sz val="13"/>
      <color indexed="8"/>
      <name val="Verdana"/>
      <family val="2"/>
    </font>
    <font>
      <b/>
      <sz val="11"/>
      <color indexed="8"/>
      <name val="Calibri"/>
      <family val="2"/>
    </font>
    <font>
      <sz val="12"/>
      <color indexed="8"/>
      <name val="Arial MT"/>
    </font>
    <font>
      <sz val="11"/>
      <color indexed="10"/>
      <name val="Calibri"/>
      <family val="2"/>
    </font>
    <font>
      <sz val="12"/>
      <color theme="1"/>
      <name val="Arial"/>
      <family val="2"/>
    </font>
    <font>
      <u/>
      <sz val="11"/>
      <color theme="1"/>
      <name val="Calibri"/>
      <family val="2"/>
      <scheme val="minor"/>
    </font>
    <font>
      <sz val="11"/>
      <color rgb="FF0000FF"/>
      <name val="Calibri"/>
      <family val="2"/>
      <scheme val="minor"/>
    </font>
    <font>
      <u val="singleAccounting"/>
      <vertAlign val="superscript"/>
      <sz val="12"/>
      <name val="Arial"/>
      <family val="2"/>
    </font>
    <font>
      <b/>
      <vertAlign val="superscript"/>
      <sz val="12"/>
      <name val="Arial"/>
      <family val="2"/>
    </font>
    <font>
      <b/>
      <sz val="12"/>
      <color theme="1"/>
      <name val="Arial"/>
      <family val="2"/>
    </font>
    <font>
      <u/>
      <sz val="12"/>
      <color theme="1"/>
      <name val="Arial"/>
      <family val="2"/>
    </font>
    <font>
      <b/>
      <u/>
      <sz val="12"/>
      <color theme="1"/>
      <name val="Arial"/>
      <family val="2"/>
    </font>
    <font>
      <sz val="12"/>
      <color rgb="FF0000CC"/>
      <name val="Arial"/>
      <family val="2"/>
    </font>
    <font>
      <u val="doubleAccounting"/>
      <sz val="12"/>
      <name val="Arial MT"/>
    </font>
    <font>
      <u val="singleAccounting"/>
      <sz val="12"/>
      <color rgb="FF0000FF"/>
      <name val="Arial MT"/>
    </font>
    <font>
      <sz val="12"/>
      <color rgb="FF4D4D4D"/>
      <name val="Arial"/>
      <family val="2"/>
    </font>
    <font>
      <u/>
      <sz val="12"/>
      <color rgb="FF0000FF"/>
      <name val="Arial"/>
      <family val="2"/>
    </font>
  </fonts>
  <fills count="100">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rgb="FFFFFF99"/>
        <bgColor indexed="64"/>
      </patternFill>
    </fill>
    <fill>
      <patternFill patternType="solid">
        <fgColor indexed="9"/>
        <bgColor indexed="64"/>
      </patternFill>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26"/>
        <bgColor indexed="64"/>
      </patternFill>
    </fill>
    <fill>
      <patternFill patternType="lightGray">
        <fgColor indexed="38"/>
        <bgColor indexed="23"/>
      </patternFill>
    </fill>
    <fill>
      <patternFill patternType="mediumGray">
        <fgColor indexed="22"/>
      </patternFill>
    </fill>
    <fill>
      <patternFill patternType="solid">
        <fgColor indexed="22"/>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indexed="30"/>
      </patternFill>
    </fill>
    <fill>
      <patternFill patternType="solid">
        <fgColor theme="5" tint="0.39997558519241921"/>
        <bgColor indexed="64"/>
      </patternFill>
    </fill>
    <fill>
      <patternFill patternType="solid">
        <fgColor indexed="29"/>
      </patternFill>
    </fill>
    <fill>
      <patternFill patternType="solid">
        <fgColor theme="6" tint="0.39997558519241921"/>
        <bgColor indexed="64"/>
      </patternFill>
    </fill>
    <fill>
      <patternFill patternType="solid">
        <fgColor indexed="11"/>
      </patternFill>
    </fill>
    <fill>
      <patternFill patternType="solid">
        <fgColor theme="7" tint="0.39997558519241921"/>
        <bgColor indexed="64"/>
      </patternFill>
    </fill>
    <fill>
      <patternFill patternType="solid">
        <fgColor indexed="36"/>
      </patternFill>
    </fill>
    <fill>
      <patternFill patternType="solid">
        <fgColor theme="8" tint="0.39997558519241921"/>
        <bgColor indexed="64"/>
      </patternFill>
    </fill>
    <fill>
      <patternFill patternType="solid">
        <fgColor indexed="49"/>
      </patternFill>
    </fill>
    <fill>
      <patternFill patternType="solid">
        <fgColor theme="9" tint="0.39997558519241921"/>
        <bgColor indexed="64"/>
      </patternFill>
    </fill>
    <fill>
      <patternFill patternType="solid">
        <fgColor indexed="52"/>
      </patternFill>
    </fill>
    <fill>
      <patternFill patternType="solid">
        <fgColor theme="4"/>
        <bgColor indexed="64"/>
      </patternFill>
    </fill>
    <fill>
      <patternFill patternType="solid">
        <fgColor indexed="62"/>
      </patternFill>
    </fill>
    <fill>
      <patternFill patternType="solid">
        <fgColor theme="5"/>
        <bgColor indexed="64"/>
      </patternFill>
    </fill>
    <fill>
      <patternFill patternType="solid">
        <fgColor indexed="10"/>
      </patternFill>
    </fill>
    <fill>
      <patternFill patternType="solid">
        <fgColor theme="6"/>
        <bgColor indexed="64"/>
      </patternFill>
    </fill>
    <fill>
      <patternFill patternType="solid">
        <fgColor indexed="57"/>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patternFill>
    </fill>
    <fill>
      <patternFill patternType="solid">
        <fgColor indexed="44"/>
        <bgColor indexed="64"/>
      </patternFill>
    </fill>
    <fill>
      <patternFill patternType="solid">
        <fgColor rgb="FFFFC7CE"/>
        <bgColor indexed="64"/>
      </patternFill>
    </fill>
    <fill>
      <patternFill patternType="solid">
        <fgColor indexed="45"/>
      </patternFill>
    </fill>
    <fill>
      <patternFill patternType="solid">
        <fgColor rgb="FFF2F2F2"/>
        <bgColor indexed="64"/>
      </patternFill>
    </fill>
    <fill>
      <patternFill patternType="solid">
        <fgColor indexed="22"/>
      </patternFill>
    </fill>
    <fill>
      <patternFill patternType="solid">
        <fgColor rgb="FFA5A5A5"/>
        <bgColor indexed="64"/>
      </patternFill>
    </fill>
    <fill>
      <patternFill patternType="solid">
        <fgColor indexed="60"/>
        <bgColor indexed="64"/>
      </patternFill>
    </fill>
    <fill>
      <patternFill patternType="gray0625"/>
    </fill>
    <fill>
      <patternFill patternType="solid">
        <fgColor rgb="FFC6EFCE"/>
        <bgColor indexed="64"/>
      </patternFill>
    </fill>
    <fill>
      <patternFill patternType="solid">
        <fgColor indexed="42"/>
      </patternFill>
    </fill>
    <fill>
      <patternFill patternType="solid">
        <fgColor indexed="47"/>
        <bgColor indexed="64"/>
      </patternFill>
    </fill>
    <fill>
      <patternFill patternType="solid">
        <fgColor rgb="FFFFEB9C"/>
        <bgColor indexed="64"/>
      </patternFill>
    </fill>
    <fill>
      <patternFill patternType="solid">
        <fgColor indexed="62"/>
        <bgColor indexed="64"/>
      </patternFill>
    </fill>
    <fill>
      <patternFill patternType="solid">
        <fgColor indexed="63"/>
        <bgColor indexed="64"/>
      </patternFill>
    </fill>
    <fill>
      <patternFill patternType="solid">
        <fgColor indexed="26"/>
      </patternFill>
    </fill>
    <fill>
      <patternFill patternType="solid">
        <fgColor indexed="56"/>
        <bgColor indexed="64"/>
      </patternFill>
    </fill>
  </fills>
  <borders count="45">
    <border>
      <left/>
      <right/>
      <top/>
      <bottom/>
      <diagonal/>
    </border>
    <border>
      <left/>
      <right/>
      <top/>
      <bottom style="medium">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double">
        <color indexed="64"/>
      </top>
      <bottom/>
      <diagonal/>
    </border>
    <border>
      <left/>
      <right/>
      <top/>
      <bottom style="hair">
        <color indexed="64"/>
      </bottom>
      <diagonal/>
    </border>
    <border>
      <left/>
      <right/>
      <top style="medium">
        <color indexed="64"/>
      </top>
      <bottom style="medium">
        <color indexed="64"/>
      </bottom>
      <diagonal/>
    </border>
    <border>
      <left/>
      <right/>
      <top/>
      <bottom style="hair">
        <color indexed="20"/>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bottom style="hair">
        <color indexed="64"/>
      </bottom>
      <diagonal/>
    </border>
    <border>
      <left/>
      <right/>
      <top/>
      <bottom style="medium">
        <color indexed="24"/>
      </bottom>
      <diagonal/>
    </border>
    <border>
      <left style="double">
        <color indexed="64"/>
      </left>
      <right style="double">
        <color indexed="64"/>
      </right>
      <top style="double">
        <color indexed="64"/>
      </top>
      <bottom style="double">
        <color indexed="64"/>
      </bottom>
      <diagonal/>
    </border>
    <border>
      <left/>
      <right/>
      <top/>
      <bottom style="thick">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1625">
    <xf numFmtId="173" fontId="0" fillId="0" borderId="0" applyProtection="0"/>
    <xf numFmtId="43" fontId="32" fillId="0" borderId="0" applyFont="0" applyFill="0" applyBorder="0" applyAlignment="0" applyProtection="0"/>
    <xf numFmtId="43" fontId="48" fillId="0" borderId="0" applyFont="0" applyFill="0" applyBorder="0" applyAlignment="0" applyProtection="0"/>
    <xf numFmtId="221" fontId="47" fillId="0" borderId="0">
      <alignment vertical="top"/>
    </xf>
    <xf numFmtId="173" fontId="15" fillId="0" borderId="0" applyProtection="0"/>
    <xf numFmtId="221" fontId="32" fillId="0" borderId="0"/>
    <xf numFmtId="221" fontId="32" fillId="0" borderId="0"/>
    <xf numFmtId="221" fontId="32" fillId="0" borderId="0"/>
    <xf numFmtId="221" fontId="32" fillId="0" borderId="0"/>
    <xf numFmtId="221" fontId="32" fillId="0" borderId="0"/>
    <xf numFmtId="221" fontId="32" fillId="0" borderId="0"/>
    <xf numFmtId="9" fontId="27" fillId="0" borderId="0" applyFont="0" applyFill="0" applyBorder="0" applyAlignment="0" applyProtection="0"/>
    <xf numFmtId="44" fontId="27" fillId="0" borderId="0" applyFont="0" applyFill="0" applyBorder="0" applyAlignment="0" applyProtection="0"/>
    <xf numFmtId="43" fontId="27" fillId="0" borderId="0" applyFont="0" applyFill="0" applyBorder="0" applyAlignment="0" applyProtection="0"/>
    <xf numFmtId="43" fontId="56" fillId="0" borderId="0" applyFont="0" applyFill="0" applyBorder="0" applyAlignment="0" applyProtection="0"/>
    <xf numFmtId="221" fontId="27" fillId="0" borderId="0"/>
    <xf numFmtId="44" fontId="27" fillId="0" borderId="0" applyFont="0" applyFill="0" applyBorder="0" applyAlignment="0" applyProtection="0"/>
    <xf numFmtId="221" fontId="27" fillId="0" borderId="0"/>
    <xf numFmtId="178" fontId="60" fillId="0" borderId="0" applyFont="0" applyFill="0" applyBorder="0" applyAlignment="0" applyProtection="0"/>
    <xf numFmtId="179" fontId="60" fillId="0" borderId="0" applyFont="0" applyFill="0" applyBorder="0" applyAlignment="0" applyProtection="0"/>
    <xf numFmtId="180" fontId="60" fillId="0" borderId="0" applyFont="0" applyFill="0" applyBorder="0" applyAlignment="0" applyProtection="0"/>
    <xf numFmtId="181" fontId="60" fillId="0" borderId="0" applyFont="0" applyFill="0" applyBorder="0" applyAlignment="0" applyProtection="0"/>
    <xf numFmtId="182" fontId="60" fillId="0" borderId="0" applyFont="0" applyFill="0" applyBorder="0" applyAlignment="0" applyProtection="0"/>
    <xf numFmtId="183" fontId="60" fillId="0" borderId="0" applyFont="0" applyFill="0" applyBorder="0" applyAlignment="0" applyProtection="0"/>
    <xf numFmtId="221" fontId="59" fillId="0" borderId="0"/>
    <xf numFmtId="184" fontId="27" fillId="6" borderId="0" applyNumberFormat="0" applyFill="0" applyBorder="0" applyAlignment="0" applyProtection="0">
      <alignment horizontal="right" vertical="center"/>
    </xf>
    <xf numFmtId="184" fontId="33" fillId="0" borderId="0" applyNumberFormat="0" applyFill="0" applyBorder="0" applyAlignment="0" applyProtection="0"/>
    <xf numFmtId="221" fontId="27" fillId="0" borderId="6" applyNumberFormat="0" applyFont="0" applyFill="0" applyAlignment="0" applyProtection="0"/>
    <xf numFmtId="185" fontId="16" fillId="0" borderId="0" applyFont="0" applyFill="0" applyBorder="0" applyAlignment="0" applyProtection="0"/>
    <xf numFmtId="186" fontId="60" fillId="0" borderId="0" applyFont="0" applyFill="0" applyBorder="0" applyProtection="0">
      <alignment horizontal="left"/>
    </xf>
    <xf numFmtId="187" fontId="60" fillId="0" borderId="0" applyFont="0" applyFill="0" applyBorder="0" applyProtection="0">
      <alignment horizontal="left"/>
    </xf>
    <xf numFmtId="188" fontId="60" fillId="0" borderId="0" applyFont="0" applyFill="0" applyBorder="0" applyProtection="0">
      <alignment horizontal="left"/>
    </xf>
    <xf numFmtId="37" fontId="61" fillId="0" borderId="0" applyFont="0" applyFill="0" applyBorder="0" applyAlignment="0" applyProtection="0">
      <alignment vertical="center"/>
      <protection locked="0"/>
    </xf>
    <xf numFmtId="189" fontId="62" fillId="0" borderId="0" applyFont="0" applyFill="0" applyBorder="0" applyAlignment="0" applyProtection="0"/>
    <xf numFmtId="221" fontId="63" fillId="0" borderId="0"/>
    <xf numFmtId="221" fontId="63" fillId="0" borderId="0"/>
    <xf numFmtId="173" fontId="40" fillId="0" borderId="0" applyFill="0"/>
    <xf numFmtId="173" fontId="40" fillId="0" borderId="0">
      <alignment horizontal="center"/>
    </xf>
    <xf numFmtId="221" fontId="40" fillId="0" borderId="0" applyFill="0">
      <alignment horizontal="center"/>
    </xf>
    <xf numFmtId="173" fontId="43" fillId="0" borderId="18" applyFill="0"/>
    <xf numFmtId="221" fontId="27" fillId="0" borderId="0" applyFont="0" applyAlignment="0"/>
    <xf numFmtId="221" fontId="64" fillId="0" borderId="0" applyFill="0">
      <alignment vertical="top"/>
    </xf>
    <xf numFmtId="221" fontId="43" fillId="0" borderId="0" applyFill="0">
      <alignment horizontal="left" vertical="top"/>
    </xf>
    <xf numFmtId="173" fontId="20" fillId="0" borderId="10" applyFill="0"/>
    <xf numFmtId="221" fontId="27" fillId="0" borderId="0" applyNumberFormat="0" applyFont="0" applyAlignment="0"/>
    <xf numFmtId="221" fontId="64" fillId="0" borderId="0" applyFill="0">
      <alignment wrapText="1"/>
    </xf>
    <xf numFmtId="221" fontId="43" fillId="0" borderId="0" applyFill="0">
      <alignment horizontal="left" vertical="top" wrapText="1"/>
    </xf>
    <xf numFmtId="173" fontId="44" fillId="0" borderId="0" applyFill="0"/>
    <xf numFmtId="221" fontId="65" fillId="0" borderId="0" applyNumberFormat="0" applyFont="0" applyAlignment="0">
      <alignment horizontal="center"/>
    </xf>
    <xf numFmtId="221" fontId="66" fillId="0" borderId="0" applyFill="0">
      <alignment vertical="top" wrapText="1"/>
    </xf>
    <xf numFmtId="221" fontId="20" fillId="0" borderId="0" applyFill="0">
      <alignment horizontal="left" vertical="top" wrapText="1"/>
    </xf>
    <xf numFmtId="173" fontId="27" fillId="0" borderId="0" applyFill="0"/>
    <xf numFmtId="221" fontId="65" fillId="0" borderId="0" applyNumberFormat="0" applyFont="0" applyAlignment="0">
      <alignment horizontal="center"/>
    </xf>
    <xf numFmtId="221" fontId="67" fillId="0" borderId="0" applyFill="0">
      <alignment vertical="center" wrapText="1"/>
    </xf>
    <xf numFmtId="221" fontId="18" fillId="0" borderId="0">
      <alignment horizontal="left" vertical="center" wrapText="1"/>
    </xf>
    <xf numFmtId="173" fontId="59" fillId="0" borderId="0" applyFill="0"/>
    <xf numFmtId="221" fontId="65" fillId="0" borderId="0" applyNumberFormat="0" applyFont="0" applyAlignment="0">
      <alignment horizontal="center"/>
    </xf>
    <xf numFmtId="221" fontId="68" fillId="0" borderId="0" applyFill="0">
      <alignment horizontal="center" vertical="center" wrapText="1"/>
    </xf>
    <xf numFmtId="221" fontId="27" fillId="0" borderId="0" applyFill="0">
      <alignment horizontal="center" vertical="center" wrapText="1"/>
    </xf>
    <xf numFmtId="173" fontId="69" fillId="0" borderId="0" applyFill="0"/>
    <xf numFmtId="221" fontId="65" fillId="0" borderId="0" applyNumberFormat="0" applyFont="0" applyAlignment="0">
      <alignment horizontal="center"/>
    </xf>
    <xf numFmtId="221" fontId="70" fillId="0" borderId="0" applyFill="0">
      <alignment horizontal="center" vertical="center" wrapText="1"/>
    </xf>
    <xf numFmtId="221" fontId="71" fillId="0" borderId="0" applyFill="0">
      <alignment horizontal="center" vertical="center" wrapText="1"/>
    </xf>
    <xf numFmtId="173" fontId="72" fillId="0" borderId="0" applyFill="0"/>
    <xf numFmtId="221" fontId="65" fillId="0" borderId="0" applyNumberFormat="0" applyFont="0" applyAlignment="0">
      <alignment horizontal="center"/>
    </xf>
    <xf numFmtId="221" fontId="73" fillId="0" borderId="0">
      <alignment horizontal="center" wrapText="1"/>
    </xf>
    <xf numFmtId="221" fontId="69" fillId="0" borderId="0" applyFill="0">
      <alignment horizontal="center" wrapText="1"/>
    </xf>
    <xf numFmtId="190" fontId="74" fillId="0" borderId="0" applyFont="0" applyFill="0" applyBorder="0" applyAlignment="0" applyProtection="0">
      <protection locked="0"/>
    </xf>
    <xf numFmtId="191" fontId="74" fillId="0" borderId="0" applyFont="0" applyFill="0" applyBorder="0" applyAlignment="0" applyProtection="0">
      <protection locked="0"/>
    </xf>
    <xf numFmtId="39" fontId="27" fillId="0" borderId="0" applyFont="0" applyFill="0" applyBorder="0" applyAlignment="0" applyProtection="0"/>
    <xf numFmtId="192" fontId="75" fillId="0" borderId="0" applyFont="0" applyFill="0" applyBorder="0" applyAlignment="0" applyProtection="0"/>
    <xf numFmtId="193" fontId="62" fillId="0" borderId="0" applyFont="0" applyFill="0" applyBorder="0" applyAlignment="0" applyProtection="0"/>
    <xf numFmtId="221" fontId="27" fillId="0" borderId="6" applyNumberFormat="0" applyFont="0" applyFill="0" applyBorder="0" applyProtection="0">
      <alignment horizontal="centerContinuous" vertical="center"/>
    </xf>
    <xf numFmtId="221" fontId="76" fillId="0" borderId="0" applyFill="0" applyBorder="0" applyProtection="0">
      <alignment horizontal="center"/>
      <protection locked="0"/>
    </xf>
    <xf numFmtId="221" fontId="27" fillId="0" borderId="0"/>
    <xf numFmtId="221" fontId="77" fillId="0" borderId="0"/>
    <xf numFmtId="221" fontId="77" fillId="0" borderId="0"/>
    <xf numFmtId="221" fontId="77" fillId="0" borderId="0"/>
    <xf numFmtId="221" fontId="77" fillId="0" borderId="0"/>
    <xf numFmtId="221" fontId="77" fillId="0" borderId="0"/>
    <xf numFmtId="221" fontId="77" fillId="0" borderId="0"/>
    <xf numFmtId="221" fontId="77" fillId="0" borderId="0"/>
    <xf numFmtId="194" fontId="60" fillId="0" borderId="0" applyFont="0" applyFill="0" applyBorder="0" applyAlignment="0" applyProtection="0"/>
    <xf numFmtId="195" fontId="60" fillId="0" borderId="0" applyFont="0" applyFill="0" applyBorder="0" applyAlignment="0" applyProtection="0"/>
    <xf numFmtId="196" fontId="60" fillId="0" borderId="0" applyFont="0" applyFill="0" applyBorder="0" applyAlignment="0" applyProtection="0"/>
    <xf numFmtId="197" fontId="78" fillId="0" borderId="0" applyFont="0" applyFill="0" applyBorder="0" applyAlignment="0" applyProtection="0"/>
    <xf numFmtId="198" fontId="79" fillId="0" borderId="0" applyFont="0" applyFill="0" applyBorder="0" applyAlignment="0" applyProtection="0"/>
    <xf numFmtId="199" fontId="79" fillId="0" borderId="0" applyFont="0" applyFill="0" applyBorder="0" applyAlignment="0" applyProtection="0"/>
    <xf numFmtId="200" fontId="44" fillId="0" borderId="0" applyFont="0" applyFill="0" applyBorder="0" applyAlignment="0" applyProtection="0">
      <protection locked="0"/>
    </xf>
    <xf numFmtId="43" fontId="27" fillId="0" borderId="0" applyFont="0" applyFill="0" applyBorder="0" applyAlignment="0" applyProtection="0"/>
    <xf numFmtId="43" fontId="27" fillId="0" borderId="0" applyFont="0" applyFill="0" applyBorder="0" applyAlignment="0" applyProtection="0"/>
    <xf numFmtId="43" fontId="48" fillId="0" borderId="0" applyFont="0" applyFill="0" applyBorder="0" applyAlignment="0" applyProtection="0"/>
    <xf numFmtId="43" fontId="27" fillId="0" borderId="0" applyFont="0" applyFill="0" applyBorder="0" applyAlignment="0" applyProtection="0"/>
    <xf numFmtId="37" fontId="80" fillId="0" borderId="0" applyFill="0" applyBorder="0" applyAlignment="0" applyProtection="0"/>
    <xf numFmtId="3" fontId="27" fillId="0" borderId="0" applyFont="0" applyFill="0" applyBorder="0" applyAlignment="0" applyProtection="0"/>
    <xf numFmtId="221" fontId="43" fillId="0" borderId="0" applyFill="0" applyBorder="0" applyAlignment="0" applyProtection="0">
      <protection locked="0"/>
    </xf>
    <xf numFmtId="201" fontId="60" fillId="0" borderId="0" applyFont="0" applyFill="0" applyBorder="0" applyAlignment="0" applyProtection="0"/>
    <xf numFmtId="202" fontId="60" fillId="0" borderId="0" applyFont="0" applyFill="0" applyBorder="0" applyAlignment="0" applyProtection="0"/>
    <xf numFmtId="203" fontId="60" fillId="0" borderId="0" applyFont="0" applyFill="0" applyBorder="0" applyAlignment="0" applyProtection="0"/>
    <xf numFmtId="204" fontId="79" fillId="0" borderId="0" applyFont="0" applyFill="0" applyBorder="0" applyAlignment="0" applyProtection="0"/>
    <xf numFmtId="205" fontId="79" fillId="0" borderId="0" applyFont="0" applyFill="0" applyBorder="0" applyAlignment="0" applyProtection="0"/>
    <xf numFmtId="206" fontId="79" fillId="0" borderId="0" applyFont="0" applyFill="0" applyBorder="0" applyAlignment="0" applyProtection="0"/>
    <xf numFmtId="207" fontId="44" fillId="0" borderId="0" applyFont="0" applyFill="0" applyBorder="0" applyAlignment="0" applyProtection="0">
      <protection locked="0"/>
    </xf>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5" fontId="80" fillId="0" borderId="0" applyFill="0" applyBorder="0" applyAlignment="0" applyProtection="0"/>
    <xf numFmtId="5" fontId="27" fillId="0" borderId="0" applyFont="0" applyFill="0" applyBorder="0" applyAlignment="0" applyProtection="0"/>
    <xf numFmtId="5" fontId="27" fillId="0" borderId="0" applyFont="0" applyFill="0" applyBorder="0" applyAlignment="0" applyProtection="0"/>
    <xf numFmtId="208" fontId="62" fillId="0" borderId="0" applyFont="0" applyFill="0" applyBorder="0" applyAlignment="0" applyProtection="0"/>
    <xf numFmtId="209" fontId="27" fillId="0" borderId="0" applyFont="0" applyFill="0" applyBorder="0" applyAlignment="0" applyProtection="0"/>
    <xf numFmtId="210" fontId="74" fillId="0" borderId="0" applyFont="0" applyFill="0" applyBorder="0" applyAlignment="0" applyProtection="0">
      <protection locked="0"/>
    </xf>
    <xf numFmtId="7" fontId="40" fillId="0" borderId="0" applyFont="0" applyFill="0" applyBorder="0" applyAlignment="0" applyProtection="0"/>
    <xf numFmtId="211" fontId="75" fillId="0" borderId="0" applyFont="0" applyFill="0" applyBorder="0" applyAlignment="0" applyProtection="0"/>
    <xf numFmtId="212" fontId="81" fillId="0" borderId="0" applyFont="0" applyFill="0" applyBorder="0" applyAlignment="0" applyProtection="0"/>
    <xf numFmtId="221" fontId="82" fillId="7" borderId="19" applyNumberFormat="0" applyFont="0" applyFill="0" applyAlignment="0" applyProtection="0">
      <alignment horizontal="left" indent="1"/>
    </xf>
    <xf numFmtId="14" fontId="27" fillId="0" borderId="0" applyFont="0" applyFill="0" applyBorder="0" applyAlignment="0" applyProtection="0"/>
    <xf numFmtId="213" fontId="60" fillId="0" borderId="0" applyFont="0" applyFill="0" applyBorder="0" applyProtection="0"/>
    <xf numFmtId="214" fontId="60" fillId="0" borderId="0" applyFont="0" applyFill="0" applyBorder="0" applyProtection="0"/>
    <xf numFmtId="215" fontId="60" fillId="0" borderId="0" applyFont="0" applyFill="0" applyBorder="0" applyAlignment="0" applyProtection="0"/>
    <xf numFmtId="216" fontId="60" fillId="0" borderId="0" applyFont="0" applyFill="0" applyBorder="0" applyAlignment="0" applyProtection="0"/>
    <xf numFmtId="217" fontId="60" fillId="0" borderId="0" applyFont="0" applyFill="0" applyBorder="0" applyAlignment="0" applyProtection="0"/>
    <xf numFmtId="218" fontId="83" fillId="0" borderId="0" applyFont="0" applyFill="0" applyBorder="0" applyAlignment="0" applyProtection="0"/>
    <xf numFmtId="5" fontId="84" fillId="0" borderId="0" applyBorder="0"/>
    <xf numFmtId="209" fontId="84" fillId="0" borderId="0" applyBorder="0"/>
    <xf numFmtId="7" fontId="84" fillId="0" borderId="0" applyBorder="0"/>
    <xf numFmtId="37" fontId="84" fillId="0" borderId="0" applyBorder="0"/>
    <xf numFmtId="190" fontId="84" fillId="0" borderId="0" applyBorder="0"/>
    <xf numFmtId="219" fontId="84" fillId="0" borderId="0" applyBorder="0"/>
    <xf numFmtId="39" fontId="84" fillId="0" borderId="0" applyBorder="0"/>
    <xf numFmtId="220" fontId="84" fillId="0" borderId="0" applyBorder="0"/>
    <xf numFmtId="7" fontId="27" fillId="0" borderId="0" applyFont="0" applyFill="0" applyBorder="0" applyAlignment="0" applyProtection="0"/>
    <xf numFmtId="221" fontId="62" fillId="0" borderId="0" applyFont="0" applyFill="0" applyBorder="0" applyAlignment="0" applyProtection="0"/>
    <xf numFmtId="221" fontId="62" fillId="0" borderId="0" applyFont="0" applyFill="0" applyAlignment="0" applyProtection="0"/>
    <xf numFmtId="221" fontId="62" fillId="0" borderId="0" applyFont="0" applyFill="0" applyBorder="0" applyAlignment="0" applyProtection="0"/>
    <xf numFmtId="221" fontId="40" fillId="0" borderId="0" applyFont="0" applyFill="0" applyBorder="0" applyAlignment="0" applyProtection="0"/>
    <xf numFmtId="2" fontId="27" fillId="0" borderId="0" applyFont="0" applyFill="0" applyBorder="0" applyAlignment="0" applyProtection="0"/>
    <xf numFmtId="221" fontId="85" fillId="0" borderId="0"/>
    <xf numFmtId="190" fontId="86" fillId="0" borderId="0" applyNumberFormat="0" applyFill="0" applyBorder="0" applyAlignment="0" applyProtection="0"/>
    <xf numFmtId="221" fontId="40" fillId="0" borderId="0" applyFont="0" applyFill="0" applyBorder="0" applyAlignment="0" applyProtection="0"/>
    <xf numFmtId="221" fontId="60" fillId="0" borderId="0" applyFont="0" applyFill="0" applyBorder="0" applyProtection="0">
      <alignment horizontal="center" wrapText="1"/>
    </xf>
    <xf numFmtId="222" fontId="60" fillId="0" borderId="0" applyFont="0" applyFill="0" applyBorder="0" applyProtection="0">
      <alignment horizontal="right"/>
    </xf>
    <xf numFmtId="221" fontId="86" fillId="0" borderId="0" applyNumberFormat="0" applyFill="0" applyBorder="0" applyAlignment="0" applyProtection="0"/>
    <xf numFmtId="221" fontId="87" fillId="8" borderId="0" applyNumberFormat="0" applyFill="0" applyBorder="0" applyAlignment="0" applyProtection="0"/>
    <xf numFmtId="221" fontId="20" fillId="0" borderId="20" applyNumberFormat="0" applyAlignment="0" applyProtection="0">
      <alignment horizontal="left" vertical="center"/>
    </xf>
    <xf numFmtId="221" fontId="20" fillId="0" borderId="16">
      <alignment horizontal="left" vertical="center"/>
    </xf>
    <xf numFmtId="14" fontId="31" fillId="9" borderId="1">
      <alignment horizontal="center" vertical="center" wrapText="1"/>
    </xf>
    <xf numFmtId="221" fontId="76" fillId="0" borderId="0" applyFill="0" applyAlignment="0" applyProtection="0">
      <protection locked="0"/>
    </xf>
    <xf numFmtId="221" fontId="76" fillId="0" borderId="6" applyFill="0" applyAlignment="0" applyProtection="0">
      <protection locked="0"/>
    </xf>
    <xf numFmtId="221" fontId="88" fillId="0" borderId="1"/>
    <xf numFmtId="221" fontId="89" fillId="0" borderId="0"/>
    <xf numFmtId="221" fontId="90" fillId="0" borderId="6" applyNumberFormat="0" applyFill="0" applyAlignment="0" applyProtection="0"/>
    <xf numFmtId="221" fontId="83" fillId="10" borderId="0" applyNumberFormat="0" applyFont="0" applyBorder="0" applyAlignment="0" applyProtection="0"/>
    <xf numFmtId="221" fontId="58" fillId="3" borderId="14" applyNumberFormat="0" applyAlignment="0" applyProtection="0"/>
    <xf numFmtId="223" fontId="60" fillId="0" borderId="0" applyFont="0" applyFill="0" applyBorder="0" applyProtection="0">
      <alignment horizontal="left"/>
    </xf>
    <xf numFmtId="224" fontId="60" fillId="0" borderId="0" applyFont="0" applyFill="0" applyBorder="0" applyProtection="0">
      <alignment horizontal="left"/>
    </xf>
    <xf numFmtId="225" fontId="60" fillId="0" borderId="0" applyFont="0" applyFill="0" applyBorder="0" applyProtection="0">
      <alignment horizontal="left"/>
    </xf>
    <xf numFmtId="226" fontId="60" fillId="0" borderId="0" applyFont="0" applyFill="0" applyBorder="0" applyProtection="0">
      <alignment horizontal="left"/>
    </xf>
    <xf numFmtId="10" fontId="40" fillId="11" borderId="14" applyNumberFormat="0" applyBorder="0" applyAlignment="0" applyProtection="0"/>
    <xf numFmtId="5" fontId="91" fillId="0" borderId="0" applyBorder="0"/>
    <xf numFmtId="209" fontId="91" fillId="0" borderId="0" applyBorder="0"/>
    <xf numFmtId="7" fontId="91" fillId="0" borderId="0" applyBorder="0"/>
    <xf numFmtId="37" fontId="91" fillId="0" borderId="0" applyBorder="0"/>
    <xf numFmtId="190" fontId="91" fillId="0" borderId="0" applyBorder="0"/>
    <xf numFmtId="219" fontId="91" fillId="0" borderId="0" applyBorder="0"/>
    <xf numFmtId="39" fontId="91" fillId="0" borderId="0" applyBorder="0"/>
    <xf numFmtId="220" fontId="91" fillId="0" borderId="0" applyBorder="0"/>
    <xf numFmtId="221" fontId="83" fillId="0" borderId="3" applyNumberFormat="0" applyFont="0" applyFill="0" applyAlignment="0" applyProtection="0"/>
    <xf numFmtId="221" fontId="92" fillId="0" borderId="0"/>
    <xf numFmtId="227" fontId="27" fillId="0" borderId="0" applyFont="0" applyFill="0" applyBorder="0" applyAlignment="0" applyProtection="0"/>
    <xf numFmtId="228" fontId="27" fillId="0" borderId="0" applyFont="0" applyFill="0" applyBorder="0" applyAlignment="0" applyProtection="0"/>
    <xf numFmtId="229" fontId="27" fillId="0" borderId="0" applyFont="0" applyFill="0" applyBorder="0" applyAlignment="0" applyProtection="0"/>
    <xf numFmtId="230" fontId="27" fillId="0" borderId="0" applyFont="0" applyFill="0" applyBorder="0" applyAlignment="0" applyProtection="0"/>
    <xf numFmtId="221" fontId="27" fillId="0" borderId="0" applyFont="0" applyFill="0" applyBorder="0" applyAlignment="0" applyProtection="0">
      <alignment horizontal="right"/>
    </xf>
    <xf numFmtId="231" fontId="27" fillId="0" borderId="0" applyFont="0" applyFill="0" applyBorder="0" applyAlignment="0" applyProtection="0"/>
    <xf numFmtId="37" fontId="93" fillId="0" borderId="0"/>
    <xf numFmtId="221" fontId="62" fillId="0" borderId="0"/>
    <xf numFmtId="221" fontId="27" fillId="0" borderId="0"/>
    <xf numFmtId="221" fontId="27" fillId="0" borderId="0"/>
    <xf numFmtId="173" fontId="15" fillId="0" borderId="0" applyProtection="0"/>
    <xf numFmtId="221" fontId="27" fillId="0" borderId="0"/>
    <xf numFmtId="221" fontId="27" fillId="0" borderId="0"/>
    <xf numFmtId="221" fontId="27" fillId="0" borderId="0"/>
    <xf numFmtId="221" fontId="16" fillId="12" borderId="0" applyNumberFormat="0" applyFont="0" applyBorder="0" applyAlignment="0"/>
    <xf numFmtId="232" fontId="27" fillId="0" borderId="0" applyFont="0" applyFill="0" applyBorder="0" applyAlignment="0" applyProtection="0"/>
    <xf numFmtId="233" fontId="94" fillId="0" borderId="0"/>
    <xf numFmtId="232" fontId="27" fillId="0" borderId="0" applyFont="0" applyFill="0" applyBorder="0" applyAlignment="0" applyProtection="0"/>
    <xf numFmtId="232" fontId="27" fillId="0" borderId="0" applyFont="0" applyFill="0" applyBorder="0" applyAlignment="0" applyProtection="0"/>
    <xf numFmtId="232" fontId="27" fillId="0" borderId="0" applyFont="0" applyFill="0" applyBorder="0" applyAlignment="0" applyProtection="0"/>
    <xf numFmtId="234" fontId="27" fillId="0" borderId="0"/>
    <xf numFmtId="235" fontId="62" fillId="0" borderId="0"/>
    <xf numFmtId="235" fontId="62" fillId="0" borderId="0"/>
    <xf numFmtId="233" fontId="94" fillId="0" borderId="0"/>
    <xf numFmtId="221" fontId="62" fillId="0" borderId="0"/>
    <xf numFmtId="233" fontId="80" fillId="0" borderId="0"/>
    <xf numFmtId="234" fontId="27" fillId="0" borderId="0"/>
    <xf numFmtId="235" fontId="62" fillId="0" borderId="0"/>
    <xf numFmtId="235" fontId="62" fillId="0" borderId="0"/>
    <xf numFmtId="221" fontId="62" fillId="0" borderId="0"/>
    <xf numFmtId="221" fontId="62" fillId="0" borderId="0"/>
    <xf numFmtId="236" fontId="62" fillId="0" borderId="0"/>
    <xf numFmtId="170" fontId="62" fillId="0" borderId="0"/>
    <xf numFmtId="237" fontId="62" fillId="0" borderId="0"/>
    <xf numFmtId="236" fontId="62" fillId="0" borderId="0"/>
    <xf numFmtId="170" fontId="62" fillId="0" borderId="0"/>
    <xf numFmtId="238" fontId="62" fillId="0" borderId="0"/>
    <xf numFmtId="238" fontId="62" fillId="0" borderId="0"/>
    <xf numFmtId="239" fontId="62" fillId="0" borderId="0"/>
    <xf numFmtId="237" fontId="62" fillId="0" borderId="0"/>
    <xf numFmtId="169" fontId="62" fillId="0" borderId="0"/>
    <xf numFmtId="239" fontId="62" fillId="0" borderId="0"/>
    <xf numFmtId="239" fontId="62" fillId="0" borderId="0"/>
    <xf numFmtId="221" fontId="62" fillId="0" borderId="0"/>
    <xf numFmtId="232" fontId="27" fillId="0" borderId="0" applyFont="0" applyFill="0" applyBorder="0" applyAlignment="0" applyProtection="0"/>
    <xf numFmtId="232" fontId="27" fillId="0" borderId="0" applyFont="0" applyFill="0" applyBorder="0" applyAlignment="0" applyProtection="0"/>
    <xf numFmtId="232" fontId="27" fillId="0" borderId="0" applyFont="0" applyFill="0" applyBorder="0" applyAlignment="0" applyProtection="0"/>
    <xf numFmtId="233" fontId="94" fillId="0" borderId="0"/>
    <xf numFmtId="233" fontId="94" fillId="0" borderId="0"/>
    <xf numFmtId="232" fontId="27" fillId="0" borderId="0" applyFont="0" applyFill="0" applyBorder="0" applyAlignment="0" applyProtection="0"/>
    <xf numFmtId="233" fontId="94" fillId="0" borderId="0"/>
    <xf numFmtId="233" fontId="94" fillId="0" borderId="0"/>
    <xf numFmtId="236" fontId="62" fillId="0" borderId="0"/>
    <xf numFmtId="170" fontId="62" fillId="0" borderId="0"/>
    <xf numFmtId="237" fontId="62" fillId="0" borderId="0"/>
    <xf numFmtId="236" fontId="62" fillId="0" borderId="0"/>
    <xf numFmtId="170" fontId="62" fillId="0" borderId="0"/>
    <xf numFmtId="238" fontId="62" fillId="0" borderId="0"/>
    <xf numFmtId="238" fontId="62" fillId="0" borderId="0"/>
    <xf numFmtId="239" fontId="62" fillId="0" borderId="0"/>
    <xf numFmtId="237" fontId="62" fillId="0" borderId="0"/>
    <xf numFmtId="169" fontId="62" fillId="0" borderId="0"/>
    <xf numFmtId="239" fontId="62" fillId="0" borderId="0"/>
    <xf numFmtId="239" fontId="62" fillId="0" borderId="0"/>
    <xf numFmtId="240" fontId="59" fillId="5" borderId="0" applyFont="0" applyFill="0" applyBorder="0" applyAlignment="0" applyProtection="0"/>
    <xf numFmtId="241" fontId="59" fillId="5" borderId="0" applyFont="0" applyFill="0" applyBorder="0" applyAlignment="0" applyProtection="0"/>
    <xf numFmtId="242" fontId="27" fillId="0" borderId="0" applyFont="0" applyFill="0" applyBorder="0" applyAlignment="0" applyProtection="0"/>
    <xf numFmtId="243" fontId="79" fillId="0" borderId="0" applyFont="0" applyFill="0" applyBorder="0" applyAlignment="0" applyProtection="0"/>
    <xf numFmtId="244" fontId="78" fillId="0" borderId="0" applyFont="0" applyFill="0" applyBorder="0" applyAlignment="0" applyProtection="0"/>
    <xf numFmtId="245" fontId="27" fillId="0" borderId="0" applyFont="0" applyFill="0" applyBorder="0" applyAlignment="0" applyProtection="0"/>
    <xf numFmtId="246" fontId="60" fillId="0" borderId="0" applyFont="0" applyFill="0" applyBorder="0" applyAlignment="0" applyProtection="0"/>
    <xf numFmtId="247" fontId="60" fillId="0" borderId="0" applyFont="0" applyFill="0" applyBorder="0" applyAlignment="0" applyProtection="0"/>
    <xf numFmtId="248" fontId="60" fillId="0" borderId="0" applyFont="0" applyFill="0" applyBorder="0" applyAlignment="0" applyProtection="0"/>
    <xf numFmtId="249" fontId="60" fillId="0" borderId="0" applyFont="0" applyFill="0" applyBorder="0" applyAlignment="0" applyProtection="0"/>
    <xf numFmtId="250" fontId="79" fillId="0" borderId="0" applyFont="0" applyFill="0" applyBorder="0" applyAlignment="0" applyProtection="0"/>
    <xf numFmtId="251" fontId="78" fillId="0" borderId="0" applyFont="0" applyFill="0" applyBorder="0" applyAlignment="0" applyProtection="0"/>
    <xf numFmtId="252" fontId="79" fillId="0" borderId="0" applyFont="0" applyFill="0" applyBorder="0" applyAlignment="0" applyProtection="0"/>
    <xf numFmtId="253" fontId="78" fillId="0" borderId="0" applyFont="0" applyFill="0" applyBorder="0" applyAlignment="0" applyProtection="0"/>
    <xf numFmtId="254" fontId="79" fillId="0" borderId="0" applyFont="0" applyFill="0" applyBorder="0" applyAlignment="0" applyProtection="0"/>
    <xf numFmtId="255" fontId="78" fillId="0" borderId="0" applyFont="0" applyFill="0" applyBorder="0" applyAlignment="0" applyProtection="0"/>
    <xf numFmtId="256" fontId="44" fillId="0" borderId="0" applyFont="0" applyFill="0" applyBorder="0" applyAlignment="0" applyProtection="0">
      <protection locked="0"/>
    </xf>
    <xf numFmtId="257" fontId="78"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84" fontId="80" fillId="0" borderId="0" applyFill="0" applyBorder="0" applyAlignment="0" applyProtection="0"/>
    <xf numFmtId="9" fontId="84" fillId="0" borderId="0" applyBorder="0"/>
    <xf numFmtId="258" fontId="84" fillId="0" borderId="0" applyBorder="0"/>
    <xf numFmtId="10" fontId="84" fillId="0" borderId="0" applyBorder="0"/>
    <xf numFmtId="221" fontId="48" fillId="0" borderId="0" applyNumberFormat="0" applyFont="0" applyFill="0" applyBorder="0" applyAlignment="0" applyProtection="0">
      <alignment horizontal="left"/>
    </xf>
    <xf numFmtId="15" fontId="48" fillId="0" borderId="0" applyFont="0" applyFill="0" applyBorder="0" applyAlignment="0" applyProtection="0"/>
    <xf numFmtId="4" fontId="48" fillId="0" borderId="0" applyFont="0" applyFill="0" applyBorder="0" applyAlignment="0" applyProtection="0"/>
    <xf numFmtId="3" fontId="27" fillId="0" borderId="0">
      <alignment horizontal="left" vertical="top"/>
    </xf>
    <xf numFmtId="221" fontId="95" fillId="0" borderId="1">
      <alignment horizontal="center"/>
    </xf>
    <xf numFmtId="3" fontId="48" fillId="0" borderId="0" applyFont="0" applyFill="0" applyBorder="0" applyAlignment="0" applyProtection="0"/>
    <xf numFmtId="221" fontId="48" fillId="13" borderId="0" applyNumberFormat="0" applyFont="0" applyBorder="0" applyAlignment="0" applyProtection="0"/>
    <xf numFmtId="3" fontId="27" fillId="0" borderId="0">
      <alignment horizontal="right" vertical="top"/>
    </xf>
    <xf numFmtId="41" fontId="18" fillId="14" borderId="17" applyFill="0"/>
    <xf numFmtId="221" fontId="96" fillId="0" borderId="0">
      <alignment horizontal="left" indent="7"/>
    </xf>
    <xf numFmtId="41" fontId="18" fillId="0" borderId="17" applyFill="0">
      <alignment horizontal="left" indent="2"/>
    </xf>
    <xf numFmtId="173" fontId="76" fillId="0" borderId="6" applyFill="0">
      <alignment horizontal="right"/>
    </xf>
    <xf numFmtId="221" fontId="31" fillId="0" borderId="14" applyNumberFormat="0" applyFont="0" applyBorder="0">
      <alignment horizontal="right"/>
    </xf>
    <xf numFmtId="221" fontId="97" fillId="0" borderId="0" applyFill="0"/>
    <xf numFmtId="221" fontId="20" fillId="0" borderId="0" applyFill="0"/>
    <xf numFmtId="4" fontId="76" fillId="0" borderId="6" applyFill="0"/>
    <xf numFmtId="221" fontId="27" fillId="0" borderId="0" applyNumberFormat="0" applyFont="0" applyBorder="0" applyAlignment="0"/>
    <xf numFmtId="221" fontId="66" fillId="0" borderId="0" applyFill="0">
      <alignment horizontal="left" indent="1"/>
    </xf>
    <xf numFmtId="221" fontId="98" fillId="0" borderId="0" applyFill="0">
      <alignment horizontal="left" indent="1"/>
    </xf>
    <xf numFmtId="4" fontId="59" fillId="0" borderId="0" applyFill="0"/>
    <xf numFmtId="221" fontId="27" fillId="0" borderId="0" applyNumberFormat="0" applyFont="0" applyFill="0" applyBorder="0" applyAlignment="0"/>
    <xf numFmtId="221" fontId="66" fillId="0" borderId="0" applyFill="0">
      <alignment horizontal="left" indent="2"/>
    </xf>
    <xf numFmtId="221" fontId="20" fillId="0" borderId="0" applyFill="0">
      <alignment horizontal="left" indent="2"/>
    </xf>
    <xf numFmtId="4" fontId="59" fillId="0" borderId="0" applyFill="0"/>
    <xf numFmtId="221" fontId="27" fillId="0" borderId="0" applyNumberFormat="0" applyFont="0" applyBorder="0" applyAlignment="0"/>
    <xf numFmtId="221" fontId="99" fillId="0" borderId="0">
      <alignment horizontal="left" indent="3"/>
    </xf>
    <xf numFmtId="221" fontId="22" fillId="0" borderId="0" applyFill="0">
      <alignment horizontal="left" indent="3"/>
    </xf>
    <xf numFmtId="4" fontId="59" fillId="0" borderId="0" applyFill="0"/>
    <xf numFmtId="221" fontId="27" fillId="0" borderId="0" applyNumberFormat="0" applyFont="0" applyBorder="0" applyAlignment="0"/>
    <xf numFmtId="221" fontId="68" fillId="0" borderId="0">
      <alignment horizontal="left" indent="4"/>
    </xf>
    <xf numFmtId="221" fontId="27" fillId="0" borderId="0" applyFill="0">
      <alignment horizontal="left" indent="4"/>
    </xf>
    <xf numFmtId="4" fontId="69" fillId="0" borderId="0" applyFill="0"/>
    <xf numFmtId="221" fontId="27" fillId="0" borderId="0" applyNumberFormat="0" applyFont="0" applyBorder="0" applyAlignment="0"/>
    <xf numFmtId="221" fontId="70" fillId="0" borderId="0">
      <alignment horizontal="left" indent="5"/>
    </xf>
    <xf numFmtId="221" fontId="71" fillId="0" borderId="0" applyFill="0">
      <alignment horizontal="left" indent="5"/>
    </xf>
    <xf numFmtId="4" fontId="72" fillId="0" borderId="0" applyFill="0"/>
    <xf numFmtId="221" fontId="27" fillId="0" borderId="0" applyNumberFormat="0" applyFont="0" applyFill="0" applyBorder="0" applyAlignment="0"/>
    <xf numFmtId="221" fontId="73" fillId="0" borderId="0" applyFill="0">
      <alignment horizontal="left" indent="6"/>
    </xf>
    <xf numFmtId="221" fontId="69" fillId="0" borderId="0" applyFill="0">
      <alignment horizontal="left" indent="6"/>
    </xf>
    <xf numFmtId="221" fontId="83" fillId="0" borderId="4" applyNumberFormat="0" applyFont="0" applyFill="0" applyAlignment="0" applyProtection="0"/>
    <xf numFmtId="221" fontId="100" fillId="0" borderId="0" applyNumberFormat="0" applyFill="0" applyBorder="0" applyAlignment="0" applyProtection="0"/>
    <xf numFmtId="221" fontId="101" fillId="0" borderId="0"/>
    <xf numFmtId="221" fontId="101" fillId="0" borderId="0"/>
    <xf numFmtId="221" fontId="102" fillId="0" borderId="1">
      <alignment horizontal="right"/>
    </xf>
    <xf numFmtId="259" fontId="81" fillId="0" borderId="0">
      <alignment horizontal="center"/>
    </xf>
    <xf numFmtId="260" fontId="103" fillId="0" borderId="0">
      <alignment horizontal="center"/>
    </xf>
    <xf numFmtId="221" fontId="104" fillId="0" borderId="0" applyNumberFormat="0" applyFill="0" applyBorder="0" applyAlignment="0" applyProtection="0"/>
    <xf numFmtId="221" fontId="105" fillId="0" borderId="0" applyNumberFormat="0" applyBorder="0" applyAlignment="0"/>
    <xf numFmtId="221" fontId="106" fillId="0" borderId="0" applyNumberFormat="0" applyBorder="0" applyAlignment="0"/>
    <xf numFmtId="221" fontId="83" fillId="7" borderId="0" applyNumberFormat="0" applyFont="0" applyBorder="0" applyAlignment="0" applyProtection="0"/>
    <xf numFmtId="240" fontId="107" fillId="0" borderId="16" applyNumberFormat="0" applyFont="0" applyFill="0" applyAlignment="0" applyProtection="0"/>
    <xf numFmtId="221" fontId="108" fillId="0" borderId="0" applyFill="0" applyBorder="0" applyProtection="0">
      <alignment horizontal="left" vertical="top"/>
    </xf>
    <xf numFmtId="221" fontId="109" fillId="0" borderId="0" applyAlignment="0">
      <alignment horizontal="centerContinuous"/>
    </xf>
    <xf numFmtId="221" fontId="27" fillId="0" borderId="10" applyNumberFormat="0" applyFont="0" applyFill="0" applyAlignment="0" applyProtection="0"/>
    <xf numFmtId="221" fontId="110" fillId="0" borderId="0" applyNumberFormat="0" applyFill="0" applyBorder="0" applyAlignment="0" applyProtection="0"/>
    <xf numFmtId="261" fontId="78" fillId="0" borderId="0" applyFont="0" applyFill="0" applyBorder="0" applyAlignment="0" applyProtection="0"/>
    <xf numFmtId="262" fontId="78" fillId="0" borderId="0" applyFont="0" applyFill="0" applyBorder="0" applyAlignment="0" applyProtection="0"/>
    <xf numFmtId="263" fontId="78" fillId="0" borderId="0" applyFont="0" applyFill="0" applyBorder="0" applyAlignment="0" applyProtection="0"/>
    <xf numFmtId="264" fontId="78" fillId="0" borderId="0" applyFont="0" applyFill="0" applyBorder="0" applyAlignment="0" applyProtection="0"/>
    <xf numFmtId="265" fontId="78" fillId="0" borderId="0" applyFont="0" applyFill="0" applyBorder="0" applyAlignment="0" applyProtection="0"/>
    <xf numFmtId="266" fontId="78" fillId="0" borderId="0" applyFont="0" applyFill="0" applyBorder="0" applyAlignment="0" applyProtection="0"/>
    <xf numFmtId="267" fontId="78" fillId="0" borderId="0" applyFont="0" applyFill="0" applyBorder="0" applyAlignment="0" applyProtection="0"/>
    <xf numFmtId="268" fontId="78" fillId="0" borderId="0" applyFont="0" applyFill="0" applyBorder="0" applyAlignment="0" applyProtection="0"/>
    <xf numFmtId="269" fontId="111" fillId="7" borderId="21" applyFont="0" applyFill="0" applyBorder="0" applyAlignment="0" applyProtection="0"/>
    <xf numFmtId="269" fontId="62" fillId="0" borderId="0" applyFont="0" applyFill="0" applyBorder="0" applyAlignment="0" applyProtection="0"/>
    <xf numFmtId="270" fontId="75" fillId="0" borderId="0" applyFont="0" applyFill="0" applyBorder="0" applyAlignment="0" applyProtection="0"/>
    <xf numFmtId="271" fontId="81" fillId="0" borderId="16" applyFont="0" applyFill="0" applyBorder="0" applyAlignment="0" applyProtection="0">
      <alignment horizontal="right"/>
      <protection locked="0"/>
    </xf>
    <xf numFmtId="173" fontId="15" fillId="0" borderId="0" applyProtection="0"/>
    <xf numFmtId="221" fontId="115" fillId="0" borderId="0"/>
    <xf numFmtId="43" fontId="15" fillId="0" borderId="0" applyFont="0" applyFill="0" applyBorder="0" applyAlignment="0" applyProtection="0"/>
    <xf numFmtId="221" fontId="14" fillId="0" borderId="0"/>
    <xf numFmtId="221" fontId="123" fillId="0" borderId="0"/>
    <xf numFmtId="221" fontId="127" fillId="0" borderId="0"/>
    <xf numFmtId="43" fontId="27" fillId="0" borderId="0" applyFont="0" applyFill="0" applyBorder="0" applyAlignment="0" applyProtection="0"/>
    <xf numFmtId="44" fontId="27" fillId="0" borderId="0" applyFont="0" applyFill="0" applyBorder="0" applyAlignment="0" applyProtection="0"/>
    <xf numFmtId="9" fontId="27"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xf numFmtId="44" fontId="27" fillId="0" borderId="0" applyFont="0" applyFill="0" applyBorder="0" applyAlignment="0" applyProtection="0"/>
    <xf numFmtId="43" fontId="27" fillId="0" borderId="0" applyFont="0" applyFill="0" applyBorder="0" applyAlignment="0" applyProtection="0"/>
    <xf numFmtId="221" fontId="27" fillId="0" borderId="0"/>
    <xf numFmtId="221" fontId="13" fillId="0" borderId="0"/>
    <xf numFmtId="221" fontId="127" fillId="0" borderId="0"/>
    <xf numFmtId="221" fontId="127" fillId="0" borderId="0"/>
    <xf numFmtId="221" fontId="27" fillId="0" borderId="0"/>
    <xf numFmtId="44" fontId="27" fillId="0" borderId="0" applyFont="0" applyFill="0" applyBorder="0" applyAlignment="0" applyProtection="0"/>
    <xf numFmtId="221" fontId="27" fillId="0" borderId="0"/>
    <xf numFmtId="44" fontId="27" fillId="0" borderId="0" applyFont="0" applyFill="0" applyBorder="0" applyAlignment="0" applyProtection="0"/>
    <xf numFmtId="221" fontId="27" fillId="0" borderId="0"/>
    <xf numFmtId="44" fontId="27" fillId="0" borderId="0" applyFont="0" applyFill="0" applyBorder="0" applyAlignment="0" applyProtection="0"/>
    <xf numFmtId="221" fontId="27" fillId="0" borderId="0"/>
    <xf numFmtId="44" fontId="27" fillId="0" borderId="0" applyFont="0" applyFill="0" applyBorder="0" applyAlignment="0" applyProtection="0"/>
    <xf numFmtId="221" fontId="27" fillId="0" borderId="0"/>
    <xf numFmtId="44" fontId="27" fillId="0" borderId="0" applyFont="0" applyFill="0" applyBorder="0" applyAlignment="0" applyProtection="0"/>
    <xf numFmtId="221" fontId="27" fillId="0" borderId="0"/>
    <xf numFmtId="44" fontId="27" fillId="0" borderId="0" applyFont="0" applyFill="0" applyBorder="0" applyAlignment="0" applyProtection="0"/>
    <xf numFmtId="43" fontId="27" fillId="0" borderId="0" applyFont="0" applyFill="0" applyBorder="0" applyAlignment="0" applyProtection="0"/>
    <xf numFmtId="221" fontId="27" fillId="0" borderId="0"/>
    <xf numFmtId="43" fontId="27" fillId="0" borderId="0" applyFont="0" applyFill="0" applyBorder="0" applyAlignment="0" applyProtection="0"/>
    <xf numFmtId="221" fontId="12" fillId="0" borderId="0"/>
    <xf numFmtId="221" fontId="11" fillId="0" borderId="0"/>
    <xf numFmtId="221" fontId="127" fillId="0" borderId="0"/>
    <xf numFmtId="43" fontId="1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221" fontId="11" fillId="0" borderId="0"/>
    <xf numFmtId="43" fontId="27" fillId="0" borderId="0" applyFont="0" applyFill="0" applyBorder="0" applyAlignment="0" applyProtection="0"/>
    <xf numFmtId="221" fontId="27" fillId="0" borderId="0"/>
    <xf numFmtId="221" fontId="27" fillId="0" borderId="0"/>
    <xf numFmtId="221" fontId="27" fillId="0" borderId="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221" fontId="10" fillId="0" borderId="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221" fontId="9" fillId="0" borderId="0"/>
    <xf numFmtId="43" fontId="27" fillId="0" borderId="0" applyFont="0" applyFill="0" applyBorder="0" applyAlignment="0" applyProtection="0"/>
    <xf numFmtId="221" fontId="8" fillId="0" borderId="0"/>
    <xf numFmtId="43" fontId="27" fillId="0" borderId="0" applyFont="0" applyFill="0" applyBorder="0" applyAlignment="0" applyProtection="0"/>
    <xf numFmtId="221" fontId="27" fillId="0" borderId="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221" fontId="27" fillId="0" borderId="0"/>
    <xf numFmtId="43" fontId="27" fillId="0" borderId="0" applyFont="0" applyFill="0" applyBorder="0" applyAlignment="0" applyProtection="0"/>
    <xf numFmtId="44" fontId="27" fillId="0" borderId="0" applyFont="0" applyFill="0" applyBorder="0" applyAlignment="0" applyProtection="0"/>
    <xf numFmtId="43" fontId="27" fillId="0" borderId="0" applyFont="0" applyFill="0" applyBorder="0" applyAlignment="0" applyProtection="0"/>
    <xf numFmtId="43" fontId="127" fillId="0" borderId="0" applyFont="0" applyFill="0" applyBorder="0" applyAlignment="0" applyProtection="0"/>
    <xf numFmtId="221" fontId="48" fillId="0" borderId="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221" fontId="7" fillId="0" borderId="0"/>
    <xf numFmtId="221" fontId="27" fillId="0" borderId="0"/>
    <xf numFmtId="221" fontId="7" fillId="0" borderId="0"/>
    <xf numFmtId="43" fontId="27" fillId="0" borderId="0" applyFont="0" applyFill="0" applyBorder="0" applyAlignment="0" applyProtection="0"/>
    <xf numFmtId="221" fontId="7" fillId="0" borderId="0"/>
    <xf numFmtId="221" fontId="7" fillId="0" borderId="0"/>
    <xf numFmtId="43" fontId="27" fillId="0" borderId="0" applyFont="0" applyFill="0" applyBorder="0" applyAlignment="0" applyProtection="0"/>
    <xf numFmtId="221" fontId="7" fillId="0" borderId="0"/>
    <xf numFmtId="43" fontId="27" fillId="0" borderId="0" applyFont="0" applyFill="0" applyBorder="0" applyAlignment="0" applyProtection="0"/>
    <xf numFmtId="221" fontId="7" fillId="0" borderId="0"/>
    <xf numFmtId="221" fontId="7" fillId="0" borderId="0"/>
    <xf numFmtId="221" fontId="7" fillId="0" borderId="0"/>
    <xf numFmtId="221" fontId="7" fillId="0" borderId="0"/>
    <xf numFmtId="221" fontId="7" fillId="0" borderId="0"/>
    <xf numFmtId="43" fontId="27" fillId="0" borderId="0" applyFont="0" applyFill="0" applyBorder="0" applyAlignment="0" applyProtection="0"/>
    <xf numFmtId="221" fontId="7" fillId="0" borderId="0"/>
    <xf numFmtId="43" fontId="27" fillId="0" borderId="0" applyFont="0" applyFill="0" applyBorder="0" applyAlignment="0" applyProtection="0"/>
    <xf numFmtId="221" fontId="7" fillId="0" borderId="0"/>
    <xf numFmtId="221" fontId="7" fillId="0" borderId="0"/>
    <xf numFmtId="221" fontId="7" fillId="0" borderId="0"/>
    <xf numFmtId="221" fontId="7" fillId="0" borderId="0"/>
    <xf numFmtId="221" fontId="7" fillId="0" borderId="0"/>
    <xf numFmtId="43" fontId="27" fillId="0" borderId="0" applyFont="0" applyFill="0" applyBorder="0" applyAlignment="0" applyProtection="0"/>
    <xf numFmtId="221" fontId="7" fillId="0" borderId="0"/>
    <xf numFmtId="221" fontId="7" fillId="0" borderId="0"/>
    <xf numFmtId="221" fontId="7" fillId="0" borderId="0"/>
    <xf numFmtId="221" fontId="7" fillId="0" borderId="0"/>
    <xf numFmtId="221" fontId="7" fillId="0" borderId="0"/>
    <xf numFmtId="221" fontId="7" fillId="0" borderId="0"/>
    <xf numFmtId="221" fontId="7" fillId="0" borderId="0"/>
    <xf numFmtId="221" fontId="7" fillId="0" borderId="0"/>
    <xf numFmtId="43" fontId="27" fillId="0" borderId="0" applyFont="0" applyFill="0" applyBorder="0" applyAlignment="0" applyProtection="0"/>
    <xf numFmtId="43" fontId="27" fillId="0" borderId="0" applyFont="0" applyFill="0" applyBorder="0" applyAlignment="0" applyProtection="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221" fontId="6" fillId="0" borderId="0"/>
    <xf numFmtId="43" fontId="27" fillId="0" borderId="0" applyFont="0" applyFill="0" applyBorder="0" applyAlignment="0" applyProtection="0"/>
    <xf numFmtId="221" fontId="5" fillId="0" borderId="0"/>
    <xf numFmtId="221" fontId="5" fillId="0" borderId="0"/>
    <xf numFmtId="221" fontId="5" fillId="0" borderId="0"/>
    <xf numFmtId="221" fontId="5" fillId="0" borderId="0"/>
    <xf numFmtId="221" fontId="5" fillId="0" borderId="0"/>
    <xf numFmtId="221" fontId="5" fillId="0" borderId="0"/>
    <xf numFmtId="221" fontId="5" fillId="0" borderId="0"/>
    <xf numFmtId="221" fontId="5" fillId="0" borderId="0"/>
    <xf numFmtId="221" fontId="143" fillId="0" borderId="0" applyNumberFormat="0" applyFill="0" applyBorder="0" applyAlignment="0" applyProtection="0"/>
    <xf numFmtId="221" fontId="144" fillId="0" borderId="26" applyNumberFormat="0" applyFill="0" applyAlignment="0" applyProtection="0"/>
    <xf numFmtId="221" fontId="145" fillId="0" borderId="27" applyNumberFormat="0" applyFill="0" applyAlignment="0" applyProtection="0"/>
    <xf numFmtId="221" fontId="146" fillId="0" borderId="28" applyNumberFormat="0" applyFill="0" applyAlignment="0" applyProtection="0"/>
    <xf numFmtId="221" fontId="146" fillId="0" borderId="0" applyNumberFormat="0" applyFill="0" applyBorder="0" applyAlignment="0" applyProtection="0"/>
    <xf numFmtId="221" fontId="147" fillId="18" borderId="0" applyNumberFormat="0" applyBorder="0" applyAlignment="0" applyProtection="0"/>
    <xf numFmtId="221" fontId="148" fillId="19" borderId="0" applyNumberFormat="0" applyBorder="0" applyAlignment="0" applyProtection="0"/>
    <xf numFmtId="221" fontId="149" fillId="20" borderId="0" applyNumberFormat="0" applyBorder="0" applyAlignment="0" applyProtection="0"/>
    <xf numFmtId="221" fontId="150" fillId="21" borderId="29" applyNumberFormat="0" applyAlignment="0" applyProtection="0"/>
    <xf numFmtId="221" fontId="151" fillId="22" borderId="30" applyNumberFormat="0" applyAlignment="0" applyProtection="0"/>
    <xf numFmtId="221" fontId="152" fillId="22" borderId="29" applyNumberFormat="0" applyAlignment="0" applyProtection="0"/>
    <xf numFmtId="221" fontId="153" fillId="0" borderId="31" applyNumberFormat="0" applyFill="0" applyAlignment="0" applyProtection="0"/>
    <xf numFmtId="221" fontId="154" fillId="23" borderId="32" applyNumberFormat="0" applyAlignment="0" applyProtection="0"/>
    <xf numFmtId="221" fontId="155" fillId="0" borderId="0" applyNumberFormat="0" applyFill="0" applyBorder="0" applyAlignment="0" applyProtection="0"/>
    <xf numFmtId="221" fontId="156" fillId="0" borderId="0" applyNumberFormat="0" applyFill="0" applyBorder="0" applyAlignment="0" applyProtection="0"/>
    <xf numFmtId="221" fontId="157" fillId="0" borderId="34" applyNumberFormat="0" applyFill="0" applyAlignment="0" applyProtection="0"/>
    <xf numFmtId="221" fontId="158" fillId="25" borderId="0" applyNumberFormat="0" applyBorder="0" applyAlignment="0" applyProtection="0"/>
    <xf numFmtId="221" fontId="4" fillId="26" borderId="0" applyNumberFormat="0" applyBorder="0" applyAlignment="0" applyProtection="0"/>
    <xf numFmtId="221" fontId="4" fillId="27" borderId="0" applyNumberFormat="0" applyBorder="0" applyAlignment="0" applyProtection="0"/>
    <xf numFmtId="221" fontId="158" fillId="28" borderId="0" applyNumberFormat="0" applyBorder="0" applyAlignment="0" applyProtection="0"/>
    <xf numFmtId="221" fontId="158" fillId="29" borderId="0" applyNumberFormat="0" applyBorder="0" applyAlignment="0" applyProtection="0"/>
    <xf numFmtId="221" fontId="4" fillId="30" borderId="0" applyNumberFormat="0" applyBorder="0" applyAlignment="0" applyProtection="0"/>
    <xf numFmtId="221" fontId="4" fillId="31" borderId="0" applyNumberFormat="0" applyBorder="0" applyAlignment="0" applyProtection="0"/>
    <xf numFmtId="221" fontId="158" fillId="32" borderId="0" applyNumberFormat="0" applyBorder="0" applyAlignment="0" applyProtection="0"/>
    <xf numFmtId="221" fontId="158" fillId="33" borderId="0" applyNumberFormat="0" applyBorder="0" applyAlignment="0" applyProtection="0"/>
    <xf numFmtId="221" fontId="4" fillId="34" borderId="0" applyNumberFormat="0" applyBorder="0" applyAlignment="0" applyProtection="0"/>
    <xf numFmtId="221" fontId="4" fillId="35" borderId="0" applyNumberFormat="0" applyBorder="0" applyAlignment="0" applyProtection="0"/>
    <xf numFmtId="221" fontId="158" fillId="36" borderId="0" applyNumberFormat="0" applyBorder="0" applyAlignment="0" applyProtection="0"/>
    <xf numFmtId="221" fontId="158" fillId="37" borderId="0" applyNumberFormat="0" applyBorder="0" applyAlignment="0" applyProtection="0"/>
    <xf numFmtId="221" fontId="4" fillId="38" borderId="0" applyNumberFormat="0" applyBorder="0" applyAlignment="0" applyProtection="0"/>
    <xf numFmtId="221" fontId="4" fillId="39" borderId="0" applyNumberFormat="0" applyBorder="0" applyAlignment="0" applyProtection="0"/>
    <xf numFmtId="221" fontId="158" fillId="40" borderId="0" applyNumberFormat="0" applyBorder="0" applyAlignment="0" applyProtection="0"/>
    <xf numFmtId="221" fontId="158" fillId="41" borderId="0" applyNumberFormat="0" applyBorder="0" applyAlignment="0" applyProtection="0"/>
    <xf numFmtId="221" fontId="4" fillId="42" borderId="0" applyNumberFormat="0" applyBorder="0" applyAlignment="0" applyProtection="0"/>
    <xf numFmtId="221" fontId="4" fillId="43" borderId="0" applyNumberFormat="0" applyBorder="0" applyAlignment="0" applyProtection="0"/>
    <xf numFmtId="221" fontId="158" fillId="44" borderId="0" applyNumberFormat="0" applyBorder="0" applyAlignment="0" applyProtection="0"/>
    <xf numFmtId="221" fontId="158" fillId="45" borderId="0" applyNumberFormat="0" applyBorder="0" applyAlignment="0" applyProtection="0"/>
    <xf numFmtId="221" fontId="4" fillId="46" borderId="0" applyNumberFormat="0" applyBorder="0" applyAlignment="0" applyProtection="0"/>
    <xf numFmtId="221" fontId="4" fillId="47" borderId="0" applyNumberFormat="0" applyBorder="0" applyAlignment="0" applyProtection="0"/>
    <xf numFmtId="221" fontId="158" fillId="48" borderId="0" applyNumberFormat="0" applyBorder="0" applyAlignment="0" applyProtection="0"/>
    <xf numFmtId="221" fontId="4" fillId="0" borderId="0"/>
    <xf numFmtId="221" fontId="4" fillId="0" borderId="0"/>
    <xf numFmtId="221" fontId="4" fillId="0" borderId="0"/>
    <xf numFmtId="221" fontId="4" fillId="0" borderId="0"/>
    <xf numFmtId="221" fontId="4" fillId="24" borderId="33" applyNumberFormat="0" applyFont="0" applyAlignment="0" applyProtection="0"/>
    <xf numFmtId="221" fontId="4" fillId="0" borderId="0"/>
    <xf numFmtId="221" fontId="4" fillId="0" borderId="0"/>
    <xf numFmtId="221" fontId="4" fillId="0" borderId="0"/>
    <xf numFmtId="221" fontId="4" fillId="0" borderId="0"/>
    <xf numFmtId="221" fontId="4" fillId="0" borderId="0"/>
    <xf numFmtId="221" fontId="4" fillId="0" borderId="0"/>
    <xf numFmtId="221"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1" fontId="3" fillId="0" borderId="0"/>
    <xf numFmtId="0" fontId="4" fillId="0" borderId="0"/>
    <xf numFmtId="0" fontId="27" fillId="0" borderId="0"/>
    <xf numFmtId="44" fontId="4" fillId="0" borderId="0" applyFont="0" applyFill="0" applyBorder="0" applyAlignment="0" applyProtection="0"/>
    <xf numFmtId="9" fontId="4" fillId="0" borderId="0" applyFont="0" applyFill="0" applyBorder="0" applyAlignment="0" applyProtection="0"/>
    <xf numFmtId="0" fontId="27" fillId="0" borderId="0"/>
    <xf numFmtId="0" fontId="163" fillId="54" borderId="0" applyNumberFormat="0" applyBorder="0" applyAlignment="0" applyProtection="0"/>
    <xf numFmtId="0" fontId="163" fillId="5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163" fillId="54" borderId="0" applyNumberFormat="0" applyBorder="0" applyAlignment="0" applyProtection="0"/>
    <xf numFmtId="0" fontId="163" fillId="5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163" fillId="55" borderId="0" applyNumberFormat="0" applyBorder="0" applyAlignment="0" applyProtection="0"/>
    <xf numFmtId="0" fontId="163" fillId="55"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163" fillId="55" borderId="0" applyNumberFormat="0" applyBorder="0" applyAlignment="0" applyProtection="0"/>
    <xf numFmtId="0" fontId="163" fillId="55"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163" fillId="56" borderId="0" applyNumberFormat="0" applyBorder="0" applyAlignment="0" applyProtection="0"/>
    <xf numFmtId="0" fontId="163" fillId="56"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163" fillId="56" borderId="0" applyNumberFormat="0" applyBorder="0" applyAlignment="0" applyProtection="0"/>
    <xf numFmtId="0" fontId="163" fillId="56"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163" fillId="57" borderId="0" applyNumberFormat="0" applyBorder="0" applyAlignment="0" applyProtection="0"/>
    <xf numFmtId="0" fontId="163" fillId="5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163" fillId="57" borderId="0" applyNumberFormat="0" applyBorder="0" applyAlignment="0" applyProtection="0"/>
    <xf numFmtId="0" fontId="163" fillId="5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163" fillId="58" borderId="0" applyNumberFormat="0" applyBorder="0" applyAlignment="0" applyProtection="0"/>
    <xf numFmtId="0" fontId="163" fillId="58"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163" fillId="58" borderId="0" applyNumberFormat="0" applyBorder="0" applyAlignment="0" applyProtection="0"/>
    <xf numFmtId="0" fontId="163" fillId="58"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163" fillId="59" borderId="0" applyNumberFormat="0" applyBorder="0" applyAlignment="0" applyProtection="0"/>
    <xf numFmtId="0" fontId="163" fillId="59"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163" fillId="59" borderId="0" applyNumberFormat="0" applyBorder="0" applyAlignment="0" applyProtection="0"/>
    <xf numFmtId="0" fontId="163" fillId="59"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163" fillId="49" borderId="0" applyNumberFormat="0" applyBorder="0" applyAlignment="0" applyProtection="0"/>
    <xf numFmtId="0" fontId="163" fillId="49"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163" fillId="49" borderId="0" applyNumberFormat="0" applyBorder="0" applyAlignment="0" applyProtection="0"/>
    <xf numFmtId="0" fontId="163" fillId="49"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163" fillId="60" borderId="0" applyNumberFormat="0" applyBorder="0" applyAlignment="0" applyProtection="0"/>
    <xf numFmtId="0" fontId="163" fillId="60"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163" fillId="60" borderId="0" applyNumberFormat="0" applyBorder="0" applyAlignment="0" applyProtection="0"/>
    <xf numFmtId="0" fontId="163" fillId="60"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163" fillId="50" borderId="0" applyNumberFormat="0" applyBorder="0" applyAlignment="0" applyProtection="0"/>
    <xf numFmtId="0" fontId="163" fillId="50"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163" fillId="50" borderId="0" applyNumberFormat="0" applyBorder="0" applyAlignment="0" applyProtection="0"/>
    <xf numFmtId="0" fontId="163" fillId="50"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163" fillId="51" borderId="0" applyNumberFormat="0" applyBorder="0" applyAlignment="0" applyProtection="0"/>
    <xf numFmtId="0" fontId="163" fillId="51"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163" fillId="51" borderId="0" applyNumberFormat="0" applyBorder="0" applyAlignment="0" applyProtection="0"/>
    <xf numFmtId="0" fontId="163" fillId="51"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163" fillId="61" borderId="0" applyNumberFormat="0" applyBorder="0" applyAlignment="0" applyProtection="0"/>
    <xf numFmtId="0" fontId="163" fillId="61"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163" fillId="61" borderId="0" applyNumberFormat="0" applyBorder="0" applyAlignment="0" applyProtection="0"/>
    <xf numFmtId="0" fontId="163" fillId="61"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163" fillId="52" borderId="0" applyNumberFormat="0" applyBorder="0" applyAlignment="0" applyProtection="0"/>
    <xf numFmtId="0" fontId="163" fillId="52"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163" fillId="52" borderId="0" applyNumberFormat="0" applyBorder="0" applyAlignment="0" applyProtection="0"/>
    <xf numFmtId="0" fontId="163" fillId="52"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164" fillId="62" borderId="0" applyNumberFormat="0" applyBorder="0" applyAlignment="0" applyProtection="0"/>
    <xf numFmtId="0" fontId="164" fillId="62" borderId="0" applyNumberFormat="0" applyBorder="0" applyAlignment="0" applyProtection="0"/>
    <xf numFmtId="0" fontId="164" fillId="62" borderId="0" applyNumberFormat="0" applyBorder="0" applyAlignment="0" applyProtection="0"/>
    <xf numFmtId="0" fontId="164" fillId="62" borderId="0" applyNumberFormat="0" applyBorder="0" applyAlignment="0" applyProtection="0"/>
    <xf numFmtId="0" fontId="158" fillId="63" borderId="0" applyNumberFormat="0" applyBorder="0" applyAlignment="0" applyProtection="0"/>
    <xf numFmtId="0" fontId="164" fillId="64" borderId="0" applyNumberFormat="0" applyBorder="0" applyAlignment="0" applyProtection="0"/>
    <xf numFmtId="0" fontId="164" fillId="64" borderId="0" applyNumberFormat="0" applyBorder="0" applyAlignment="0" applyProtection="0"/>
    <xf numFmtId="0" fontId="164" fillId="64" borderId="0" applyNumberFormat="0" applyBorder="0" applyAlignment="0" applyProtection="0"/>
    <xf numFmtId="0" fontId="164" fillId="64" borderId="0" applyNumberFormat="0" applyBorder="0" applyAlignment="0" applyProtection="0"/>
    <xf numFmtId="0" fontId="158" fillId="65" borderId="0" applyNumberFormat="0" applyBorder="0" applyAlignment="0" applyProtection="0"/>
    <xf numFmtId="0" fontId="164" fillId="66" borderId="0" applyNumberFormat="0" applyBorder="0" applyAlignment="0" applyProtection="0"/>
    <xf numFmtId="0" fontId="164" fillId="66" borderId="0" applyNumberFormat="0" applyBorder="0" applyAlignment="0" applyProtection="0"/>
    <xf numFmtId="0" fontId="164" fillId="66" borderId="0" applyNumberFormat="0" applyBorder="0" applyAlignment="0" applyProtection="0"/>
    <xf numFmtId="0" fontId="164" fillId="66" borderId="0" applyNumberFormat="0" applyBorder="0" applyAlignment="0" applyProtection="0"/>
    <xf numFmtId="0" fontId="158" fillId="67" borderId="0" applyNumberFormat="0" applyBorder="0" applyAlignment="0" applyProtection="0"/>
    <xf numFmtId="0" fontId="164" fillId="68" borderId="0" applyNumberFormat="0" applyBorder="0" applyAlignment="0" applyProtection="0"/>
    <xf numFmtId="0" fontId="164" fillId="68" borderId="0" applyNumberFormat="0" applyBorder="0" applyAlignment="0" applyProtection="0"/>
    <xf numFmtId="0" fontId="164" fillId="68" borderId="0" applyNumberFormat="0" applyBorder="0" applyAlignment="0" applyProtection="0"/>
    <xf numFmtId="0" fontId="164" fillId="68" borderId="0" applyNumberFormat="0" applyBorder="0" applyAlignment="0" applyProtection="0"/>
    <xf numFmtId="0" fontId="158" fillId="69" borderId="0" applyNumberFormat="0" applyBorder="0" applyAlignment="0" applyProtection="0"/>
    <xf numFmtId="0" fontId="164" fillId="70" borderId="0" applyNumberFormat="0" applyBorder="0" applyAlignment="0" applyProtection="0"/>
    <xf numFmtId="0" fontId="164" fillId="70" borderId="0" applyNumberFormat="0" applyBorder="0" applyAlignment="0" applyProtection="0"/>
    <xf numFmtId="0" fontId="164" fillId="70" borderId="0" applyNumberFormat="0" applyBorder="0" applyAlignment="0" applyProtection="0"/>
    <xf numFmtId="0" fontId="164" fillId="70" borderId="0" applyNumberFormat="0" applyBorder="0" applyAlignment="0" applyProtection="0"/>
    <xf numFmtId="0" fontId="158" fillId="71" borderId="0" applyNumberFormat="0" applyBorder="0" applyAlignment="0" applyProtection="0"/>
    <xf numFmtId="0" fontId="164" fillId="72" borderId="0" applyNumberFormat="0" applyBorder="0" applyAlignment="0" applyProtection="0"/>
    <xf numFmtId="0" fontId="164" fillId="72" borderId="0" applyNumberFormat="0" applyBorder="0" applyAlignment="0" applyProtection="0"/>
    <xf numFmtId="0" fontId="164" fillId="72" borderId="0" applyNumberFormat="0" applyBorder="0" applyAlignment="0" applyProtection="0"/>
    <xf numFmtId="0" fontId="164" fillId="72" borderId="0" applyNumberFormat="0" applyBorder="0" applyAlignment="0" applyProtection="0"/>
    <xf numFmtId="0" fontId="158" fillId="73" borderId="0" applyNumberFormat="0" applyBorder="0" applyAlignment="0" applyProtection="0"/>
    <xf numFmtId="0" fontId="164" fillId="74" borderId="0" applyNumberFormat="0" applyBorder="0" applyAlignment="0" applyProtection="0"/>
    <xf numFmtId="0" fontId="164" fillId="74" borderId="0" applyNumberFormat="0" applyBorder="0" applyAlignment="0" applyProtection="0"/>
    <xf numFmtId="0" fontId="164" fillId="74" borderId="0" applyNumberFormat="0" applyBorder="0" applyAlignment="0" applyProtection="0"/>
    <xf numFmtId="0" fontId="164" fillId="74" borderId="0" applyNumberFormat="0" applyBorder="0" applyAlignment="0" applyProtection="0"/>
    <xf numFmtId="0" fontId="158" fillId="75" borderId="0" applyNumberFormat="0" applyBorder="0" applyAlignment="0" applyProtection="0"/>
    <xf numFmtId="0" fontId="164" fillId="76" borderId="0" applyNumberFormat="0" applyBorder="0" applyAlignment="0" applyProtection="0"/>
    <xf numFmtId="0" fontId="164" fillId="76" borderId="0" applyNumberFormat="0" applyBorder="0" applyAlignment="0" applyProtection="0"/>
    <xf numFmtId="0" fontId="164" fillId="76" borderId="0" applyNumberFormat="0" applyBorder="0" applyAlignment="0" applyProtection="0"/>
    <xf numFmtId="0" fontId="164" fillId="76" borderId="0" applyNumberFormat="0" applyBorder="0" applyAlignment="0" applyProtection="0"/>
    <xf numFmtId="0" fontId="158" fillId="77" borderId="0" applyNumberFormat="0" applyBorder="0" applyAlignment="0" applyProtection="0"/>
    <xf numFmtId="0" fontId="164" fillId="78" borderId="0" applyNumberFormat="0" applyBorder="0" applyAlignment="0" applyProtection="0"/>
    <xf numFmtId="0" fontId="164" fillId="78" borderId="0" applyNumberFormat="0" applyBorder="0" applyAlignment="0" applyProtection="0"/>
    <xf numFmtId="0" fontId="164" fillId="78" borderId="0" applyNumberFormat="0" applyBorder="0" applyAlignment="0" applyProtection="0"/>
    <xf numFmtId="0" fontId="164" fillId="78" borderId="0" applyNumberFormat="0" applyBorder="0" applyAlignment="0" applyProtection="0"/>
    <xf numFmtId="0" fontId="158" fillId="79" borderId="0" applyNumberFormat="0" applyBorder="0" applyAlignment="0" applyProtection="0"/>
    <xf numFmtId="0" fontId="164" fillId="80" borderId="0" applyNumberFormat="0" applyBorder="0" applyAlignment="0" applyProtection="0"/>
    <xf numFmtId="0" fontId="164" fillId="80" borderId="0" applyNumberFormat="0" applyBorder="0" applyAlignment="0" applyProtection="0"/>
    <xf numFmtId="0" fontId="164" fillId="80" borderId="0" applyNumberFormat="0" applyBorder="0" applyAlignment="0" applyProtection="0"/>
    <xf numFmtId="0" fontId="164" fillId="80" borderId="0" applyNumberFormat="0" applyBorder="0" applyAlignment="0" applyProtection="0"/>
    <xf numFmtId="0" fontId="158" fillId="69" borderId="0" applyNumberFormat="0" applyBorder="0" applyAlignment="0" applyProtection="0"/>
    <xf numFmtId="0" fontId="164" fillId="81" borderId="0" applyNumberFormat="0" applyBorder="0" applyAlignment="0" applyProtection="0"/>
    <xf numFmtId="0" fontId="164" fillId="81" borderId="0" applyNumberFormat="0" applyBorder="0" applyAlignment="0" applyProtection="0"/>
    <xf numFmtId="0" fontId="164" fillId="81" borderId="0" applyNumberFormat="0" applyBorder="0" applyAlignment="0" applyProtection="0"/>
    <xf numFmtId="0" fontId="164" fillId="81" borderId="0" applyNumberFormat="0" applyBorder="0" applyAlignment="0" applyProtection="0"/>
    <xf numFmtId="0" fontId="164" fillId="82" borderId="0" applyNumberFormat="0" applyBorder="0" applyAlignment="0" applyProtection="0"/>
    <xf numFmtId="0" fontId="164" fillId="82" borderId="0" applyNumberFormat="0" applyBorder="0" applyAlignment="0" applyProtection="0"/>
    <xf numFmtId="0" fontId="164" fillId="82" borderId="0" applyNumberFormat="0" applyBorder="0" applyAlignment="0" applyProtection="0"/>
    <xf numFmtId="0" fontId="164" fillId="82" borderId="0" applyNumberFormat="0" applyBorder="0" applyAlignment="0" applyProtection="0"/>
    <xf numFmtId="0" fontId="158" fillId="83" borderId="0" applyNumberFormat="0" applyBorder="0" applyAlignment="0" applyProtection="0"/>
    <xf numFmtId="275" fontId="27" fillId="84" borderId="35">
      <alignment horizontal="center" vertical="center"/>
    </xf>
    <xf numFmtId="0" fontId="165" fillId="85" borderId="0" applyNumberFormat="0" applyBorder="0" applyAlignment="0" applyProtection="0"/>
    <xf numFmtId="0" fontId="165" fillId="85" borderId="0" applyNumberFormat="0" applyBorder="0" applyAlignment="0" applyProtection="0"/>
    <xf numFmtId="0" fontId="165" fillId="85" borderId="0" applyNumberFormat="0" applyBorder="0" applyAlignment="0" applyProtection="0"/>
    <xf numFmtId="0" fontId="165" fillId="85" borderId="0" applyNumberFormat="0" applyBorder="0" applyAlignment="0" applyProtection="0"/>
    <xf numFmtId="0" fontId="148" fillId="86" borderId="0" applyNumberFormat="0" applyBorder="0" applyAlignment="0" applyProtection="0"/>
    <xf numFmtId="49" fontId="166" fillId="0" borderId="0" applyFont="0" applyFill="0" applyBorder="0" applyAlignment="0" applyProtection="0">
      <alignment horizontal="left"/>
    </xf>
    <xf numFmtId="276" fontId="59" fillId="0" borderId="0" applyAlignment="0" applyProtection="0"/>
    <xf numFmtId="258" fontId="40" fillId="0" borderId="0" applyFill="0" applyBorder="0" applyAlignment="0" applyProtection="0"/>
    <xf numFmtId="49" fontId="40" fillId="0" borderId="0" applyNumberFormat="0" applyAlignment="0" applyProtection="0">
      <alignment horizontal="left"/>
    </xf>
    <xf numFmtId="49" fontId="167" fillId="0" borderId="36" applyNumberFormat="0" applyAlignment="0" applyProtection="0">
      <alignment horizontal="left" wrapText="1"/>
    </xf>
    <xf numFmtId="49" fontId="167" fillId="0" borderId="0" applyNumberFormat="0" applyAlignment="0" applyProtection="0">
      <alignment horizontal="left" wrapText="1"/>
    </xf>
    <xf numFmtId="49" fontId="168" fillId="0" borderId="0" applyAlignment="0" applyProtection="0">
      <alignment horizontal="left"/>
    </xf>
    <xf numFmtId="0" fontId="169" fillId="87" borderId="14" applyNumberFormat="0" applyAlignment="0" applyProtection="0"/>
    <xf numFmtId="0" fontId="169" fillId="87" borderId="14" applyNumberFormat="0" applyAlignment="0" applyProtection="0"/>
    <xf numFmtId="0" fontId="169" fillId="87" borderId="14" applyNumberFormat="0" applyAlignment="0" applyProtection="0"/>
    <xf numFmtId="0" fontId="169" fillId="87" borderId="14" applyNumberFormat="0" applyAlignment="0" applyProtection="0"/>
    <xf numFmtId="0" fontId="170" fillId="88" borderId="29" applyNumberFormat="0" applyAlignment="0" applyProtection="0"/>
    <xf numFmtId="0" fontId="105" fillId="0" borderId="0" applyAlignment="0"/>
    <xf numFmtId="0" fontId="171" fillId="89" borderId="37" applyNumberFormat="0" applyAlignment="0" applyProtection="0"/>
    <xf numFmtId="0" fontId="171" fillId="89" borderId="37" applyNumberFormat="0" applyAlignment="0" applyProtection="0"/>
    <xf numFmtId="0" fontId="171" fillId="89" borderId="37" applyNumberFormat="0" applyAlignment="0" applyProtection="0"/>
    <xf numFmtId="0" fontId="171" fillId="89" borderId="37" applyNumberFormat="0" applyAlignment="0" applyProtection="0"/>
    <xf numFmtId="0" fontId="40" fillId="0" borderId="0" applyBorder="0"/>
    <xf numFmtId="0" fontId="172" fillId="90" borderId="0" applyAlignment="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8" fillId="0" borderId="0" applyNumberFormat="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xf numFmtId="40" fontId="173" fillId="91" borderId="0">
      <alignment horizontal="right"/>
    </xf>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175" fontId="27" fillId="0" borderId="0"/>
    <xf numFmtId="0" fontId="175" fillId="92" borderId="0" applyNumberFormat="0" applyBorder="0" applyAlignment="0" applyProtection="0"/>
    <xf numFmtId="0" fontId="175" fillId="92" borderId="0" applyNumberFormat="0" applyBorder="0" applyAlignment="0" applyProtection="0"/>
    <xf numFmtId="0" fontId="175" fillId="92" borderId="0" applyNumberFormat="0" applyBorder="0" applyAlignment="0" applyProtection="0"/>
    <xf numFmtId="0" fontId="175" fillId="92" borderId="0" applyNumberFormat="0" applyBorder="0" applyAlignment="0" applyProtection="0"/>
    <xf numFmtId="0" fontId="147" fillId="93" borderId="0" applyNumberFormat="0" applyBorder="0" applyAlignment="0" applyProtection="0"/>
    <xf numFmtId="0" fontId="176" fillId="0" borderId="0" applyNumberFormat="0" applyFill="0" applyBorder="0" applyAlignment="0" applyProtection="0"/>
    <xf numFmtId="0" fontId="177" fillId="0" borderId="38" applyNumberFormat="0" applyFill="0" applyAlignment="0" applyProtection="0"/>
    <xf numFmtId="0" fontId="177" fillId="0" borderId="38" applyNumberFormat="0" applyFill="0" applyAlignment="0" applyProtection="0"/>
    <xf numFmtId="0" fontId="177" fillId="0" borderId="38" applyNumberFormat="0" applyFill="0" applyAlignment="0" applyProtection="0"/>
    <xf numFmtId="0" fontId="177" fillId="0" borderId="38" applyNumberFormat="0" applyFill="0" applyAlignment="0" applyProtection="0"/>
    <xf numFmtId="0" fontId="178" fillId="0" borderId="39" applyNumberFormat="0" applyFill="0" applyAlignment="0" applyProtection="0"/>
    <xf numFmtId="0" fontId="179" fillId="0" borderId="38" applyNumberFormat="0" applyFill="0" applyAlignment="0" applyProtection="0"/>
    <xf numFmtId="0" fontId="179" fillId="0" borderId="38" applyNumberFormat="0" applyFill="0" applyAlignment="0" applyProtection="0"/>
    <xf numFmtId="0" fontId="179" fillId="0" borderId="38" applyNumberFormat="0" applyFill="0" applyAlignment="0" applyProtection="0"/>
    <xf numFmtId="0" fontId="179" fillId="0" borderId="38" applyNumberFormat="0" applyFill="0" applyAlignment="0" applyProtection="0"/>
    <xf numFmtId="0" fontId="180" fillId="0" borderId="40" applyNumberFormat="0" applyFill="0" applyAlignment="0" applyProtection="0"/>
    <xf numFmtId="0" fontId="181" fillId="0" borderId="1" applyNumberFormat="0" applyFill="0" applyAlignment="0" applyProtection="0"/>
    <xf numFmtId="0" fontId="181" fillId="0" borderId="1" applyNumberFormat="0" applyFill="0" applyAlignment="0" applyProtection="0"/>
    <xf numFmtId="0" fontId="181" fillId="0" borderId="1" applyNumberFormat="0" applyFill="0" applyAlignment="0" applyProtection="0"/>
    <xf numFmtId="0" fontId="181" fillId="0" borderId="1" applyNumberFormat="0" applyFill="0" applyAlignment="0" applyProtection="0"/>
    <xf numFmtId="0" fontId="182" fillId="0" borderId="41" applyNumberFormat="0" applyFill="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2" fillId="0" borderId="0" applyNumberFormat="0" applyFill="0" applyBorder="0" applyAlignment="0" applyProtection="0"/>
    <xf numFmtId="0" fontId="183" fillId="0" borderId="0" applyNumberFormat="0" applyFill="0" applyBorder="0" applyAlignment="0" applyProtection="0">
      <alignment vertical="top"/>
      <protection locked="0"/>
    </xf>
    <xf numFmtId="0" fontId="184" fillId="5" borderId="0"/>
    <xf numFmtId="0" fontId="185" fillId="0" borderId="14" applyNumberFormat="0" applyFill="0" applyBorder="0" applyAlignment="0" applyProtection="0">
      <alignment horizontal="left" indent="3"/>
    </xf>
    <xf numFmtId="0" fontId="186" fillId="94" borderId="14" applyNumberFormat="0" applyAlignment="0" applyProtection="0"/>
    <xf numFmtId="0" fontId="186" fillId="94" borderId="14" applyNumberFormat="0" applyAlignment="0" applyProtection="0"/>
    <xf numFmtId="0" fontId="186" fillId="94" borderId="14" applyNumberFormat="0" applyAlignment="0" applyProtection="0"/>
    <xf numFmtId="0" fontId="150" fillId="88" borderId="29" applyNumberFormat="0" applyAlignment="0" applyProtection="0"/>
    <xf numFmtId="0" fontId="187" fillId="0" borderId="0" applyAlignment="0"/>
    <xf numFmtId="0" fontId="40" fillId="14" borderId="0"/>
    <xf numFmtId="0" fontId="188" fillId="0" borderId="2" applyNumberFormat="0" applyFill="0" applyAlignment="0" applyProtection="0"/>
    <xf numFmtId="0" fontId="188" fillId="0" borderId="2" applyNumberFormat="0" applyFill="0" applyAlignment="0" applyProtection="0"/>
    <xf numFmtId="0" fontId="188" fillId="0" borderId="2" applyNumberFormat="0" applyFill="0" applyAlignment="0" applyProtection="0"/>
    <xf numFmtId="0" fontId="188" fillId="0" borderId="2" applyNumberFormat="0" applyFill="0" applyAlignment="0" applyProtection="0"/>
    <xf numFmtId="0" fontId="189" fillId="0" borderId="42" applyNumberFormat="0" applyFill="0" applyAlignment="0" applyProtection="0"/>
    <xf numFmtId="277" fontId="40" fillId="0" borderId="0" applyFont="0" applyFill="0" applyBorder="0" applyAlignment="0" applyProtection="0"/>
    <xf numFmtId="277" fontId="40" fillId="0" borderId="0" applyFont="0" applyFill="0" applyBorder="0" applyAlignment="0" applyProtection="0"/>
    <xf numFmtId="0" fontId="190" fillId="95" borderId="0" applyNumberFormat="0" applyBorder="0" applyAlignment="0" applyProtection="0"/>
    <xf numFmtId="0" fontId="190" fillId="95" borderId="0" applyNumberFormat="0" applyBorder="0" applyAlignment="0" applyProtection="0"/>
    <xf numFmtId="0" fontId="190" fillId="95" borderId="0" applyNumberFormat="0" applyBorder="0" applyAlignment="0" applyProtection="0"/>
    <xf numFmtId="0" fontId="190" fillId="95" borderId="0" applyNumberFormat="0" applyBorder="0" applyAlignment="0" applyProtection="0"/>
    <xf numFmtId="0" fontId="191" fillId="20" borderId="0" applyNumberFormat="0" applyBorder="0" applyAlignment="0" applyProtection="0"/>
    <xf numFmtId="0" fontId="192" fillId="96" borderId="0" applyAlignment="0"/>
    <xf numFmtId="0" fontId="193" fillId="97" borderId="0" applyAlignment="0"/>
    <xf numFmtId="0" fontId="194" fillId="0" borderId="0" applyAlignment="0"/>
    <xf numFmtId="0" fontId="27"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4" fillId="0" borderId="0"/>
    <xf numFmtId="0" fontId="4" fillId="0" borderId="0"/>
    <xf numFmtId="0" fontId="195"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2" fillId="0" borderId="0"/>
    <xf numFmtId="0" fontId="2" fillId="0" borderId="0"/>
    <xf numFmtId="0" fontId="163" fillId="0" borderId="0"/>
    <xf numFmtId="0" fontId="2" fillId="0" borderId="0"/>
    <xf numFmtId="0" fontId="163"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4" fillId="0" borderId="0"/>
    <xf numFmtId="0" fontId="4" fillId="0" borderId="0"/>
    <xf numFmtId="0" fontId="4" fillId="0" borderId="0"/>
    <xf numFmtId="0" fontId="40" fillId="0" borderId="0"/>
    <xf numFmtId="0" fontId="4" fillId="0" borderId="0"/>
    <xf numFmtId="0" fontId="4" fillId="0" borderId="0"/>
    <xf numFmtId="0" fontId="4" fillId="0" borderId="0"/>
    <xf numFmtId="0" fontId="4" fillId="0" borderId="0"/>
    <xf numFmtId="0" fontId="4" fillId="0" borderId="0"/>
    <xf numFmtId="0" fontId="40" fillId="0" borderId="0"/>
    <xf numFmtId="0" fontId="27" fillId="0" borderId="0"/>
    <xf numFmtId="37" fontId="198"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6" fillId="0" borderId="0"/>
    <xf numFmtId="0" fontId="27" fillId="0" borderId="0"/>
    <xf numFmtId="0" fontId="19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6" fillId="0" borderId="0"/>
    <xf numFmtId="0" fontId="4"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6" fillId="0" borderId="0"/>
    <xf numFmtId="0" fontId="196" fillId="0" borderId="0"/>
    <xf numFmtId="0" fontId="196" fillId="0" borderId="0"/>
    <xf numFmtId="0" fontId="40" fillId="0" borderId="0"/>
    <xf numFmtId="0" fontId="196" fillId="0" borderId="0"/>
    <xf numFmtId="0" fontId="196" fillId="0" borderId="0"/>
    <xf numFmtId="0" fontId="196" fillId="0" borderId="0"/>
    <xf numFmtId="0" fontId="19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6" fillId="0" borderId="0"/>
    <xf numFmtId="0" fontId="196" fillId="0" borderId="0"/>
    <xf numFmtId="0" fontId="196" fillId="0" borderId="0"/>
    <xf numFmtId="0" fontId="196" fillId="0" borderId="0"/>
    <xf numFmtId="0" fontId="196" fillId="0" borderId="0"/>
    <xf numFmtId="0" fontId="196" fillId="0" borderId="0"/>
    <xf numFmtId="0" fontId="196" fillId="0" borderId="0"/>
    <xf numFmtId="0" fontId="196" fillId="0" borderId="0"/>
    <xf numFmtId="0" fontId="196" fillId="0" borderId="0"/>
    <xf numFmtId="0" fontId="196" fillId="0" borderId="0"/>
    <xf numFmtId="0" fontId="4" fillId="0" borderId="0"/>
    <xf numFmtId="0" fontId="2" fillId="0" borderId="0"/>
    <xf numFmtId="0" fontId="196" fillId="0" borderId="0"/>
    <xf numFmtId="0" fontId="196" fillId="0" borderId="0"/>
    <xf numFmtId="0" fontId="19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00" fillId="0" borderId="0"/>
    <xf numFmtId="0" fontId="20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9" fillId="0" borderId="0"/>
    <xf numFmtId="0" fontId="4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4" fillId="0" borderId="0"/>
    <xf numFmtId="0" fontId="4" fillId="0" borderId="0"/>
    <xf numFmtId="0" fontId="200" fillId="0" borderId="0"/>
    <xf numFmtId="0" fontId="4" fillId="0" borderId="0"/>
    <xf numFmtId="0" fontId="4" fillId="0" borderId="0"/>
    <xf numFmtId="0" fontId="200" fillId="0" borderId="0"/>
    <xf numFmtId="0" fontId="20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96"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98" borderId="43"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163" fillId="11" borderId="14" applyNumberFormat="0" applyFont="0" applyAlignment="0" applyProtection="0"/>
    <xf numFmtId="0" fontId="4" fillId="24" borderId="33" applyNumberFormat="0" applyFont="0" applyAlignment="0" applyProtection="0"/>
    <xf numFmtId="0" fontId="4" fillId="24" borderId="33" applyNumberFormat="0" applyFont="0" applyAlignment="0" applyProtection="0"/>
    <xf numFmtId="0" fontId="163" fillId="11" borderId="14"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105" fillId="24" borderId="33" applyNumberFormat="0" applyFont="0" applyAlignment="0" applyProtection="0"/>
    <xf numFmtId="0" fontId="2" fillId="24" borderId="33" applyNumberFormat="0" applyFont="0" applyAlignment="0" applyProtection="0"/>
    <xf numFmtId="0" fontId="2" fillId="24" borderId="33" applyNumberFormat="0" applyFont="0" applyAlignment="0" applyProtection="0"/>
    <xf numFmtId="0" fontId="163" fillId="24" borderId="33" applyNumberFormat="0" applyFont="0" applyAlignment="0" applyProtection="0"/>
    <xf numFmtId="0" fontId="163" fillId="11" borderId="14" applyNumberFormat="0" applyFont="0" applyAlignment="0" applyProtection="0"/>
    <xf numFmtId="0" fontId="4" fillId="24" borderId="33" applyNumberFormat="0" applyFont="0" applyAlignment="0" applyProtection="0"/>
    <xf numFmtId="0" fontId="4" fillId="24" borderId="33" applyNumberFormat="0" applyFont="0" applyAlignment="0" applyProtection="0"/>
    <xf numFmtId="0" fontId="4" fillId="24" borderId="33" applyNumberFormat="0" applyFont="0" applyAlignment="0" applyProtection="0"/>
    <xf numFmtId="0" fontId="4" fillId="24" borderId="33" applyNumberFormat="0" applyFont="0" applyAlignment="0" applyProtection="0"/>
    <xf numFmtId="0" fontId="4" fillId="24" borderId="33" applyNumberFormat="0" applyFont="0" applyAlignment="0" applyProtection="0"/>
    <xf numFmtId="0" fontId="4" fillId="24" borderId="33"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27" fillId="98" borderId="43" applyNumberFormat="0" applyFont="0" applyAlignment="0" applyProtection="0"/>
    <xf numFmtId="0" fontId="201" fillId="87" borderId="14" applyNumberFormat="0" applyAlignment="0" applyProtection="0"/>
    <xf numFmtId="0" fontId="201" fillId="87" borderId="14" applyNumberFormat="0" applyAlignment="0" applyProtection="0"/>
    <xf numFmtId="0" fontId="201" fillId="87" borderId="14" applyNumberFormat="0" applyAlignment="0" applyProtection="0"/>
    <xf numFmtId="0" fontId="201" fillId="87" borderId="14" applyNumberFormat="0" applyAlignment="0" applyProtection="0"/>
    <xf numFmtId="0" fontId="151" fillId="88" borderId="30" applyNumberFormat="0" applyAlignment="0" applyProtection="0"/>
    <xf numFmtId="0" fontId="202" fillId="0" borderId="0" applyBorder="0">
      <alignment horizontal="centerContinuous"/>
    </xf>
    <xf numFmtId="9" fontId="4"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0" fillId="0" borderId="0" applyFont="0" applyFill="0" applyBorder="0" applyAlignment="0" applyProtection="0"/>
    <xf numFmtId="278" fontId="203" fillId="0" borderId="17"/>
    <xf numFmtId="39" fontId="204" fillId="0" borderId="0"/>
    <xf numFmtId="0" fontId="205" fillId="99" borderId="0" applyAlignment="0"/>
    <xf numFmtId="279" fontId="40" fillId="0" borderId="0" applyFont="0" applyFill="0" applyBorder="0" applyAlignment="0" applyProtection="0"/>
    <xf numFmtId="279" fontId="40" fillId="0" borderId="0" applyFont="0" applyFill="0" applyBorder="0" applyAlignment="0" applyProtection="0"/>
    <xf numFmtId="0" fontId="206" fillId="0" borderId="0" applyFill="0" applyBorder="0" applyProtection="0"/>
    <xf numFmtId="0" fontId="207" fillId="0" borderId="0" applyAlignment="0"/>
    <xf numFmtId="0" fontId="208" fillId="0" borderId="0" applyAlignment="0"/>
    <xf numFmtId="0" fontId="209" fillId="0" borderId="0" applyAlignment="0"/>
    <xf numFmtId="0" fontId="210" fillId="0" borderId="0" applyAlignment="0"/>
    <xf numFmtId="0" fontId="211" fillId="0" borderId="0" applyAlignment="0"/>
    <xf numFmtId="0" fontId="212" fillId="0" borderId="0" applyNumberFormat="0" applyFill="0" applyBorder="0" applyAlignment="0" applyProtection="0"/>
    <xf numFmtId="0" fontId="212" fillId="0" borderId="0" applyNumberFormat="0" applyFill="0" applyBorder="0" applyAlignment="0" applyProtection="0"/>
    <xf numFmtId="0" fontId="212" fillId="0" borderId="0" applyNumberFormat="0" applyFill="0" applyBorder="0" applyAlignment="0" applyProtection="0"/>
    <xf numFmtId="0" fontId="212" fillId="0" borderId="0" applyNumberFormat="0" applyFill="0" applyBorder="0" applyAlignment="0" applyProtection="0"/>
    <xf numFmtId="0" fontId="213" fillId="0" borderId="0" applyNumberFormat="0" applyFill="0" applyBorder="0" applyAlignment="0" applyProtection="0"/>
    <xf numFmtId="0" fontId="214" fillId="0" borderId="0" applyAlignment="0"/>
    <xf numFmtId="0" fontId="215" fillId="0" borderId="13" applyNumberFormat="0" applyFill="0" applyAlignment="0" applyProtection="0"/>
    <xf numFmtId="0" fontId="215" fillId="0" borderId="13" applyNumberFormat="0" applyFill="0" applyAlignment="0" applyProtection="0"/>
    <xf numFmtId="0" fontId="215" fillId="0" borderId="13" applyNumberFormat="0" applyFill="0" applyAlignment="0" applyProtection="0"/>
    <xf numFmtId="0" fontId="215" fillId="0" borderId="13" applyNumberFormat="0" applyFill="0" applyAlignment="0" applyProtection="0"/>
    <xf numFmtId="0" fontId="157" fillId="0" borderId="44" applyNumberFormat="0" applyFill="0" applyAlignment="0" applyProtection="0"/>
    <xf numFmtId="280" fontId="216" fillId="0" borderId="0"/>
    <xf numFmtId="37" fontId="40" fillId="2" borderId="0" applyNumberFormat="0" applyBorder="0" applyAlignment="0" applyProtection="0"/>
    <xf numFmtId="37" fontId="40" fillId="0" borderId="0"/>
    <xf numFmtId="3" fontId="185" fillId="0" borderId="37" applyProtection="0"/>
    <xf numFmtId="0" fontId="217" fillId="0" borderId="0" applyNumberFormat="0" applyFill="0" applyBorder="0" applyAlignment="0" applyProtection="0"/>
    <xf numFmtId="0" fontId="217" fillId="0" borderId="0" applyNumberFormat="0" applyFill="0" applyBorder="0" applyAlignment="0" applyProtection="0"/>
    <xf numFmtId="0" fontId="217" fillId="0" borderId="0" applyNumberFormat="0" applyFill="0" applyBorder="0" applyAlignment="0" applyProtection="0"/>
    <xf numFmtId="0" fontId="217" fillId="0" borderId="0" applyNumberFormat="0" applyFill="0" applyBorder="0" applyAlignment="0" applyProtection="0"/>
    <xf numFmtId="0" fontId="1" fillId="0" borderId="0"/>
    <xf numFmtId="0" fontId="27" fillId="0" borderId="0"/>
  </cellStyleXfs>
  <cellXfs count="1084">
    <xf numFmtId="173" fontId="0" fillId="0" borderId="0" xfId="0" applyAlignment="1"/>
    <xf numFmtId="221" fontId="18" fillId="0" borderId="0" xfId="0" applyNumberFormat="1" applyFont="1"/>
    <xf numFmtId="3" fontId="18" fillId="0" borderId="0" xfId="0" applyNumberFormat="1" applyFont="1"/>
    <xf numFmtId="221" fontId="18" fillId="0" borderId="0" xfId="0" applyNumberFormat="1" applyFont="1" applyAlignment="1"/>
    <xf numFmtId="221" fontId="18" fillId="0" borderId="0" xfId="0" applyNumberFormat="1" applyFont="1" applyAlignment="1">
      <alignment horizontal="center"/>
    </xf>
    <xf numFmtId="3" fontId="18" fillId="0" borderId="0" xfId="0" applyNumberFormat="1" applyFont="1" applyAlignment="1"/>
    <xf numFmtId="3" fontId="18" fillId="0" borderId="0" xfId="0" applyNumberFormat="1" applyFont="1" applyAlignment="1">
      <alignment horizontal="center"/>
    </xf>
    <xf numFmtId="49" fontId="18" fillId="0" borderId="0" xfId="0" applyNumberFormat="1" applyFont="1" applyAlignment="1">
      <alignment horizontal="left"/>
    </xf>
    <xf numFmtId="49" fontId="18" fillId="0" borderId="0" xfId="0" applyNumberFormat="1" applyFont="1" applyAlignment="1">
      <alignment horizontal="center"/>
    </xf>
    <xf numFmtId="221" fontId="19" fillId="0" borderId="0" xfId="0" applyNumberFormat="1" applyFont="1" applyAlignment="1">
      <alignment horizontal="center"/>
    </xf>
    <xf numFmtId="3" fontId="19" fillId="0" borderId="0" xfId="0" applyNumberFormat="1" applyFont="1" applyAlignment="1"/>
    <xf numFmtId="221" fontId="20" fillId="0" borderId="0" xfId="0" applyNumberFormat="1" applyFont="1" applyAlignment="1">
      <alignment horizontal="center"/>
    </xf>
    <xf numFmtId="173" fontId="18" fillId="0" borderId="0" xfId="0" applyFont="1" applyAlignment="1"/>
    <xf numFmtId="221" fontId="20" fillId="0" borderId="0" xfId="0" applyNumberFormat="1" applyFont="1" applyAlignment="1"/>
    <xf numFmtId="165" fontId="18" fillId="0" borderId="0" xfId="0" applyNumberFormat="1" applyFont="1" applyAlignment="1"/>
    <xf numFmtId="3" fontId="18" fillId="0" borderId="0" xfId="0" applyNumberFormat="1" applyFont="1" applyAlignment="1">
      <alignment horizontal="left"/>
    </xf>
    <xf numFmtId="166" fontId="18" fillId="0" borderId="0" xfId="0" applyNumberFormat="1" applyFont="1" applyAlignment="1">
      <alignment horizontal="center"/>
    </xf>
    <xf numFmtId="3" fontId="18" fillId="0" borderId="0" xfId="0" applyNumberFormat="1" applyFont="1" applyAlignment="1">
      <alignment horizontal="fill"/>
    </xf>
    <xf numFmtId="164" fontId="18" fillId="0" borderId="0" xfId="0" applyNumberFormat="1" applyFont="1" applyAlignment="1">
      <alignment horizontal="center"/>
    </xf>
    <xf numFmtId="166" fontId="18" fillId="0" borderId="0" xfId="0" applyNumberFormat="1" applyFont="1" applyAlignment="1"/>
    <xf numFmtId="49" fontId="18" fillId="0" borderId="0" xfId="0" applyNumberFormat="1" applyFont="1"/>
    <xf numFmtId="4" fontId="18" fillId="0" borderId="0" xfId="0" applyNumberFormat="1" applyFont="1" applyAlignment="1"/>
    <xf numFmtId="169" fontId="18" fillId="0" borderId="0" xfId="0" applyNumberFormat="1" applyFont="1" applyAlignment="1"/>
    <xf numFmtId="3" fontId="18" fillId="0" borderId="0" xfId="0" quotePrefix="1" applyNumberFormat="1" applyFont="1" applyAlignment="1"/>
    <xf numFmtId="172" fontId="18" fillId="0" borderId="0" xfId="0" applyNumberFormat="1" applyFont="1" applyAlignment="1"/>
    <xf numFmtId="164" fontId="18" fillId="0" borderId="0" xfId="0" applyNumberFormat="1" applyFont="1" applyAlignment="1">
      <alignment horizontal="left"/>
    </xf>
    <xf numFmtId="173" fontId="21" fillId="0" borderId="0" xfId="0" applyFont="1" applyAlignment="1"/>
    <xf numFmtId="221" fontId="18" fillId="0" borderId="0" xfId="0" applyNumberFormat="1" applyFont="1" applyAlignment="1" applyProtection="1">
      <protection locked="0"/>
    </xf>
    <xf numFmtId="221" fontId="18" fillId="0" borderId="0" xfId="0" applyNumberFormat="1" applyFont="1" applyAlignment="1" applyProtection="1">
      <alignment horizontal="left"/>
      <protection locked="0"/>
    </xf>
    <xf numFmtId="221" fontId="18" fillId="0" borderId="0" xfId="0" applyNumberFormat="1" applyFont="1" applyProtection="1">
      <protection locked="0"/>
    </xf>
    <xf numFmtId="221" fontId="18" fillId="0" borderId="0" xfId="0" applyNumberFormat="1" applyFont="1" applyAlignment="1" applyProtection="1">
      <alignment horizontal="center"/>
      <protection locked="0"/>
    </xf>
    <xf numFmtId="221" fontId="20" fillId="0" borderId="0" xfId="0" applyNumberFormat="1" applyFont="1" applyAlignment="1" applyProtection="1">
      <alignment horizontal="center"/>
      <protection locked="0"/>
    </xf>
    <xf numFmtId="166" fontId="18" fillId="0" borderId="0" xfId="0" applyNumberFormat="1" applyFont="1" applyAlignment="1" applyProtection="1">
      <alignment horizontal="center"/>
      <protection locked="0"/>
    </xf>
    <xf numFmtId="221" fontId="21" fillId="0" borderId="0" xfId="0" applyNumberFormat="1" applyFont="1" applyProtection="1">
      <protection locked="0"/>
    </xf>
    <xf numFmtId="42" fontId="18" fillId="0" borderId="0" xfId="0" applyNumberFormat="1" applyFont="1"/>
    <xf numFmtId="3" fontId="18" fillId="0" borderId="0" xfId="0" applyNumberFormat="1" applyFont="1" applyFill="1" applyAlignment="1"/>
    <xf numFmtId="3" fontId="18" fillId="0" borderId="0" xfId="0" applyNumberFormat="1" applyFont="1" applyFill="1" applyBorder="1"/>
    <xf numFmtId="173" fontId="18" fillId="0" borderId="0" xfId="0" applyNumberFormat="1" applyFont="1" applyAlignment="1" applyProtection="1">
      <protection locked="0"/>
    </xf>
    <xf numFmtId="221" fontId="18" fillId="0" borderId="1" xfId="0" applyNumberFormat="1" applyFont="1" applyBorder="1" applyAlignment="1" applyProtection="1">
      <alignment horizontal="center"/>
      <protection locked="0"/>
    </xf>
    <xf numFmtId="170" fontId="18" fillId="0" borderId="0" xfId="0" applyNumberFormat="1" applyFont="1" applyFill="1" applyBorder="1" applyProtection="1"/>
    <xf numFmtId="1" fontId="18" fillId="0" borderId="0" xfId="0" applyNumberFormat="1" applyFont="1" applyFill="1" applyProtection="1"/>
    <xf numFmtId="1" fontId="18" fillId="0" borderId="0" xfId="0" applyNumberFormat="1" applyFont="1" applyFill="1" applyAlignment="1" applyProtection="1"/>
    <xf numFmtId="3" fontId="18" fillId="0" borderId="1" xfId="0" applyNumberFormat="1" applyFont="1" applyBorder="1" applyAlignment="1"/>
    <xf numFmtId="3" fontId="18" fillId="0" borderId="1" xfId="0" applyNumberFormat="1" applyFont="1" applyBorder="1" applyAlignment="1">
      <alignment horizontal="center"/>
    </xf>
    <xf numFmtId="172" fontId="18" fillId="0" borderId="0" xfId="0" applyNumberFormat="1" applyFont="1" applyProtection="1">
      <protection locked="0"/>
    </xf>
    <xf numFmtId="3" fontId="18" fillId="0" borderId="0" xfId="0" applyNumberFormat="1" applyFont="1" applyBorder="1" applyAlignment="1">
      <alignment horizontal="center"/>
    </xf>
    <xf numFmtId="221" fontId="18" fillId="0" borderId="1" xfId="0" applyNumberFormat="1" applyFont="1" applyBorder="1" applyAlignment="1" applyProtection="1">
      <alignment horizontal="centerContinuous"/>
      <protection locked="0"/>
    </xf>
    <xf numFmtId="42" fontId="18" fillId="0" borderId="2" xfId="0" applyNumberFormat="1" applyFont="1" applyBorder="1" applyAlignment="1" applyProtection="1">
      <alignment horizontal="right"/>
      <protection locked="0"/>
    </xf>
    <xf numFmtId="221" fontId="20" fillId="0" borderId="0" xfId="0" applyNumberFormat="1" applyFont="1" applyProtection="1">
      <protection locked="0"/>
    </xf>
    <xf numFmtId="221" fontId="18" fillId="0" borderId="1" xfId="0" applyNumberFormat="1" applyFont="1" applyBorder="1" applyProtection="1">
      <protection locked="0"/>
    </xf>
    <xf numFmtId="221" fontId="18" fillId="0" borderId="1" xfId="0" applyNumberFormat="1" applyFont="1" applyBorder="1"/>
    <xf numFmtId="221" fontId="18" fillId="0" borderId="1" xfId="0" applyNumberFormat="1" applyFont="1" applyBorder="1" applyAlignment="1"/>
    <xf numFmtId="9" fontId="18" fillId="0" borderId="0" xfId="0" applyNumberFormat="1" applyFont="1" applyAlignment="1"/>
    <xf numFmtId="173" fontId="18" fillId="0" borderId="1" xfId="0" applyFont="1" applyBorder="1" applyAlignment="1"/>
    <xf numFmtId="168" fontId="18" fillId="0" borderId="0" xfId="0" applyNumberFormat="1" applyFont="1" applyProtection="1">
      <protection locked="0"/>
    </xf>
    <xf numFmtId="221" fontId="18" fillId="0" borderId="0" xfId="0" applyNumberFormat="1" applyFont="1" applyBorder="1" applyAlignment="1" applyProtection="1">
      <alignment horizontal="center"/>
      <protection locked="0"/>
    </xf>
    <xf numFmtId="38" fontId="18" fillId="0" borderId="0" xfId="0" applyNumberFormat="1" applyFont="1" applyFill="1" applyBorder="1" applyProtection="1"/>
    <xf numFmtId="221" fontId="18" fillId="0" borderId="0" xfId="0" applyNumberFormat="1" applyFont="1" applyFill="1" applyProtection="1">
      <protection locked="0"/>
    </xf>
    <xf numFmtId="169" fontId="18" fillId="0" borderId="1" xfId="0" applyNumberFormat="1" applyFont="1" applyBorder="1" applyAlignment="1"/>
    <xf numFmtId="165" fontId="18" fillId="0" borderId="0" xfId="0" applyNumberFormat="1" applyFont="1" applyFill="1" applyAlignment="1">
      <alignment horizontal="right"/>
    </xf>
    <xf numFmtId="171" fontId="18" fillId="0" borderId="0" xfId="0" applyNumberFormat="1" applyFont="1" applyFill="1" applyAlignment="1">
      <alignment horizontal="left"/>
    </xf>
    <xf numFmtId="165" fontId="18" fillId="0" borderId="0" xfId="0" applyNumberFormat="1" applyFont="1" applyFill="1" applyAlignment="1"/>
    <xf numFmtId="221" fontId="18" fillId="0" borderId="0" xfId="0" applyNumberFormat="1" applyFont="1" applyFill="1" applyAlignment="1" applyProtection="1">
      <protection locked="0"/>
    </xf>
    <xf numFmtId="221" fontId="18" fillId="0" borderId="0" xfId="0" applyNumberFormat="1" applyFont="1" applyFill="1"/>
    <xf numFmtId="173" fontId="18" fillId="0" borderId="0" xfId="0" applyFont="1" applyFill="1" applyAlignment="1"/>
    <xf numFmtId="221" fontId="18" fillId="0" borderId="1" xfId="0" applyNumberFormat="1" applyFont="1" applyFill="1" applyBorder="1"/>
    <xf numFmtId="3" fontId="18" fillId="0" borderId="1" xfId="0" applyNumberFormat="1" applyFont="1" applyFill="1" applyBorder="1" applyAlignment="1"/>
    <xf numFmtId="3" fontId="18" fillId="0" borderId="0" xfId="0" applyNumberFormat="1" applyFont="1" applyFill="1" applyAlignment="1">
      <alignment horizontal="center"/>
    </xf>
    <xf numFmtId="49" fontId="18" fillId="0" borderId="0" xfId="0" applyNumberFormat="1" applyFont="1" applyFill="1"/>
    <xf numFmtId="49" fontId="18" fillId="0" borderId="0" xfId="0" applyNumberFormat="1" applyFont="1" applyFill="1" applyAlignment="1"/>
    <xf numFmtId="49" fontId="18" fillId="0" borderId="0" xfId="0" applyNumberFormat="1" applyFont="1" applyFill="1" applyAlignment="1">
      <alignment horizontal="center"/>
    </xf>
    <xf numFmtId="221" fontId="18" fillId="0" borderId="0" xfId="0" applyNumberFormat="1" applyFont="1" applyFill="1" applyAlignment="1">
      <alignment horizontal="center"/>
    </xf>
    <xf numFmtId="165" fontId="18" fillId="0" borderId="0" xfId="0" applyNumberFormat="1" applyFont="1" applyFill="1"/>
    <xf numFmtId="166" fontId="18" fillId="0" borderId="0" xfId="0" applyNumberFormat="1" applyFont="1" applyFill="1"/>
    <xf numFmtId="221" fontId="18" fillId="0" borderId="0" xfId="0" applyNumberFormat="1" applyFont="1" applyAlignment="1">
      <alignment horizontal="right"/>
    </xf>
    <xf numFmtId="170" fontId="21" fillId="0" borderId="0" xfId="0" applyNumberFormat="1" applyFont="1" applyFill="1" applyBorder="1" applyProtection="1"/>
    <xf numFmtId="173" fontId="27" fillId="0" borderId="0" xfId="0" applyFont="1" applyAlignment="1"/>
    <xf numFmtId="165" fontId="34" fillId="0" borderId="0" xfId="0" applyNumberFormat="1" applyFont="1" applyFill="1" applyAlignment="1">
      <alignment horizontal="right"/>
    </xf>
    <xf numFmtId="166" fontId="34" fillId="0" borderId="0" xfId="0" applyNumberFormat="1" applyFont="1" applyFill="1" applyAlignment="1">
      <alignment horizontal="right"/>
    </xf>
    <xf numFmtId="4" fontId="34" fillId="0" borderId="0" xfId="0" applyNumberFormat="1" applyFont="1" applyAlignment="1"/>
    <xf numFmtId="42" fontId="18" fillId="0" borderId="0" xfId="0" applyNumberFormat="1" applyFont="1" applyFill="1" applyAlignment="1"/>
    <xf numFmtId="221" fontId="27" fillId="0" borderId="0" xfId="8" applyFont="1"/>
    <xf numFmtId="221" fontId="32" fillId="0" borderId="0" xfId="10"/>
    <xf numFmtId="221" fontId="37" fillId="0" borderId="0" xfId="10" applyFont="1" applyAlignment="1">
      <alignment horizontal="center"/>
    </xf>
    <xf numFmtId="221" fontId="38" fillId="0" borderId="0" xfId="10" applyFont="1" applyAlignment="1">
      <alignment horizontal="center"/>
    </xf>
    <xf numFmtId="41" fontId="32" fillId="0" borderId="0" xfId="1" applyNumberFormat="1"/>
    <xf numFmtId="41" fontId="30" fillId="0" borderId="0" xfId="1" applyNumberFormat="1" applyFont="1" applyAlignment="1">
      <alignment vertical="center"/>
    </xf>
    <xf numFmtId="221" fontId="34" fillId="0" borderId="0" xfId="0" applyNumberFormat="1" applyFont="1" applyAlignment="1" applyProtection="1">
      <alignment horizontal="right"/>
      <protection locked="0"/>
    </xf>
    <xf numFmtId="221" fontId="18" fillId="0" borderId="0" xfId="0" applyNumberFormat="1" applyFont="1" applyAlignment="1" applyProtection="1">
      <alignment horizontal="right"/>
      <protection locked="0"/>
    </xf>
    <xf numFmtId="3" fontId="18" fillId="0" borderId="0" xfId="0" applyNumberFormat="1" applyFont="1" applyBorder="1" applyAlignment="1"/>
    <xf numFmtId="41" fontId="27" fillId="0" borderId="0" xfId="8" applyNumberFormat="1" applyFont="1"/>
    <xf numFmtId="221" fontId="36" fillId="0" borderId="0" xfId="10" applyFont="1" applyAlignment="1">
      <alignment horizontal="centerContinuous"/>
    </xf>
    <xf numFmtId="221" fontId="28" fillId="0" borderId="0" xfId="10" applyFont="1" applyAlignment="1">
      <alignment horizontal="centerContinuous"/>
    </xf>
    <xf numFmtId="173" fontId="27" fillId="0" borderId="0" xfId="0" applyFont="1" applyFill="1" applyBorder="1" applyAlignment="1"/>
    <xf numFmtId="221" fontId="32" fillId="0" borderId="0" xfId="6"/>
    <xf numFmtId="173" fontId="27" fillId="0" borderId="0" xfId="0" applyFont="1" applyAlignment="1">
      <alignment horizontal="centerContinuous"/>
    </xf>
    <xf numFmtId="173" fontId="27" fillId="0" borderId="0" xfId="0" applyFont="1"/>
    <xf numFmtId="173" fontId="18" fillId="0" borderId="0" xfId="0" applyFont="1"/>
    <xf numFmtId="173" fontId="18" fillId="0" borderId="0" xfId="0" applyFont="1" applyFill="1" applyBorder="1" applyAlignment="1"/>
    <xf numFmtId="221" fontId="18" fillId="0" borderId="0" xfId="0" applyNumberFormat="1" applyFont="1" applyFill="1" applyBorder="1" applyAlignment="1"/>
    <xf numFmtId="221" fontId="18" fillId="0" borderId="0" xfId="0" applyNumberFormat="1" applyFont="1" applyFill="1" applyBorder="1" applyAlignment="1">
      <alignment horizontal="center"/>
    </xf>
    <xf numFmtId="173" fontId="15" fillId="0" borderId="0" xfId="0" applyFont="1" applyFill="1" applyBorder="1" applyAlignment="1"/>
    <xf numFmtId="221" fontId="18" fillId="0" borderId="0" xfId="0" applyNumberFormat="1" applyFont="1" applyFill="1" applyBorder="1"/>
    <xf numFmtId="3" fontId="18" fillId="0" borderId="0" xfId="0" applyNumberFormat="1" applyFont="1" applyFill="1" applyBorder="1" applyAlignment="1"/>
    <xf numFmtId="221" fontId="18" fillId="0" borderId="0" xfId="0" applyNumberFormat="1" applyFont="1" applyFill="1" applyBorder="1" applyAlignment="1" applyProtection="1">
      <protection locked="0"/>
    </xf>
    <xf numFmtId="173" fontId="18" fillId="0" borderId="0" xfId="0" applyFont="1" applyFill="1" applyBorder="1" applyAlignment="1">
      <alignment horizontal="center"/>
    </xf>
    <xf numFmtId="41" fontId="33" fillId="0" borderId="0" xfId="7" applyNumberFormat="1" applyFont="1"/>
    <xf numFmtId="42" fontId="18" fillId="2" borderId="0" xfId="0" applyNumberFormat="1" applyFont="1" applyFill="1" applyBorder="1" applyProtection="1"/>
    <xf numFmtId="173" fontId="20" fillId="0" borderId="0" xfId="0" applyFont="1" applyAlignment="1">
      <alignment horizontal="centerContinuous"/>
    </xf>
    <xf numFmtId="173" fontId="18" fillId="0" borderId="0" xfId="0" applyFont="1" applyAlignment="1">
      <alignment horizontal="centerContinuous"/>
    </xf>
    <xf numFmtId="221" fontId="18" fillId="0" borderId="0" xfId="7" applyFont="1"/>
    <xf numFmtId="221" fontId="20" fillId="0" borderId="0" xfId="5" applyFont="1" applyBorder="1" applyAlignment="1">
      <alignment horizontal="center"/>
    </xf>
    <xf numFmtId="221" fontId="41" fillId="0" borderId="0" xfId="5" applyFont="1" applyAlignment="1">
      <alignment horizontal="centerContinuous"/>
    </xf>
    <xf numFmtId="221" fontId="18" fillId="0" borderId="0" xfId="5" applyFont="1" applyAlignment="1">
      <alignment horizontal="centerContinuous"/>
    </xf>
    <xf numFmtId="221" fontId="41" fillId="0" borderId="0" xfId="7" applyFont="1" applyAlignment="1">
      <alignment horizontal="center"/>
    </xf>
    <xf numFmtId="221" fontId="18" fillId="0" borderId="0" xfId="5" applyFont="1" applyBorder="1" applyAlignment="1">
      <alignment horizontal="left"/>
    </xf>
    <xf numFmtId="221" fontId="18" fillId="0" borderId="0" xfId="7" applyFont="1" applyAlignment="1">
      <alignment horizontal="left"/>
    </xf>
    <xf numFmtId="41" fontId="52" fillId="0" borderId="0" xfId="6" applyNumberFormat="1" applyFont="1" applyFill="1"/>
    <xf numFmtId="221" fontId="18" fillId="0" borderId="0" xfId="7" applyFont="1" applyAlignment="1">
      <alignment horizontal="left" vertical="center"/>
    </xf>
    <xf numFmtId="42" fontId="49" fillId="0" borderId="0" xfId="7" applyNumberFormat="1" applyFont="1" applyAlignment="1">
      <alignment horizontal="left" vertical="center"/>
    </xf>
    <xf numFmtId="173" fontId="43" fillId="0" borderId="0" xfId="0" applyFont="1" applyAlignment="1">
      <alignment horizontal="centerContinuous"/>
    </xf>
    <xf numFmtId="41" fontId="42" fillId="0" borderId="0" xfId="6" applyNumberFormat="1" applyFont="1" applyFill="1"/>
    <xf numFmtId="221" fontId="18" fillId="0" borderId="0" xfId="6" applyFont="1" applyAlignment="1">
      <alignment horizontal="left" vertical="center"/>
    </xf>
    <xf numFmtId="221" fontId="18" fillId="0" borderId="0" xfId="6" applyFont="1"/>
    <xf numFmtId="41" fontId="34" fillId="0" borderId="0" xfId="7" applyNumberFormat="1" applyFont="1"/>
    <xf numFmtId="42" fontId="49" fillId="0" borderId="0" xfId="7" applyNumberFormat="1" applyFont="1" applyAlignment="1">
      <alignment vertical="center"/>
    </xf>
    <xf numFmtId="221" fontId="27" fillId="0" borderId="0" xfId="8" applyFont="1" applyAlignment="1">
      <alignment horizontal="left"/>
    </xf>
    <xf numFmtId="173" fontId="0" fillId="0" borderId="0" xfId="0" applyFill="1" applyBorder="1" applyAlignment="1"/>
    <xf numFmtId="221" fontId="0" fillId="0" borderId="0" xfId="0" applyNumberFormat="1" applyFont="1" applyFill="1" applyBorder="1"/>
    <xf numFmtId="221" fontId="24" fillId="0" borderId="0" xfId="0" applyNumberFormat="1" applyFont="1" applyFill="1" applyBorder="1"/>
    <xf numFmtId="173" fontId="0" fillId="0" borderId="0" xfId="0" applyFont="1" applyFill="1" applyBorder="1" applyAlignment="1"/>
    <xf numFmtId="221" fontId="0" fillId="0" borderId="0" xfId="0" applyNumberFormat="1" applyFill="1" applyBorder="1" applyAlignment="1" applyProtection="1">
      <alignment horizontal="center"/>
      <protection locked="0"/>
    </xf>
    <xf numFmtId="49" fontId="18" fillId="0" borderId="0" xfId="0" applyNumberFormat="1" applyFont="1" applyFill="1" applyBorder="1"/>
    <xf numFmtId="49" fontId="18" fillId="0" borderId="0" xfId="0" applyNumberFormat="1" applyFont="1" applyFill="1" applyBorder="1" applyAlignment="1">
      <alignment horizontal="center"/>
    </xf>
    <xf numFmtId="3" fontId="0" fillId="0" borderId="0" xfId="0" applyNumberFormat="1" applyFont="1" applyFill="1" applyBorder="1" applyAlignment="1"/>
    <xf numFmtId="221" fontId="0" fillId="0" borderId="0" xfId="0" applyNumberFormat="1" applyFont="1" applyFill="1" applyBorder="1" applyAlignment="1"/>
    <xf numFmtId="3" fontId="20" fillId="0" borderId="0" xfId="0" applyNumberFormat="1" applyFont="1" applyFill="1" applyBorder="1" applyAlignment="1">
      <alignment horizontal="center"/>
    </xf>
    <xf numFmtId="221" fontId="0" fillId="0" borderId="0" xfId="0" applyNumberFormat="1" applyFont="1" applyFill="1" applyBorder="1" applyAlignment="1">
      <alignment horizontal="center"/>
    </xf>
    <xf numFmtId="221" fontId="20" fillId="0" borderId="0" xfId="0" applyNumberFormat="1" applyFont="1" applyFill="1" applyBorder="1" applyAlignment="1" applyProtection="1">
      <alignment horizontal="center"/>
      <protection locked="0"/>
    </xf>
    <xf numFmtId="221" fontId="20" fillId="0" borderId="0" xfId="0" applyNumberFormat="1" applyFont="1" applyFill="1" applyBorder="1" applyAlignment="1"/>
    <xf numFmtId="221" fontId="55" fillId="0" borderId="0" xfId="0" applyNumberFormat="1" applyFont="1" applyFill="1" applyBorder="1" applyAlignment="1" applyProtection="1">
      <alignment horizontal="center"/>
      <protection locked="0"/>
    </xf>
    <xf numFmtId="3" fontId="0" fillId="0" borderId="0" xfId="0" applyNumberFormat="1" applyFill="1" applyBorder="1" applyAlignment="1">
      <alignment horizontal="center"/>
    </xf>
    <xf numFmtId="3" fontId="18" fillId="0" borderId="0" xfId="0" applyNumberFormat="1" applyFont="1" applyFill="1" applyBorder="1" applyAlignment="1">
      <alignment horizontal="center"/>
    </xf>
    <xf numFmtId="41" fontId="18" fillId="2" borderId="0" xfId="0" applyNumberFormat="1" applyFont="1" applyFill="1" applyBorder="1" applyAlignment="1"/>
    <xf numFmtId="10" fontId="18" fillId="0" borderId="0" xfId="0" applyNumberFormat="1" applyFont="1" applyFill="1" applyBorder="1" applyAlignment="1"/>
    <xf numFmtId="10" fontId="0" fillId="0" borderId="0" xfId="11" applyNumberFormat="1" applyFont="1" applyFill="1" applyBorder="1" applyAlignment="1"/>
    <xf numFmtId="10" fontId="20" fillId="0" borderId="0" xfId="0" applyNumberFormat="1" applyFont="1" applyFill="1" applyBorder="1" applyAlignment="1"/>
    <xf numFmtId="3" fontId="23" fillId="0" borderId="0" xfId="0" applyNumberFormat="1" applyFont="1" applyFill="1" applyBorder="1" applyAlignment="1"/>
    <xf numFmtId="49" fontId="0" fillId="0" borderId="0" xfId="0" applyNumberFormat="1" applyFill="1" applyBorder="1" applyAlignment="1">
      <alignment horizontal="center"/>
    </xf>
    <xf numFmtId="3" fontId="0" fillId="0" borderId="0" xfId="0" applyNumberFormat="1" applyFont="1" applyFill="1" applyBorder="1" applyAlignment="1">
      <alignment horizontal="center"/>
    </xf>
    <xf numFmtId="49" fontId="23" fillId="0" borderId="0" xfId="0" applyNumberFormat="1" applyFont="1" applyFill="1" applyBorder="1" applyAlignment="1">
      <alignment horizontal="center"/>
    </xf>
    <xf numFmtId="173" fontId="23" fillId="0" borderId="0" xfId="0" applyFont="1" applyFill="1" applyBorder="1" applyAlignment="1"/>
    <xf numFmtId="3" fontId="20" fillId="0" borderId="0" xfId="0" applyNumberFormat="1" applyFont="1" applyFill="1" applyBorder="1" applyAlignment="1"/>
    <xf numFmtId="10" fontId="20" fillId="0" borderId="0" xfId="11" applyNumberFormat="1" applyFont="1" applyFill="1" applyBorder="1" applyAlignment="1"/>
    <xf numFmtId="49" fontId="0" fillId="0" borderId="0" xfId="0" applyNumberFormat="1" applyFont="1" applyFill="1" applyBorder="1" applyAlignment="1">
      <alignment horizontal="center"/>
    </xf>
    <xf numFmtId="173" fontId="26" fillId="0" borderId="0" xfId="0" applyFont="1" applyFill="1" applyBorder="1" applyAlignment="1"/>
    <xf numFmtId="164" fontId="18" fillId="0" borderId="0" xfId="0" applyNumberFormat="1" applyFont="1" applyFill="1" applyBorder="1" applyAlignment="1">
      <alignment horizontal="center"/>
    </xf>
    <xf numFmtId="10" fontId="18" fillId="0" borderId="0" xfId="11" applyNumberFormat="1" applyFont="1" applyFill="1" applyBorder="1" applyAlignment="1"/>
    <xf numFmtId="49" fontId="16" fillId="0" borderId="0" xfId="0" applyNumberFormat="1" applyFont="1" applyFill="1" applyBorder="1" applyAlignment="1">
      <alignment horizontal="left"/>
    </xf>
    <xf numFmtId="221" fontId="16" fillId="0" borderId="0" xfId="0" applyNumberFormat="1" applyFont="1" applyFill="1" applyBorder="1" applyAlignment="1">
      <alignment horizontal="right"/>
    </xf>
    <xf numFmtId="49" fontId="0" fillId="0" borderId="0" xfId="0" applyNumberFormat="1" applyFill="1" applyBorder="1" applyAlignment="1">
      <alignment horizontal="left"/>
    </xf>
    <xf numFmtId="173" fontId="18" fillId="0" borderId="0" xfId="0" applyFont="1" applyFill="1" applyBorder="1" applyAlignment="1">
      <alignment horizontal="right"/>
    </xf>
    <xf numFmtId="177" fontId="20" fillId="0" borderId="0" xfId="0" applyNumberFormat="1" applyFont="1" applyFill="1" applyBorder="1" applyAlignment="1">
      <alignment horizontal="center"/>
    </xf>
    <xf numFmtId="173" fontId="23" fillId="0" borderId="15" xfId="0" applyFont="1" applyFill="1" applyBorder="1" applyAlignment="1">
      <alignment horizontal="center" wrapText="1"/>
    </xf>
    <xf numFmtId="173" fontId="23" fillId="0" borderId="16" xfId="0" applyFont="1" applyFill="1" applyBorder="1" applyAlignment="1"/>
    <xf numFmtId="173" fontId="23" fillId="0" borderId="16" xfId="0" applyFont="1" applyFill="1" applyBorder="1" applyAlignment="1">
      <alignment horizontal="center" wrapText="1"/>
    </xf>
    <xf numFmtId="221" fontId="20" fillId="0" borderId="16" xfId="0" applyNumberFormat="1" applyFont="1" applyFill="1" applyBorder="1" applyAlignment="1">
      <alignment horizontal="center" wrapText="1"/>
    </xf>
    <xf numFmtId="173" fontId="23" fillId="0" borderId="14" xfId="0" applyFont="1" applyFill="1" applyBorder="1" applyAlignment="1">
      <alignment horizontal="center" wrapText="1"/>
    </xf>
    <xf numFmtId="3" fontId="20" fillId="0" borderId="14" xfId="0" applyNumberFormat="1" applyFont="1" applyFill="1" applyBorder="1" applyAlignment="1">
      <alignment horizontal="center" wrapText="1"/>
    </xf>
    <xf numFmtId="3" fontId="20" fillId="0" borderId="16" xfId="0" applyNumberFormat="1" applyFont="1" applyFill="1" applyBorder="1" applyAlignment="1">
      <alignment horizontal="center" wrapText="1"/>
    </xf>
    <xf numFmtId="221" fontId="18" fillId="0" borderId="15" xfId="0" applyNumberFormat="1" applyFont="1" applyFill="1" applyBorder="1"/>
    <xf numFmtId="221" fontId="18" fillId="0" borderId="16" xfId="0" applyNumberFormat="1" applyFont="1" applyFill="1" applyBorder="1"/>
    <xf numFmtId="221" fontId="18" fillId="0" borderId="16" xfId="0" applyNumberFormat="1" applyFont="1" applyFill="1" applyBorder="1" applyAlignment="1">
      <alignment horizontal="center"/>
    </xf>
    <xf numFmtId="221" fontId="18" fillId="0" borderId="14" xfId="0" applyNumberFormat="1" applyFont="1" applyFill="1" applyBorder="1" applyAlignment="1">
      <alignment horizontal="center"/>
    </xf>
    <xf numFmtId="3" fontId="18" fillId="0" borderId="16" xfId="0" applyNumberFormat="1" applyFont="1" applyFill="1" applyBorder="1" applyAlignment="1">
      <alignment horizontal="center"/>
    </xf>
    <xf numFmtId="3" fontId="18" fillId="0" borderId="14" xfId="0" applyNumberFormat="1" applyFont="1" applyFill="1" applyBorder="1" applyAlignment="1">
      <alignment horizontal="center" wrapText="1"/>
    </xf>
    <xf numFmtId="221" fontId="18" fillId="0" borderId="3" xfId="0" applyNumberFormat="1" applyFont="1" applyFill="1" applyBorder="1"/>
    <xf numFmtId="221" fontId="18" fillId="0" borderId="17" xfId="0" applyNumberFormat="1" applyFont="1" applyFill="1" applyBorder="1"/>
    <xf numFmtId="3" fontId="18" fillId="0" borderId="17" xfId="0" applyNumberFormat="1" applyFont="1" applyFill="1" applyBorder="1" applyAlignment="1"/>
    <xf numFmtId="173" fontId="0" fillId="0" borderId="3" xfId="0" applyFill="1" applyBorder="1" applyAlignment="1"/>
    <xf numFmtId="175" fontId="0" fillId="2" borderId="0" xfId="12" applyNumberFormat="1" applyFont="1" applyFill="1" applyBorder="1" applyAlignment="1"/>
    <xf numFmtId="173" fontId="0" fillId="0" borderId="17" xfId="0" applyFill="1" applyBorder="1" applyAlignment="1"/>
    <xf numFmtId="170" fontId="0" fillId="2" borderId="0" xfId="0" applyNumberFormat="1" applyFill="1" applyBorder="1" applyAlignment="1"/>
    <xf numFmtId="175" fontId="18" fillId="2" borderId="0" xfId="12" applyNumberFormat="1" applyFont="1" applyFill="1" applyBorder="1" applyAlignment="1"/>
    <xf numFmtId="173" fontId="17" fillId="0" borderId="0" xfId="0" applyFont="1" applyFill="1" applyBorder="1" applyAlignment="1"/>
    <xf numFmtId="173" fontId="17" fillId="0" borderId="17" xfId="0" applyFont="1" applyFill="1" applyBorder="1" applyAlignment="1"/>
    <xf numFmtId="173" fontId="0" fillId="0" borderId="5" xfId="0" applyFill="1" applyBorder="1" applyAlignment="1"/>
    <xf numFmtId="173" fontId="0" fillId="0" borderId="6" xfId="0" applyFill="1" applyBorder="1" applyAlignment="1"/>
    <xf numFmtId="173" fontId="17" fillId="0" borderId="6" xfId="0" applyFont="1" applyFill="1" applyBorder="1" applyAlignment="1"/>
    <xf numFmtId="173" fontId="17" fillId="0" borderId="12" xfId="0" applyFont="1" applyFill="1" applyBorder="1" applyAlignment="1"/>
    <xf numFmtId="1" fontId="18" fillId="0" borderId="0" xfId="13" applyNumberFormat="1" applyFont="1" applyFill="1" applyBorder="1" applyAlignment="1">
      <alignment horizontal="center"/>
    </xf>
    <xf numFmtId="173" fontId="18" fillId="0" borderId="1" xfId="0" applyFont="1" applyFill="1" applyBorder="1" applyAlignment="1"/>
    <xf numFmtId="173" fontId="15" fillId="0" borderId="0" xfId="0" applyFont="1" applyFill="1" applyBorder="1" applyAlignment="1">
      <alignment horizontal="center"/>
    </xf>
    <xf numFmtId="173" fontId="15" fillId="0" borderId="0" xfId="0" applyFont="1" applyFill="1" applyBorder="1" applyAlignment="1">
      <alignment horizontal="center" vertical="top"/>
    </xf>
    <xf numFmtId="173" fontId="16" fillId="0" borderId="0" xfId="0" applyFont="1" applyFill="1" applyBorder="1" applyAlignment="1"/>
    <xf numFmtId="49" fontId="16" fillId="0" borderId="0" xfId="0" applyNumberFormat="1" applyFont="1" applyFill="1" applyBorder="1" applyAlignment="1">
      <alignment horizontal="center"/>
    </xf>
    <xf numFmtId="221" fontId="27" fillId="0" borderId="0" xfId="10" applyFont="1" applyAlignment="1">
      <alignment horizontal="left" indent="1"/>
    </xf>
    <xf numFmtId="173" fontId="27" fillId="0" borderId="0" xfId="0" applyFont="1" applyFill="1"/>
    <xf numFmtId="169" fontId="20" fillId="2" borderId="0" xfId="0" applyNumberFormat="1" applyFont="1" applyFill="1" applyAlignment="1"/>
    <xf numFmtId="221" fontId="51" fillId="0" borderId="0" xfId="7" applyFont="1"/>
    <xf numFmtId="221" fontId="20" fillId="0" borderId="0" xfId="7" applyFont="1" applyBorder="1" applyAlignment="1">
      <alignment horizontal="center"/>
    </xf>
    <xf numFmtId="221" fontId="41" fillId="0" borderId="0" xfId="5" applyFont="1" applyFill="1" applyAlignment="1">
      <alignment horizontal="centerContinuous"/>
    </xf>
    <xf numFmtId="221" fontId="41" fillId="0" borderId="0" xfId="7" applyFont="1" applyFill="1" applyAlignment="1">
      <alignment horizontal="center"/>
    </xf>
    <xf numFmtId="42" fontId="18" fillId="0" borderId="0" xfId="7" applyNumberFormat="1" applyFont="1" applyFill="1"/>
    <xf numFmtId="221" fontId="18" fillId="0" borderId="0" xfId="7" applyFont="1" applyFill="1"/>
    <xf numFmtId="42" fontId="49" fillId="0" borderId="0" xfId="7" applyNumberFormat="1" applyFont="1" applyFill="1" applyAlignment="1">
      <alignment vertical="center"/>
    </xf>
    <xf numFmtId="221" fontId="18" fillId="0" borderId="0" xfId="0" applyNumberFormat="1" applyFont="1" applyFill="1" applyBorder="1" applyAlignment="1" applyProtection="1">
      <alignment horizontal="centerContinuous"/>
      <protection locked="0"/>
    </xf>
    <xf numFmtId="3" fontId="18" fillId="0" borderId="0" xfId="0" applyNumberFormat="1" applyFont="1" applyFill="1" applyBorder="1" applyAlignment="1">
      <alignment horizontal="centerContinuous"/>
    </xf>
    <xf numFmtId="221" fontId="18" fillId="0" borderId="0" xfId="0" applyNumberFormat="1" applyFont="1" applyFill="1" applyBorder="1" applyAlignment="1">
      <alignment horizontal="centerContinuous"/>
    </xf>
    <xf numFmtId="173" fontId="18" fillId="0" borderId="0" xfId="0" applyFont="1" applyFill="1" applyBorder="1" applyAlignment="1">
      <alignment horizontal="centerContinuous"/>
    </xf>
    <xf numFmtId="37" fontId="18" fillId="0" borderId="0" xfId="0" applyNumberFormat="1" applyFont="1" applyFill="1" applyAlignment="1"/>
    <xf numFmtId="37" fontId="18" fillId="0" borderId="1" xfId="0" applyNumberFormat="1" applyFont="1" applyFill="1" applyBorder="1" applyAlignment="1"/>
    <xf numFmtId="37" fontId="18" fillId="0" borderId="0" xfId="0" applyNumberFormat="1" applyFont="1" applyAlignment="1"/>
    <xf numFmtId="37" fontId="18" fillId="0" borderId="1" xfId="0" applyNumberFormat="1" applyFont="1" applyBorder="1" applyAlignment="1"/>
    <xf numFmtId="37" fontId="34" fillId="0" borderId="0" xfId="0" applyNumberFormat="1" applyFont="1" applyAlignment="1"/>
    <xf numFmtId="37" fontId="18" fillId="0" borderId="0" xfId="0" applyNumberFormat="1" applyFont="1" applyBorder="1" applyAlignment="1"/>
    <xf numFmtId="37" fontId="18" fillId="0" borderId="0" xfId="0" applyNumberFormat="1" applyFont="1" applyFill="1"/>
    <xf numFmtId="37" fontId="18" fillId="0" borderId="0" xfId="0" applyNumberFormat="1" applyFont="1"/>
    <xf numFmtId="37" fontId="34" fillId="2" borderId="0" xfId="0" applyNumberFormat="1" applyFont="1" applyFill="1" applyAlignment="1"/>
    <xf numFmtId="37" fontId="18" fillId="2" borderId="1" xfId="0" applyNumberFormat="1" applyFont="1" applyFill="1" applyBorder="1" applyAlignment="1"/>
    <xf numFmtId="173" fontId="18" fillId="0" borderId="0" xfId="0" applyFont="1" applyBorder="1" applyAlignment="1"/>
    <xf numFmtId="221" fontId="18" fillId="0" borderId="0" xfId="0" applyNumberFormat="1" applyFont="1" applyBorder="1" applyAlignment="1"/>
    <xf numFmtId="173" fontId="25" fillId="0" borderId="0" xfId="0" applyFont="1" applyBorder="1"/>
    <xf numFmtId="173" fontId="25" fillId="0" borderId="0" xfId="0" applyFont="1" applyBorder="1" applyAlignment="1">
      <alignment horizontal="left" wrapText="1"/>
    </xf>
    <xf numFmtId="173" fontId="18" fillId="0" borderId="0" xfId="0" applyFont="1" applyFill="1" applyAlignment="1" applyProtection="1"/>
    <xf numFmtId="38" fontId="18" fillId="0" borderId="0" xfId="0" applyNumberFormat="1" applyFont="1" applyAlignment="1" applyProtection="1"/>
    <xf numFmtId="38" fontId="18" fillId="0" borderId="0" xfId="0" applyNumberFormat="1" applyFont="1" applyAlignment="1"/>
    <xf numFmtId="3" fontId="18" fillId="0" borderId="0" xfId="0" applyNumberFormat="1" applyFont="1" applyFill="1" applyAlignment="1" applyProtection="1"/>
    <xf numFmtId="170" fontId="18" fillId="0" borderId="0" xfId="0" applyNumberFormat="1" applyFont="1" applyProtection="1">
      <protection locked="0"/>
    </xf>
    <xf numFmtId="221" fontId="46" fillId="0" borderId="0" xfId="0" applyNumberFormat="1" applyFont="1" applyProtection="1">
      <protection locked="0"/>
    </xf>
    <xf numFmtId="221" fontId="46" fillId="0" borderId="0" xfId="0" applyNumberFormat="1" applyFont="1" applyFill="1" applyProtection="1">
      <protection locked="0"/>
    </xf>
    <xf numFmtId="173" fontId="57" fillId="0" borderId="0" xfId="0" applyFont="1" applyAlignment="1"/>
    <xf numFmtId="10" fontId="18" fillId="0" borderId="0" xfId="0" applyNumberFormat="1" applyFont="1" applyFill="1"/>
    <xf numFmtId="221" fontId="27" fillId="0" borderId="0" xfId="0" applyNumberFormat="1" applyFont="1" applyFill="1"/>
    <xf numFmtId="221" fontId="27" fillId="0" borderId="0" xfId="0" applyNumberFormat="1" applyFont="1"/>
    <xf numFmtId="37" fontId="18" fillId="0" borderId="0" xfId="0" applyNumberFormat="1" applyFont="1" applyFill="1" applyBorder="1" applyProtection="1"/>
    <xf numFmtId="175" fontId="50" fillId="2" borderId="0" xfId="12" applyNumberFormat="1" applyFont="1" applyFill="1" applyBorder="1" applyAlignment="1"/>
    <xf numFmtId="221" fontId="27" fillId="0" borderId="0" xfId="8" applyFont="1" applyAlignment="1">
      <alignment horizontal="right"/>
    </xf>
    <xf numFmtId="221" fontId="58" fillId="0" borderId="0" xfId="8" applyFont="1" applyAlignment="1">
      <alignment horizontal="left"/>
    </xf>
    <xf numFmtId="221" fontId="33" fillId="0" borderId="0" xfId="8" applyFont="1" applyAlignment="1">
      <alignment horizontal="left"/>
    </xf>
    <xf numFmtId="221" fontId="27" fillId="0" borderId="0" xfId="8" applyFont="1" applyBorder="1"/>
    <xf numFmtId="41" fontId="27" fillId="0" borderId="0" xfId="13" applyNumberFormat="1" applyFont="1" applyBorder="1"/>
    <xf numFmtId="41" fontId="27" fillId="0" borderId="0" xfId="8" applyNumberFormat="1" applyFont="1" applyBorder="1"/>
    <xf numFmtId="221" fontId="27" fillId="0" borderId="0" xfId="8" applyFont="1" applyFill="1" applyBorder="1"/>
    <xf numFmtId="221" fontId="27" fillId="0" borderId="0" xfId="8" applyFont="1" applyFill="1" applyBorder="1" applyAlignment="1">
      <alignment horizontal="left"/>
    </xf>
    <xf numFmtId="221" fontId="29" fillId="0" borderId="0" xfId="8" applyFont="1" applyFill="1" applyBorder="1" applyAlignment="1">
      <alignment horizontal="center"/>
    </xf>
    <xf numFmtId="41" fontId="27" fillId="0" borderId="0" xfId="8" applyNumberFormat="1" applyFont="1" applyFill="1" applyBorder="1"/>
    <xf numFmtId="41" fontId="29" fillId="0" borderId="0" xfId="8" applyNumberFormat="1" applyFont="1" applyFill="1" applyBorder="1"/>
    <xf numFmtId="41" fontId="39" fillId="0" borderId="0" xfId="8" applyNumberFormat="1" applyFont="1" applyFill="1" applyBorder="1" applyAlignment="1">
      <alignment vertical="center"/>
    </xf>
    <xf numFmtId="221" fontId="27" fillId="0" borderId="0" xfId="8" applyFont="1" applyFill="1" applyBorder="1" applyAlignment="1">
      <alignment horizontal="center"/>
    </xf>
    <xf numFmtId="37" fontId="27" fillId="0" borderId="0" xfId="8" applyNumberFormat="1" applyFont="1" applyFill="1" applyBorder="1"/>
    <xf numFmtId="41" fontId="27" fillId="0" borderId="0" xfId="13" applyNumberFormat="1" applyFont="1" applyFill="1" applyBorder="1"/>
    <xf numFmtId="221" fontId="22" fillId="0" borderId="0" xfId="15" applyFont="1" applyFill="1"/>
    <xf numFmtId="221" fontId="44" fillId="0" borderId="0" xfId="15" applyFont="1" applyFill="1"/>
    <xf numFmtId="221" fontId="18" fillId="0" borderId="0" xfId="0" applyNumberFormat="1" applyFont="1" applyAlignment="1" applyProtection="1">
      <alignment horizontal="centerContinuous"/>
      <protection locked="0"/>
    </xf>
    <xf numFmtId="221" fontId="18" fillId="0" borderId="0" xfId="0" applyNumberFormat="1" applyFont="1" applyFill="1" applyAlignment="1">
      <alignment horizontal="centerContinuous"/>
    </xf>
    <xf numFmtId="3" fontId="18" fillId="0" borderId="0" xfId="0" applyNumberFormat="1" applyFont="1" applyAlignment="1">
      <alignment horizontal="centerContinuous"/>
    </xf>
    <xf numFmtId="221" fontId="18" fillId="0" borderId="0" xfId="0" applyNumberFormat="1" applyFont="1" applyAlignment="1">
      <alignment horizontal="centerContinuous"/>
    </xf>
    <xf numFmtId="221" fontId="18" fillId="0" borderId="0" xfId="0" applyNumberFormat="1" applyFont="1" applyFill="1" applyAlignment="1" applyProtection="1">
      <alignment horizontal="centerContinuous"/>
      <protection locked="0"/>
    </xf>
    <xf numFmtId="173" fontId="51" fillId="0" borderId="0" xfId="0" applyFont="1" applyFill="1" applyAlignment="1">
      <alignment horizontal="centerContinuous"/>
    </xf>
    <xf numFmtId="173" fontId="18" fillId="0" borderId="0" xfId="0" applyFont="1" applyFill="1" applyAlignment="1">
      <alignment horizontal="centerContinuous"/>
    </xf>
    <xf numFmtId="3" fontId="18" fillId="0" borderId="0" xfId="0" applyNumberFormat="1" applyFont="1" applyFill="1" applyAlignment="1">
      <alignment horizontal="centerContinuous"/>
    </xf>
    <xf numFmtId="173" fontId="18" fillId="0" borderId="0" xfId="0" applyFont="1" applyFill="1" applyBorder="1" applyAlignment="1">
      <alignment horizontal="left"/>
    </xf>
    <xf numFmtId="173" fontId="0" fillId="0" borderId="0" xfId="0" applyFill="1" applyBorder="1" applyAlignment="1">
      <alignment horizontal="centerContinuous"/>
    </xf>
    <xf numFmtId="221" fontId="20" fillId="0" borderId="0" xfId="0" applyNumberFormat="1" applyFont="1" applyFill="1" applyBorder="1" applyAlignment="1">
      <alignment horizontal="centerContinuous"/>
    </xf>
    <xf numFmtId="49" fontId="51" fillId="0" borderId="0" xfId="0" applyNumberFormat="1" applyFont="1" applyFill="1" applyBorder="1" applyAlignment="1">
      <alignment horizontal="centerContinuous"/>
    </xf>
    <xf numFmtId="49" fontId="18" fillId="0" borderId="0" xfId="0" applyNumberFormat="1" applyFont="1" applyFill="1" applyBorder="1" applyAlignment="1">
      <alignment horizontal="centerContinuous"/>
    </xf>
    <xf numFmtId="37" fontId="51" fillId="4" borderId="0" xfId="0" applyNumberFormat="1" applyFont="1" applyFill="1" applyAlignment="1"/>
    <xf numFmtId="221" fontId="27" fillId="0" borderId="0" xfId="10" applyFont="1"/>
    <xf numFmtId="221" fontId="18" fillId="0" borderId="0" xfId="0" applyNumberFormat="1" applyFont="1" applyBorder="1"/>
    <xf numFmtId="221" fontId="113" fillId="0" borderId="0" xfId="0" applyNumberFormat="1" applyFont="1" applyBorder="1" applyAlignment="1" applyProtection="1">
      <alignment horizontal="center"/>
      <protection locked="0"/>
    </xf>
    <xf numFmtId="173" fontId="113" fillId="0" borderId="0" xfId="0" applyFont="1" applyAlignment="1"/>
    <xf numFmtId="221" fontId="114" fillId="0" borderId="0" xfId="0" applyNumberFormat="1" applyFont="1" applyAlignment="1" applyProtection="1">
      <alignment horizontal="center"/>
      <protection locked="0"/>
    </xf>
    <xf numFmtId="173" fontId="113" fillId="0" borderId="0" xfId="0" applyFont="1" applyAlignment="1">
      <alignment horizontal="centerContinuous"/>
    </xf>
    <xf numFmtId="221" fontId="113" fillId="0" borderId="0" xfId="0" applyNumberFormat="1" applyFont="1" applyAlignment="1"/>
    <xf numFmtId="221" fontId="18" fillId="0" borderId="0" xfId="0" applyNumberFormat="1" applyFont="1" applyFill="1" applyAlignment="1" applyProtection="1">
      <alignment horizontal="right"/>
      <protection locked="0"/>
    </xf>
    <xf numFmtId="173" fontId="113" fillId="0" borderId="0" xfId="0" applyFont="1" applyBorder="1" applyAlignment="1"/>
    <xf numFmtId="221" fontId="113" fillId="0" borderId="0" xfId="0" applyNumberFormat="1" applyFont="1" applyBorder="1"/>
    <xf numFmtId="221" fontId="113" fillId="0" borderId="0" xfId="0" applyNumberFormat="1" applyFont="1" applyBorder="1" applyAlignment="1"/>
    <xf numFmtId="173" fontId="113" fillId="0" borderId="0" xfId="0" applyFont="1" applyBorder="1" applyAlignment="1">
      <alignment horizontal="centerContinuous"/>
    </xf>
    <xf numFmtId="221" fontId="51" fillId="0" borderId="0" xfId="0" applyNumberFormat="1" applyFont="1" applyFill="1" applyAlignment="1" applyProtection="1">
      <alignment horizontal="centerContinuous"/>
      <protection locked="0"/>
    </xf>
    <xf numFmtId="221" fontId="27" fillId="0" borderId="0" xfId="6" applyFont="1"/>
    <xf numFmtId="10" fontId="39" fillId="0" borderId="0" xfId="8" applyNumberFormat="1" applyFont="1" applyFill="1" applyBorder="1" applyAlignment="1">
      <alignment vertical="center"/>
    </xf>
    <xf numFmtId="173" fontId="18" fillId="0" borderId="0" xfId="325" applyFont="1" applyAlignment="1"/>
    <xf numFmtId="173" fontId="15" fillId="0" borderId="0" xfId="325" applyFont="1" applyAlignment="1"/>
    <xf numFmtId="173" fontId="18" fillId="0" borderId="0" xfId="325" applyFont="1" applyFill="1" applyAlignment="1"/>
    <xf numFmtId="173" fontId="15" fillId="0" borderId="0" xfId="325" applyFont="1" applyFill="1" applyAlignment="1"/>
    <xf numFmtId="221" fontId="18" fillId="0" borderId="0" xfId="325" applyNumberFormat="1" applyFont="1" applyFill="1"/>
    <xf numFmtId="221" fontId="15" fillId="0" borderId="0" xfId="325" applyNumberFormat="1" applyFont="1" applyFill="1"/>
    <xf numFmtId="221" fontId="115" fillId="0" borderId="0" xfId="326"/>
    <xf numFmtId="221" fontId="18" fillId="0" borderId="0" xfId="325" applyNumberFormat="1" applyFont="1" applyFill="1" applyProtection="1">
      <protection locked="0"/>
    </xf>
    <xf numFmtId="221" fontId="15" fillId="0" borderId="0" xfId="325" applyNumberFormat="1" applyFont="1" applyFill="1" applyProtection="1">
      <protection locked="0"/>
    </xf>
    <xf numFmtId="221" fontId="18" fillId="0" borderId="0" xfId="326" applyFont="1"/>
    <xf numFmtId="173" fontId="18" fillId="0" borderId="0" xfId="325" applyFont="1" applyAlignment="1" applyProtection="1">
      <protection locked="0"/>
    </xf>
    <xf numFmtId="221" fontId="18" fillId="0" borderId="0" xfId="326" applyNumberFormat="1" applyFont="1" applyFill="1"/>
    <xf numFmtId="221" fontId="18" fillId="0" borderId="0" xfId="326" applyFont="1" applyFill="1"/>
    <xf numFmtId="221" fontId="15" fillId="0" borderId="0" xfId="325" applyNumberFormat="1" applyFont="1" applyFill="1" applyAlignment="1" applyProtection="1">
      <alignment horizontal="center"/>
      <protection locked="0"/>
    </xf>
    <xf numFmtId="272" fontId="18" fillId="0" borderId="0" xfId="325" applyNumberFormat="1" applyFont="1" applyAlignment="1"/>
    <xf numFmtId="221" fontId="18" fillId="0" borderId="0" xfId="326" quotePrefix="1" applyFont="1"/>
    <xf numFmtId="221" fontId="18" fillId="0" borderId="0" xfId="326" applyFont="1" applyAlignment="1">
      <alignment horizontal="center"/>
    </xf>
    <xf numFmtId="221" fontId="18" fillId="0" borderId="0" xfId="325" applyNumberFormat="1" applyFont="1" applyProtection="1">
      <protection locked="0"/>
    </xf>
    <xf numFmtId="43" fontId="18" fillId="0" borderId="0" xfId="89" applyFont="1" applyAlignment="1"/>
    <xf numFmtId="1" fontId="18" fillId="0" borderId="0" xfId="325" applyNumberFormat="1" applyFont="1" applyAlignment="1" applyProtection="1">
      <alignment horizontal="center"/>
      <protection locked="0"/>
    </xf>
    <xf numFmtId="221" fontId="18" fillId="0" borderId="0" xfId="325" applyNumberFormat="1" applyFont="1" applyAlignment="1" applyProtection="1">
      <alignment horizontal="center"/>
      <protection locked="0"/>
    </xf>
    <xf numFmtId="221" fontId="15" fillId="0" borderId="0" xfId="325" applyNumberFormat="1" applyFont="1" applyAlignment="1" applyProtection="1">
      <alignment horizontal="center"/>
      <protection locked="0"/>
    </xf>
    <xf numFmtId="221" fontId="18" fillId="0" borderId="0" xfId="325" applyNumberFormat="1" applyFont="1" applyBorder="1" applyAlignment="1" applyProtection="1">
      <alignment horizontal="center"/>
      <protection locked="0"/>
    </xf>
    <xf numFmtId="173" fontId="20" fillId="0" borderId="0" xfId="325" applyFont="1" applyAlignment="1">
      <alignment horizontal="center"/>
    </xf>
    <xf numFmtId="170" fontId="18" fillId="0" borderId="0" xfId="325" applyNumberFormat="1" applyFont="1" applyFill="1" applyBorder="1" applyAlignment="1" applyProtection="1">
      <protection locked="0"/>
    </xf>
    <xf numFmtId="221" fontId="18" fillId="0" borderId="0" xfId="325" applyNumberFormat="1" applyFont="1" applyFill="1" applyBorder="1" applyProtection="1">
      <protection locked="0"/>
    </xf>
    <xf numFmtId="221" fontId="18" fillId="0" borderId="0" xfId="326" applyNumberFormat="1" applyFont="1"/>
    <xf numFmtId="42" fontId="18" fillId="0" borderId="0" xfId="325" applyNumberFormat="1" applyFont="1" applyFill="1" applyBorder="1" applyAlignment="1" applyProtection="1">
      <protection locked="0"/>
    </xf>
    <xf numFmtId="42" fontId="18" fillId="0" borderId="0" xfId="325" applyNumberFormat="1" applyFont="1" applyFill="1" applyBorder="1" applyProtection="1">
      <protection locked="0"/>
    </xf>
    <xf numFmtId="42" fontId="18" fillId="0" borderId="22" xfId="325" applyNumberFormat="1" applyFont="1" applyFill="1" applyBorder="1" applyAlignment="1" applyProtection="1">
      <protection locked="0"/>
    </xf>
    <xf numFmtId="1" fontId="18" fillId="0" borderId="20" xfId="325" applyNumberFormat="1" applyFont="1" applyBorder="1" applyAlignment="1" applyProtection="1">
      <alignment horizontal="center"/>
      <protection locked="0"/>
    </xf>
    <xf numFmtId="221" fontId="18" fillId="0" borderId="20" xfId="325" applyNumberFormat="1" applyFont="1" applyBorder="1" applyProtection="1">
      <protection locked="0"/>
    </xf>
    <xf numFmtId="221" fontId="18" fillId="0" borderId="23" xfId="326" applyNumberFormat="1" applyFont="1" applyBorder="1"/>
    <xf numFmtId="42" fontId="18" fillId="0" borderId="0" xfId="325" applyNumberFormat="1" applyFont="1" applyFill="1" applyAlignment="1"/>
    <xf numFmtId="42" fontId="18" fillId="0" borderId="0" xfId="325" applyNumberFormat="1" applyFont="1" applyFill="1" applyAlignment="1" applyProtection="1">
      <protection locked="0"/>
    </xf>
    <xf numFmtId="42" fontId="18" fillId="0" borderId="0" xfId="325" applyNumberFormat="1" applyFont="1" applyBorder="1" applyAlignment="1" applyProtection="1">
      <protection locked="0"/>
    </xf>
    <xf numFmtId="42" fontId="18" fillId="0" borderId="0" xfId="325" applyNumberFormat="1" applyFont="1" applyBorder="1" applyProtection="1">
      <protection locked="0"/>
    </xf>
    <xf numFmtId="221" fontId="15" fillId="0" borderId="0" xfId="325" applyNumberFormat="1" applyFont="1" applyBorder="1" applyAlignment="1" applyProtection="1">
      <alignment horizontal="center"/>
      <protection locked="0"/>
    </xf>
    <xf numFmtId="221" fontId="20" fillId="0" borderId="0" xfId="325" applyNumberFormat="1" applyFont="1" applyAlignment="1" applyProtection="1">
      <alignment horizontal="center"/>
      <protection locked="0"/>
    </xf>
    <xf numFmtId="49" fontId="18" fillId="0" borderId="0" xfId="325" applyNumberFormat="1" applyFont="1" applyAlignment="1" applyProtection="1">
      <alignment horizontal="center"/>
      <protection locked="0"/>
    </xf>
    <xf numFmtId="49" fontId="35" fillId="0" borderId="0" xfId="325" applyNumberFormat="1" applyFont="1" applyAlignment="1" applyProtection="1">
      <alignment horizontal="center"/>
      <protection locked="0"/>
    </xf>
    <xf numFmtId="49" fontId="35" fillId="0" borderId="0" xfId="325" applyNumberFormat="1" applyFont="1" applyAlignment="1" applyProtection="1">
      <alignment horizontal="left"/>
      <protection locked="0"/>
    </xf>
    <xf numFmtId="49" fontId="35" fillId="0" borderId="0" xfId="325" applyNumberFormat="1" applyFont="1" applyAlignment="1" applyProtection="1">
      <alignment horizontal="centerContinuous"/>
      <protection locked="0"/>
    </xf>
    <xf numFmtId="221" fontId="18" fillId="0" borderId="0" xfId="326" applyNumberFormat="1" applyFont="1" applyAlignment="1">
      <alignment horizontal="left"/>
    </xf>
    <xf numFmtId="221" fontId="18" fillId="0" borderId="0" xfId="326" applyNumberFormat="1" applyFont="1" applyAlignment="1">
      <alignment horizontal="centerContinuous"/>
    </xf>
    <xf numFmtId="3" fontId="18" fillId="0" borderId="0" xfId="326" applyNumberFormat="1" applyFont="1" applyAlignment="1">
      <alignment horizontal="left"/>
    </xf>
    <xf numFmtId="3" fontId="18" fillId="0" borderId="0" xfId="326" applyNumberFormat="1" applyFont="1" applyAlignment="1">
      <alignment horizontal="centerContinuous"/>
    </xf>
    <xf numFmtId="174" fontId="18" fillId="0" borderId="0" xfId="89" applyNumberFormat="1" applyFont="1" applyAlignment="1"/>
    <xf numFmtId="221" fontId="0" fillId="0" borderId="0" xfId="325" applyNumberFormat="1" applyFont="1" applyFill="1" applyAlignment="1" applyProtection="1">
      <alignment horizontal="center"/>
      <protection locked="0"/>
    </xf>
    <xf numFmtId="221" fontId="116" fillId="0" borderId="0" xfId="325" applyNumberFormat="1" applyFont="1" applyFill="1" applyAlignment="1" applyProtection="1">
      <alignment horizontal="center"/>
      <protection locked="0"/>
    </xf>
    <xf numFmtId="221" fontId="0" fillId="0" borderId="0" xfId="326" applyFont="1" applyAlignment="1">
      <alignment horizontal="center"/>
    </xf>
    <xf numFmtId="221" fontId="15" fillId="0" borderId="0" xfId="326" applyFont="1" applyAlignment="1">
      <alignment horizontal="center"/>
    </xf>
    <xf numFmtId="173" fontId="18" fillId="0" borderId="0" xfId="325" applyFont="1" applyAlignment="1">
      <alignment horizontal="center"/>
    </xf>
    <xf numFmtId="221" fontId="31" fillId="0" borderId="0" xfId="8" applyFont="1"/>
    <xf numFmtId="221" fontId="51" fillId="0" borderId="0" xfId="0" applyNumberFormat="1" applyFont="1" applyFill="1" applyBorder="1" applyAlignment="1">
      <alignment horizontal="centerContinuous"/>
    </xf>
    <xf numFmtId="42" fontId="18" fillId="0" borderId="0" xfId="0" applyNumberFormat="1" applyFont="1" applyAlignment="1"/>
    <xf numFmtId="42" fontId="18" fillId="0" borderId="2" xfId="0" applyNumberFormat="1" applyFont="1" applyBorder="1" applyAlignment="1"/>
    <xf numFmtId="37" fontId="18" fillId="4" borderId="0" xfId="0" applyNumberFormat="1" applyFont="1" applyFill="1" applyAlignment="1"/>
    <xf numFmtId="42" fontId="18" fillId="0" borderId="0" xfId="0" applyNumberFormat="1" applyFont="1" applyFill="1" applyAlignment="1">
      <alignment horizontal="right"/>
    </xf>
    <xf numFmtId="42" fontId="18" fillId="0" borderId="2" xfId="0" applyNumberFormat="1" applyFont="1" applyFill="1" applyBorder="1" applyAlignment="1"/>
    <xf numFmtId="49" fontId="27" fillId="0" borderId="0" xfId="0" applyNumberFormat="1" applyFont="1" applyFill="1" applyBorder="1" applyAlignment="1">
      <alignment horizontal="center"/>
    </xf>
    <xf numFmtId="173" fontId="27" fillId="0" borderId="0" xfId="325" applyFont="1" applyAlignment="1"/>
    <xf numFmtId="221" fontId="27" fillId="0" borderId="0" xfId="8" applyFont="1" applyFill="1"/>
    <xf numFmtId="221" fontId="32" fillId="0" borderId="0" xfId="6" applyFill="1"/>
    <xf numFmtId="221" fontId="18" fillId="0" borderId="0" xfId="0" applyNumberFormat="1" applyFont="1" applyFill="1" applyBorder="1" applyAlignment="1" applyProtection="1">
      <alignment horizontal="center"/>
      <protection locked="0"/>
    </xf>
    <xf numFmtId="173" fontId="18" fillId="0" borderId="0" xfId="0" applyFont="1" applyAlignment="1">
      <alignment horizontal="center"/>
    </xf>
    <xf numFmtId="173" fontId="42" fillId="0" borderId="0" xfId="0" applyFont="1" applyAlignment="1">
      <alignment horizontal="center"/>
    </xf>
    <xf numFmtId="173" fontId="42" fillId="0" borderId="0" xfId="0" applyFont="1" applyAlignment="1">
      <alignment horizontal="center" wrapText="1"/>
    </xf>
    <xf numFmtId="41" fontId="18" fillId="0" borderId="0" xfId="0" applyNumberFormat="1" applyFont="1" applyAlignment="1"/>
    <xf numFmtId="41" fontId="42" fillId="0" borderId="0" xfId="0" applyNumberFormat="1" applyFont="1" applyAlignment="1"/>
    <xf numFmtId="173" fontId="18" fillId="0" borderId="0" xfId="0" applyFont="1" applyAlignment="1">
      <alignment horizontal="left" indent="2"/>
    </xf>
    <xf numFmtId="42" fontId="49" fillId="0" borderId="0" xfId="0" applyNumberFormat="1" applyFont="1" applyAlignment="1"/>
    <xf numFmtId="173" fontId="18" fillId="0" borderId="0" xfId="0" applyFont="1" applyBorder="1" applyAlignment="1">
      <alignment horizontal="center"/>
    </xf>
    <xf numFmtId="221" fontId="27" fillId="0" borderId="0" xfId="8" applyFont="1" applyAlignment="1">
      <alignment horizontal="centerContinuous"/>
    </xf>
    <xf numFmtId="221" fontId="31" fillId="0" borderId="0" xfId="8" applyFont="1" applyAlignment="1">
      <alignment horizontal="centerContinuous"/>
    </xf>
    <xf numFmtId="173" fontId="0" fillId="15" borderId="0" xfId="0" applyFill="1" applyAlignment="1"/>
    <xf numFmtId="221" fontId="20" fillId="0" borderId="0" xfId="0" applyNumberFormat="1" applyFont="1" applyAlignment="1" applyProtection="1">
      <protection locked="0"/>
    </xf>
    <xf numFmtId="221" fontId="20" fillId="0" borderId="0" xfId="0" applyNumberFormat="1" applyFont="1" applyFill="1" applyAlignment="1"/>
    <xf numFmtId="221" fontId="20" fillId="0" borderId="0" xfId="0" applyNumberFormat="1" applyFont="1" applyFill="1" applyBorder="1" applyAlignment="1" applyProtection="1">
      <protection locked="0"/>
    </xf>
    <xf numFmtId="173" fontId="18" fillId="0" borderId="0" xfId="0" applyFont="1" applyFill="1"/>
    <xf numFmtId="221" fontId="18" fillId="0" borderId="0" xfId="5" applyFont="1"/>
    <xf numFmtId="221" fontId="42" fillId="0" borderId="0" xfId="5" applyFont="1" applyBorder="1" applyAlignment="1">
      <alignment horizontal="centerContinuous"/>
    </xf>
    <xf numFmtId="221" fontId="18" fillId="0" borderId="0" xfId="5" applyFont="1" applyBorder="1" applyAlignment="1">
      <alignment horizontal="left" indent="1"/>
    </xf>
    <xf numFmtId="221" fontId="18" fillId="0" borderId="0" xfId="7" applyFont="1" applyAlignment="1">
      <alignment horizontal="left" indent="1"/>
    </xf>
    <xf numFmtId="42" fontId="49" fillId="0" borderId="0" xfId="7" applyNumberFormat="1" applyFont="1"/>
    <xf numFmtId="41" fontId="34" fillId="0" borderId="0" xfId="7" applyNumberFormat="1" applyFont="1" applyFill="1"/>
    <xf numFmtId="42" fontId="49" fillId="0" borderId="0" xfId="7" applyNumberFormat="1" applyFont="1" applyFill="1"/>
    <xf numFmtId="173" fontId="113" fillId="0" borderId="0" xfId="0" applyFont="1" applyAlignment="1">
      <alignment horizontal="center"/>
    </xf>
    <xf numFmtId="221" fontId="113" fillId="0" borderId="0" xfId="0" applyNumberFormat="1" applyFont="1" applyAlignment="1" applyProtection="1">
      <alignment horizontal="center"/>
      <protection locked="0"/>
    </xf>
    <xf numFmtId="3" fontId="113" fillId="0" borderId="0" xfId="0" applyNumberFormat="1" applyFont="1" applyAlignment="1"/>
    <xf numFmtId="221" fontId="113" fillId="0" borderId="0" xfId="0" applyNumberFormat="1" applyFont="1" applyAlignment="1" applyProtection="1">
      <alignment horizontal="centerContinuous"/>
      <protection locked="0"/>
    </xf>
    <xf numFmtId="173" fontId="113" fillId="0" borderId="0" xfId="0" applyFont="1" applyBorder="1" applyAlignment="1">
      <alignment horizontal="center"/>
    </xf>
    <xf numFmtId="273" fontId="18" fillId="0" borderId="0" xfId="0" applyNumberFormat="1" applyFont="1" applyFill="1" applyAlignment="1">
      <alignment horizontal="right"/>
    </xf>
    <xf numFmtId="42" fontId="18" fillId="0" borderId="0" xfId="7" applyNumberFormat="1" applyFont="1"/>
    <xf numFmtId="37" fontId="34" fillId="0" borderId="0" xfId="0" applyNumberFormat="1" applyFont="1" applyFill="1" applyBorder="1" applyProtection="1">
      <protection locked="0"/>
    </xf>
    <xf numFmtId="37" fontId="34" fillId="0" borderId="1" xfId="0" applyNumberFormat="1" applyFont="1" applyFill="1" applyBorder="1" applyProtection="1">
      <protection locked="0"/>
    </xf>
    <xf numFmtId="10" fontId="34" fillId="2" borderId="0" xfId="0" applyNumberFormat="1" applyFont="1" applyFill="1" applyProtection="1">
      <protection locked="0"/>
    </xf>
    <xf numFmtId="10" fontId="18" fillId="0" borderId="0" xfId="0" applyNumberFormat="1" applyFont="1" applyFill="1" applyProtection="1">
      <protection locked="0"/>
    </xf>
    <xf numFmtId="221" fontId="116" fillId="0" borderId="0" xfId="325" applyNumberFormat="1" applyFont="1" applyBorder="1" applyAlignment="1" applyProtection="1">
      <alignment horizontal="left"/>
      <protection locked="0"/>
    </xf>
    <xf numFmtId="221" fontId="15" fillId="0" borderId="6" xfId="325" applyNumberFormat="1" applyFont="1" applyBorder="1" applyAlignment="1" applyProtection="1">
      <alignment horizontal="center"/>
      <protection locked="0"/>
    </xf>
    <xf numFmtId="173" fontId="0" fillId="0" borderId="0" xfId="0" applyFont="1" applyFill="1" applyBorder="1" applyAlignment="1">
      <alignment horizontal="center"/>
    </xf>
    <xf numFmtId="221" fontId="113" fillId="0" borderId="0" xfId="0" applyNumberFormat="1" applyFont="1" applyFill="1" applyBorder="1" applyAlignment="1" applyProtection="1">
      <alignment horizontal="center"/>
      <protection locked="0"/>
    </xf>
    <xf numFmtId="173" fontId="116" fillId="0" borderId="0" xfId="0" applyFont="1" applyFill="1" applyBorder="1" applyAlignment="1"/>
    <xf numFmtId="221" fontId="113" fillId="0" borderId="0" xfId="0" applyNumberFormat="1" applyFont="1" applyFill="1" applyBorder="1" applyAlignment="1"/>
    <xf numFmtId="173" fontId="113" fillId="0" borderId="0" xfId="0" applyFont="1" applyFill="1" applyBorder="1" applyAlignment="1">
      <alignment horizontal="center"/>
    </xf>
    <xf numFmtId="221" fontId="0" fillId="0" borderId="0" xfId="0" applyNumberFormat="1" applyFill="1" applyBorder="1" applyAlignment="1" applyProtection="1">
      <alignment horizontal="centerContinuous"/>
      <protection locked="0"/>
    </xf>
    <xf numFmtId="221" fontId="18" fillId="0" borderId="0" xfId="0" applyNumberFormat="1" applyFont="1" applyFill="1" applyBorder="1" applyAlignment="1">
      <alignment horizontal="right"/>
    </xf>
    <xf numFmtId="221" fontId="18" fillId="0" borderId="0" xfId="0" quotePrefix="1" applyNumberFormat="1" applyFont="1" applyAlignment="1">
      <alignment horizontal="left" indent="1"/>
    </xf>
    <xf numFmtId="221" fontId="18" fillId="0" borderId="0" xfId="0" quotePrefix="1" applyNumberFormat="1" applyFont="1" applyAlignment="1" applyProtection="1">
      <alignment horizontal="left"/>
      <protection locked="0"/>
    </xf>
    <xf numFmtId="221" fontId="18" fillId="0" borderId="0" xfId="0" quotePrefix="1" applyNumberFormat="1" applyFont="1" applyFill="1" applyAlignment="1" applyProtection="1">
      <alignment horizontal="left"/>
      <protection locked="0"/>
    </xf>
    <xf numFmtId="221" fontId="18" fillId="0" borderId="1" xfId="0" quotePrefix="1" applyNumberFormat="1" applyFont="1" applyFill="1" applyBorder="1" applyAlignment="1" applyProtection="1">
      <alignment horizontal="left"/>
      <protection locked="0"/>
    </xf>
    <xf numFmtId="221" fontId="20" fillId="0" borderId="0" xfId="0" quotePrefix="1" applyNumberFormat="1" applyFont="1" applyAlignment="1">
      <alignment horizontal="left"/>
    </xf>
    <xf numFmtId="173" fontId="0" fillId="4" borderId="0" xfId="0" applyFill="1" applyBorder="1" applyAlignment="1"/>
    <xf numFmtId="174" fontId="18" fillId="0" borderId="0" xfId="1" applyNumberFormat="1" applyFont="1"/>
    <xf numFmtId="174" fontId="18" fillId="0" borderId="0" xfId="0" applyNumberFormat="1" applyFont="1"/>
    <xf numFmtId="221" fontId="18" fillId="0" borderId="0" xfId="0" applyNumberFormat="1" applyFont="1" applyFill="1" applyAlignment="1">
      <alignment horizontal="right"/>
    </xf>
    <xf numFmtId="221" fontId="51" fillId="0" borderId="0" xfId="326" applyNumberFormat="1" applyFont="1" applyFill="1" applyAlignment="1">
      <alignment horizontal="centerContinuous"/>
    </xf>
    <xf numFmtId="172" fontId="18" fillId="0" borderId="0" xfId="0" applyNumberFormat="1" applyFont="1" applyAlignment="1">
      <alignment horizontal="center"/>
    </xf>
    <xf numFmtId="221" fontId="27" fillId="0" borderId="0" xfId="8" quotePrefix="1" applyFont="1"/>
    <xf numFmtId="10" fontId="30" fillId="0" borderId="0" xfId="8" applyNumberFormat="1" applyFont="1" applyFill="1" applyBorder="1" applyAlignment="1">
      <alignment vertical="center"/>
    </xf>
    <xf numFmtId="221" fontId="18" fillId="0" borderId="0" xfId="8" applyFont="1" applyAlignment="1">
      <alignment horizontal="right"/>
    </xf>
    <xf numFmtId="173" fontId="20" fillId="0" borderId="0" xfId="0" applyFont="1" applyBorder="1" applyAlignment="1">
      <alignment horizontal="left"/>
    </xf>
    <xf numFmtId="41" fontId="18" fillId="0" borderId="0" xfId="7" applyNumberFormat="1" applyFont="1" applyFill="1"/>
    <xf numFmtId="221" fontId="18" fillId="0" borderId="0" xfId="7" applyFont="1" applyAlignment="1">
      <alignment horizontal="left" vertical="center" wrapText="1" indent="1"/>
    </xf>
    <xf numFmtId="221" fontId="18" fillId="0" borderId="0" xfId="7" applyFont="1" applyBorder="1"/>
    <xf numFmtId="221" fontId="18" fillId="0" borderId="0" xfId="7" applyFont="1" applyFill="1" applyBorder="1"/>
    <xf numFmtId="49" fontId="35" fillId="4" borderId="0" xfId="0" applyNumberFormat="1" applyFont="1" applyFill="1" applyAlignment="1">
      <alignment horizontal="centerContinuous"/>
    </xf>
    <xf numFmtId="173" fontId="18" fillId="4" borderId="0" xfId="0" applyFont="1" applyFill="1" applyAlignment="1">
      <alignment horizontal="centerContinuous"/>
    </xf>
    <xf numFmtId="221" fontId="18" fillId="4" borderId="0" xfId="0" applyNumberFormat="1" applyFont="1" applyFill="1" applyAlignment="1">
      <alignment horizontal="centerContinuous"/>
    </xf>
    <xf numFmtId="37" fontId="18" fillId="4" borderId="1" xfId="0" applyNumberFormat="1" applyFont="1" applyFill="1" applyBorder="1" applyAlignment="1"/>
    <xf numFmtId="165" fontId="34" fillId="4" borderId="0" xfId="0" applyNumberFormat="1" applyFont="1" applyFill="1" applyAlignment="1"/>
    <xf numFmtId="42" fontId="18" fillId="4" borderId="0" xfId="0" applyNumberFormat="1" applyFont="1" applyFill="1" applyAlignment="1"/>
    <xf numFmtId="38" fontId="34" fillId="4" borderId="0" xfId="0" applyNumberFormat="1" applyFont="1" applyFill="1" applyBorder="1" applyProtection="1">
      <protection locked="0"/>
    </xf>
    <xf numFmtId="38" fontId="34" fillId="4" borderId="1" xfId="0" applyNumberFormat="1" applyFont="1" applyFill="1" applyBorder="1" applyProtection="1">
      <protection locked="0"/>
    </xf>
    <xf numFmtId="173" fontId="0" fillId="4" borderId="3" xfId="0" applyFill="1" applyBorder="1" applyAlignment="1"/>
    <xf numFmtId="175" fontId="0" fillId="4" borderId="0" xfId="12" applyNumberFormat="1" applyFont="1" applyFill="1" applyBorder="1" applyAlignment="1"/>
    <xf numFmtId="173" fontId="0" fillId="4" borderId="3" xfId="0" quotePrefix="1" applyFill="1" applyBorder="1" applyAlignment="1">
      <alignment horizontal="left"/>
    </xf>
    <xf numFmtId="173" fontId="0" fillId="4" borderId="0" xfId="0" quotePrefix="1" applyFill="1" applyBorder="1" applyAlignment="1">
      <alignment horizontal="left"/>
    </xf>
    <xf numFmtId="221" fontId="22" fillId="0" borderId="0" xfId="9" applyFont="1" applyFill="1"/>
    <xf numFmtId="174" fontId="42" fillId="0" borderId="0" xfId="13" applyNumberFormat="1" applyFont="1"/>
    <xf numFmtId="166" fontId="51" fillId="0" borderId="0" xfId="0" applyNumberFormat="1" applyFont="1" applyFill="1" applyAlignment="1"/>
    <xf numFmtId="221" fontId="20" fillId="0" borderId="0" xfId="10" applyFont="1" applyAlignment="1">
      <alignment horizontal="centerContinuous"/>
    </xf>
    <xf numFmtId="221" fontId="18" fillId="0" borderId="0" xfId="0" applyNumberFormat="1" applyFont="1" applyAlignment="1">
      <alignment horizontal="left"/>
    </xf>
    <xf numFmtId="166" fontId="18" fillId="0" borderId="0" xfId="0" applyNumberFormat="1" applyFont="1" applyAlignment="1">
      <alignment horizontal="left"/>
    </xf>
    <xf numFmtId="221" fontId="14" fillId="0" borderId="0" xfId="328" applyAlignment="1">
      <alignment horizontal="centerContinuous"/>
    </xf>
    <xf numFmtId="221" fontId="14" fillId="0" borderId="0" xfId="328" applyFill="1" applyAlignment="1">
      <alignment horizontal="centerContinuous"/>
    </xf>
    <xf numFmtId="221" fontId="14" fillId="0" borderId="0" xfId="328"/>
    <xf numFmtId="221" fontId="14" fillId="0" borderId="0" xfId="328" applyAlignment="1">
      <alignment horizontal="center"/>
    </xf>
    <xf numFmtId="221" fontId="14" fillId="0" borderId="0" xfId="328" applyFill="1" applyAlignment="1">
      <alignment horizontal="center"/>
    </xf>
    <xf numFmtId="221" fontId="122" fillId="0" borderId="0" xfId="328" applyFont="1" applyAlignment="1">
      <alignment horizontal="center"/>
    </xf>
    <xf numFmtId="221" fontId="122" fillId="0" borderId="0" xfId="328" applyFont="1" applyFill="1" applyAlignment="1">
      <alignment horizontal="center"/>
    </xf>
    <xf numFmtId="221" fontId="14" fillId="0" borderId="0" xfId="328" quotePrefix="1" applyAlignment="1">
      <alignment horizontal="center"/>
    </xf>
    <xf numFmtId="221" fontId="14" fillId="0" borderId="0" xfId="328" quotePrefix="1" applyFill="1" applyAlignment="1">
      <alignment horizontal="center"/>
    </xf>
    <xf numFmtId="221" fontId="121" fillId="0" borderId="0" xfId="328" applyFont="1" applyAlignment="1">
      <alignment horizontal="centerContinuous"/>
    </xf>
    <xf numFmtId="2" fontId="14" fillId="0" borderId="0" xfId="328" applyNumberFormat="1" applyFill="1"/>
    <xf numFmtId="221" fontId="14" fillId="0" borderId="0" xfId="328" applyFill="1"/>
    <xf numFmtId="221" fontId="14" fillId="0" borderId="0" xfId="328" applyAlignment="1">
      <alignment horizontal="left"/>
    </xf>
    <xf numFmtId="221" fontId="124" fillId="0" borderId="0" xfId="328" quotePrefix="1" applyFont="1"/>
    <xf numFmtId="2" fontId="14" fillId="0" borderId="0" xfId="328" applyNumberFormat="1" applyAlignment="1">
      <alignment horizontal="right"/>
    </xf>
    <xf numFmtId="221" fontId="37" fillId="0" borderId="0" xfId="8" applyFont="1" applyAlignment="1">
      <alignment horizontal="center" vertical="center"/>
    </xf>
    <xf numFmtId="221" fontId="32" fillId="0" borderId="0" xfId="10" applyFill="1"/>
    <xf numFmtId="221" fontId="27" fillId="0" borderId="0" xfId="10" applyFont="1" applyFill="1"/>
    <xf numFmtId="221" fontId="18" fillId="0" borderId="0" xfId="5" applyFont="1" applyFill="1" applyAlignment="1">
      <alignment horizontal="centerContinuous"/>
    </xf>
    <xf numFmtId="221" fontId="18" fillId="0" borderId="0" xfId="7" applyFont="1" applyFill="1" applyAlignment="1">
      <alignment horizontal="right"/>
    </xf>
    <xf numFmtId="174" fontId="51" fillId="0" borderId="0" xfId="89" applyNumberFormat="1" applyFont="1" applyFill="1"/>
    <xf numFmtId="221" fontId="51" fillId="0" borderId="0" xfId="7" applyFont="1" applyFill="1"/>
    <xf numFmtId="221" fontId="20" fillId="0" borderId="0" xfId="7" applyFont="1" applyFill="1" applyAlignment="1">
      <alignment horizontal="right"/>
    </xf>
    <xf numFmtId="174" fontId="18" fillId="0" borderId="0" xfId="7" applyNumberFormat="1" applyFont="1" applyFill="1"/>
    <xf numFmtId="174" fontId="52" fillId="0" borderId="0" xfId="89" applyNumberFormat="1" applyFont="1" applyFill="1"/>
    <xf numFmtId="174" fontId="18" fillId="0" borderId="0" xfId="89" applyNumberFormat="1" applyFont="1" applyFill="1"/>
    <xf numFmtId="174" fontId="42" fillId="0" borderId="0" xfId="89" applyNumberFormat="1" applyFont="1" applyFill="1"/>
    <xf numFmtId="41" fontId="22" fillId="0" borderId="0" xfId="16" applyNumberFormat="1" applyFont="1" applyFill="1" applyBorder="1"/>
    <xf numFmtId="41" fontId="125" fillId="0" borderId="0" xfId="16" applyNumberFormat="1" applyFont="1" applyFill="1" applyBorder="1"/>
    <xf numFmtId="175" fontId="44" fillId="0" borderId="0" xfId="16" applyNumberFormat="1" applyFont="1" applyFill="1" applyBorder="1"/>
    <xf numFmtId="41" fontId="54" fillId="0" borderId="0" xfId="8" applyNumberFormat="1" applyFont="1" applyFill="1"/>
    <xf numFmtId="41" fontId="27" fillId="0" borderId="0" xfId="8" applyNumberFormat="1" applyFont="1" applyFill="1"/>
    <xf numFmtId="221" fontId="27" fillId="0" borderId="0" xfId="8" quotePrefix="1" applyFont="1" applyFill="1"/>
    <xf numFmtId="41" fontId="112" fillId="0" borderId="0" xfId="8" applyNumberFormat="1" applyFont="1" applyFill="1" applyBorder="1"/>
    <xf numFmtId="221" fontId="27" fillId="0" borderId="0" xfId="8" applyFont="1" applyFill="1" applyAlignment="1">
      <alignment horizontal="center"/>
    </xf>
    <xf numFmtId="37" fontId="27" fillId="0" borderId="0" xfId="8" applyNumberFormat="1" applyFont="1" applyFill="1"/>
    <xf numFmtId="42" fontId="49" fillId="0" borderId="0" xfId="7" applyNumberFormat="1" applyFont="1" applyFill="1" applyAlignment="1">
      <alignment horizontal="left" vertical="center"/>
    </xf>
    <xf numFmtId="41" fontId="33" fillId="0" borderId="0" xfId="7" applyNumberFormat="1" applyFont="1" applyFill="1"/>
    <xf numFmtId="221" fontId="45" fillId="0" borderId="0" xfId="9" applyFont="1" applyFill="1" applyAlignment="1">
      <alignment horizontal="centerContinuous"/>
    </xf>
    <xf numFmtId="173" fontId="27" fillId="0" borderId="0" xfId="0" applyNumberFormat="1" applyFont="1" applyAlignment="1" applyProtection="1">
      <protection locked="0"/>
    </xf>
    <xf numFmtId="221" fontId="27" fillId="0" borderId="0" xfId="0" applyNumberFormat="1" applyFont="1" applyProtection="1">
      <protection locked="0"/>
    </xf>
    <xf numFmtId="221" fontId="31" fillId="0" borderId="0" xfId="0" applyNumberFormat="1" applyFont="1" applyAlignment="1" applyProtection="1">
      <protection locked="0"/>
    </xf>
    <xf numFmtId="221" fontId="27" fillId="0" borderId="0" xfId="0" applyNumberFormat="1" applyFont="1" applyFill="1" applyProtection="1">
      <protection locked="0"/>
    </xf>
    <xf numFmtId="221" fontId="27" fillId="0" borderId="0" xfId="0" quotePrefix="1" applyNumberFormat="1" applyFont="1" applyFill="1" applyBorder="1" applyAlignment="1" applyProtection="1">
      <alignment horizontal="left"/>
      <protection locked="0"/>
    </xf>
    <xf numFmtId="221" fontId="27" fillId="0" borderId="0" xfId="0" applyNumberFormat="1" applyFont="1" applyFill="1" applyAlignment="1" applyProtection="1">
      <protection locked="0"/>
    </xf>
    <xf numFmtId="221" fontId="31" fillId="0" borderId="0" xfId="0" applyNumberFormat="1" applyFont="1" applyFill="1" applyBorder="1" applyAlignment="1" applyProtection="1">
      <protection locked="0"/>
    </xf>
    <xf numFmtId="221" fontId="27" fillId="0" borderId="0" xfId="0" applyNumberFormat="1" applyFont="1" applyAlignment="1" applyProtection="1">
      <protection locked="0"/>
    </xf>
    <xf numFmtId="221" fontId="31" fillId="0" borderId="1" xfId="0" applyNumberFormat="1" applyFont="1" applyBorder="1" applyAlignment="1" applyProtection="1">
      <alignment horizontal="center"/>
      <protection locked="0"/>
    </xf>
    <xf numFmtId="37" fontId="27" fillId="0" borderId="0" xfId="0" applyNumberFormat="1" applyFont="1" applyFill="1" applyAlignment="1" applyProtection="1">
      <protection locked="0"/>
    </xf>
    <xf numFmtId="221" fontId="27" fillId="0" borderId="0" xfId="0" applyNumberFormat="1" applyFont="1" applyAlignment="1" applyProtection="1">
      <alignment horizontal="left"/>
      <protection locked="0"/>
    </xf>
    <xf numFmtId="37" fontId="18" fillId="2" borderId="0" xfId="0" applyNumberFormat="1" applyFont="1" applyFill="1" applyBorder="1" applyProtection="1">
      <protection locked="0"/>
    </xf>
    <xf numFmtId="37" fontId="18" fillId="4" borderId="0" xfId="0" quotePrefix="1" applyNumberFormat="1" applyFont="1" applyFill="1" applyAlignment="1"/>
    <xf numFmtId="273" fontId="18" fillId="4" borderId="0" xfId="0" applyNumberFormat="1" applyFont="1" applyFill="1" applyAlignment="1">
      <alignment horizontal="right"/>
    </xf>
    <xf numFmtId="3" fontId="18" fillId="0" borderId="1" xfId="0" applyNumberFormat="1" applyFont="1" applyBorder="1" applyAlignment="1">
      <alignment horizontal="center"/>
    </xf>
    <xf numFmtId="42" fontId="18" fillId="0" borderId="0" xfId="0" applyNumberFormat="1" applyFont="1" applyFill="1" applyAlignment="1"/>
    <xf numFmtId="42" fontId="18" fillId="0" borderId="0" xfId="0" applyNumberFormat="1" applyFont="1" applyAlignment="1"/>
    <xf numFmtId="37" fontId="18" fillId="0" borderId="0" xfId="0" applyNumberFormat="1" applyFont="1" applyFill="1" applyAlignment="1" applyProtection="1">
      <protection locked="0"/>
    </xf>
    <xf numFmtId="3" fontId="18" fillId="0" borderId="0" xfId="0" applyNumberFormat="1" applyFont="1" applyAlignment="1"/>
    <xf numFmtId="3" fontId="18" fillId="0" borderId="1" xfId="0" applyNumberFormat="1" applyFont="1" applyBorder="1" applyAlignment="1">
      <alignment horizontal="center"/>
    </xf>
    <xf numFmtId="169" fontId="20" fillId="2" borderId="0" xfId="0" applyNumberFormat="1" applyFont="1" applyFill="1" applyAlignment="1"/>
    <xf numFmtId="37" fontId="18" fillId="0" borderId="0" xfId="0" applyNumberFormat="1" applyFont="1" applyAlignment="1"/>
    <xf numFmtId="37" fontId="18" fillId="2" borderId="1" xfId="0" applyNumberFormat="1" applyFont="1" applyFill="1" applyBorder="1" applyAlignment="1"/>
    <xf numFmtId="37" fontId="18" fillId="4" borderId="0" xfId="0" applyNumberFormat="1" applyFont="1" applyFill="1" applyAlignment="1"/>
    <xf numFmtId="221" fontId="31" fillId="0" borderId="0" xfId="0" quotePrefix="1" applyNumberFormat="1" applyFont="1" applyAlignment="1" applyProtection="1">
      <alignment horizontal="left"/>
      <protection locked="0"/>
    </xf>
    <xf numFmtId="221" fontId="27" fillId="0" borderId="1" xfId="0" applyNumberFormat="1" applyFont="1" applyBorder="1" applyAlignment="1" applyProtection="1">
      <protection locked="0"/>
    </xf>
    <xf numFmtId="10" fontId="18" fillId="2" borderId="0" xfId="0" applyNumberFormat="1" applyFont="1" applyFill="1" applyProtection="1">
      <protection locked="0"/>
    </xf>
    <xf numFmtId="221" fontId="20" fillId="0" borderId="0" xfId="0" applyNumberFormat="1" applyFont="1" applyFill="1" applyAlignment="1" applyProtection="1">
      <alignment horizontal="right"/>
      <protection locked="0"/>
    </xf>
    <xf numFmtId="221" fontId="20" fillId="16" borderId="9" xfId="0" applyNumberFormat="1" applyFont="1" applyFill="1" applyBorder="1" applyAlignment="1" applyProtection="1">
      <alignment horizontal="right"/>
      <protection locked="0"/>
    </xf>
    <xf numFmtId="221" fontId="20" fillId="16" borderId="5" xfId="0" applyNumberFormat="1" applyFont="1" applyFill="1" applyBorder="1" applyAlignment="1" applyProtection="1">
      <alignment horizontal="right"/>
      <protection locked="0"/>
    </xf>
    <xf numFmtId="221" fontId="31" fillId="0" borderId="15" xfId="0" applyNumberFormat="1" applyFont="1" applyFill="1" applyBorder="1" applyAlignment="1" applyProtection="1">
      <protection locked="0"/>
    </xf>
    <xf numFmtId="14" fontId="20" fillId="0" borderId="0" xfId="0" applyNumberFormat="1" applyFont="1" applyFill="1" applyAlignment="1" applyProtection="1">
      <alignment horizontal="right"/>
      <protection locked="0"/>
    </xf>
    <xf numFmtId="173" fontId="27" fillId="0" borderId="0" xfId="0" applyFont="1" applyAlignment="1" applyProtection="1">
      <protection locked="0"/>
    </xf>
    <xf numFmtId="14" fontId="20" fillId="0" borderId="0" xfId="0" applyNumberFormat="1" applyFont="1" applyFill="1" applyAlignment="1" applyProtection="1">
      <protection locked="0"/>
    </xf>
    <xf numFmtId="3" fontId="31" fillId="0" borderId="0" xfId="0" applyNumberFormat="1" applyFont="1" applyAlignment="1" applyProtection="1">
      <alignment horizontal="center"/>
      <protection locked="0"/>
    </xf>
    <xf numFmtId="3" fontId="31" fillId="0" borderId="0" xfId="0" applyNumberFormat="1" applyFont="1" applyAlignment="1" applyProtection="1">
      <protection locked="0"/>
    </xf>
    <xf numFmtId="221" fontId="31" fillId="0" borderId="1" xfId="0" applyNumberFormat="1" applyFont="1" applyBorder="1" applyAlignment="1" applyProtection="1">
      <protection locked="0"/>
    </xf>
    <xf numFmtId="173" fontId="31" fillId="0" borderId="1" xfId="0" applyFont="1" applyBorder="1" applyAlignment="1" applyProtection="1">
      <alignment horizontal="center"/>
      <protection locked="0"/>
    </xf>
    <xf numFmtId="3" fontId="27" fillId="0" borderId="0" xfId="0" applyNumberFormat="1" applyFont="1" applyAlignment="1" applyProtection="1">
      <protection locked="0"/>
    </xf>
    <xf numFmtId="173" fontId="27" fillId="0" borderId="0" xfId="0" applyFont="1" applyBorder="1" applyAlignment="1" applyProtection="1">
      <protection locked="0"/>
    </xf>
    <xf numFmtId="42" fontId="27" fillId="0" borderId="0" xfId="0" applyNumberFormat="1" applyFont="1" applyFill="1" applyAlignment="1" applyProtection="1">
      <protection locked="0"/>
    </xf>
    <xf numFmtId="3" fontId="27" fillId="0" borderId="1" xfId="0" applyNumberFormat="1" applyFont="1" applyBorder="1" applyAlignment="1" applyProtection="1">
      <protection locked="0"/>
    </xf>
    <xf numFmtId="37" fontId="27" fillId="0" borderId="1" xfId="0" applyNumberFormat="1" applyFont="1" applyFill="1" applyBorder="1" applyAlignment="1" applyProtection="1">
      <protection locked="0"/>
    </xf>
    <xf numFmtId="37" fontId="27" fillId="0" borderId="0" xfId="0" applyNumberFormat="1" applyFont="1" applyFill="1" applyBorder="1" applyAlignment="1" applyProtection="1">
      <protection locked="0"/>
    </xf>
    <xf numFmtId="173" fontId="27" fillId="0" borderId="1" xfId="0" applyFont="1" applyBorder="1" applyAlignment="1" applyProtection="1">
      <protection locked="0"/>
    </xf>
    <xf numFmtId="221" fontId="27" fillId="0" borderId="0" xfId="0" quotePrefix="1" applyNumberFormat="1" applyFont="1" applyAlignment="1" applyProtection="1">
      <alignment horizontal="left"/>
      <protection locked="0"/>
    </xf>
    <xf numFmtId="37" fontId="27" fillId="0" borderId="1" xfId="0" applyNumberFormat="1" applyFont="1" applyBorder="1" applyAlignment="1" applyProtection="1">
      <protection locked="0"/>
    </xf>
    <xf numFmtId="221" fontId="27" fillId="0" borderId="0" xfId="0" quotePrefix="1" applyNumberFormat="1" applyFont="1" applyFill="1" applyAlignment="1" applyProtection="1">
      <alignment horizontal="left" vertical="top" wrapText="1" indent="1"/>
      <protection locked="0"/>
    </xf>
    <xf numFmtId="221" fontId="27" fillId="0" borderId="0" xfId="0" applyNumberFormat="1" applyFont="1" applyAlignment="1" applyProtection="1">
      <alignment horizontal="left" indent="1"/>
      <protection locked="0"/>
    </xf>
    <xf numFmtId="221" fontId="27" fillId="0" borderId="0" xfId="0" applyNumberFormat="1" applyFont="1" applyFill="1" applyAlignment="1" applyProtection="1">
      <alignment horizontal="left" indent="1"/>
      <protection locked="0"/>
    </xf>
    <xf numFmtId="173" fontId="27" fillId="0" borderId="0" xfId="0" applyFont="1" applyFill="1" applyAlignment="1" applyProtection="1">
      <protection locked="0"/>
    </xf>
    <xf numFmtId="37" fontId="27" fillId="0" borderId="0" xfId="0" applyNumberFormat="1" applyFont="1" applyAlignment="1" applyProtection="1">
      <protection locked="0"/>
    </xf>
    <xf numFmtId="221" fontId="27" fillId="0" borderId="0" xfId="0" applyNumberFormat="1" applyFont="1" applyAlignment="1" applyProtection="1">
      <alignment horizontal="left" indent="3"/>
      <protection locked="0"/>
    </xf>
    <xf numFmtId="37" fontId="54" fillId="0" borderId="0" xfId="0" applyNumberFormat="1" applyFont="1" applyFill="1" applyAlignment="1" applyProtection="1">
      <protection locked="0"/>
    </xf>
    <xf numFmtId="173" fontId="31" fillId="0" borderId="0" xfId="0" applyFont="1" applyAlignment="1" applyProtection="1">
      <alignment horizontal="center"/>
      <protection locked="0"/>
    </xf>
    <xf numFmtId="273" fontId="54" fillId="0" borderId="0" xfId="0" applyNumberFormat="1" applyFont="1" applyFill="1" applyAlignment="1" applyProtection="1">
      <alignment horizontal="right"/>
      <protection locked="0"/>
    </xf>
    <xf numFmtId="173" fontId="31" fillId="0" borderId="0" xfId="0" applyFont="1" applyFill="1" applyAlignment="1" applyProtection="1">
      <alignment horizontal="center"/>
      <protection locked="0"/>
    </xf>
    <xf numFmtId="221" fontId="27" fillId="0" borderId="0" xfId="0" quotePrefix="1" applyNumberFormat="1" applyFont="1" applyFill="1" applyBorder="1" applyAlignment="1" applyProtection="1">
      <alignment horizontal="left" vertical="top" wrapText="1" indent="1"/>
      <protection locked="0"/>
    </xf>
    <xf numFmtId="170" fontId="129" fillId="0" borderId="0" xfId="0" applyNumberFormat="1" applyFont="1" applyFill="1" applyBorder="1" applyProtection="1">
      <protection locked="0"/>
    </xf>
    <xf numFmtId="173" fontId="130" fillId="0" borderId="23" xfId="0" applyFont="1" applyBorder="1" applyAlignment="1" applyProtection="1">
      <protection locked="0"/>
    </xf>
    <xf numFmtId="10" fontId="31" fillId="0" borderId="20" xfId="0" applyNumberFormat="1" applyFont="1" applyBorder="1" applyAlignment="1" applyProtection="1">
      <protection locked="0"/>
    </xf>
    <xf numFmtId="173" fontId="27" fillId="0" borderId="16" xfId="0" applyFont="1" applyBorder="1" applyAlignment="1" applyProtection="1">
      <protection locked="0"/>
    </xf>
    <xf numFmtId="221" fontId="18" fillId="0" borderId="0" xfId="7" applyFont="1" applyFill="1" applyAlignment="1">
      <alignment horizontal="left" wrapText="1"/>
    </xf>
    <xf numFmtId="221" fontId="27" fillId="0" borderId="0" xfId="10" applyFont="1" applyAlignment="1">
      <alignment horizontal="left"/>
    </xf>
    <xf numFmtId="221" fontId="27" fillId="0" borderId="0" xfId="10" applyFont="1" applyAlignment="1">
      <alignment horizontal="left" vertical="center" wrapText="1"/>
    </xf>
    <xf numFmtId="42" fontId="27" fillId="0" borderId="0" xfId="0" applyNumberFormat="1" applyFont="1" applyFill="1" applyAlignment="1" applyProtection="1"/>
    <xf numFmtId="37" fontId="27" fillId="0" borderId="0" xfId="0" applyNumberFormat="1" applyFont="1" applyFill="1" applyAlignment="1" applyProtection="1"/>
    <xf numFmtId="42" fontId="27" fillId="0" borderId="0" xfId="0" applyNumberFormat="1" applyFont="1" applyFill="1" applyBorder="1" applyProtection="1"/>
    <xf numFmtId="173" fontId="27" fillId="0" borderId="0" xfId="0" applyFont="1" applyFill="1" applyAlignment="1" applyProtection="1"/>
    <xf numFmtId="173" fontId="27" fillId="0" borderId="0" xfId="0" applyFont="1" applyAlignment="1" applyProtection="1">
      <alignment vertical="top"/>
      <protection locked="0"/>
    </xf>
    <xf numFmtId="221" fontId="31" fillId="0" borderId="24" xfId="0" applyNumberFormat="1" applyFont="1" applyBorder="1" applyAlignment="1" applyProtection="1">
      <protection locked="0"/>
    </xf>
    <xf numFmtId="3" fontId="27" fillId="0" borderId="24" xfId="0" applyNumberFormat="1" applyFont="1" applyBorder="1" applyAlignment="1" applyProtection="1">
      <protection locked="0"/>
    </xf>
    <xf numFmtId="221" fontId="31" fillId="0" borderId="24" xfId="0" applyNumberFormat="1" applyFont="1" applyFill="1" applyBorder="1" applyAlignment="1" applyProtection="1">
      <protection locked="0"/>
    </xf>
    <xf numFmtId="173" fontId="27" fillId="0" borderId="24" xfId="0" applyFont="1" applyFill="1" applyBorder="1" applyAlignment="1" applyProtection="1">
      <protection locked="0"/>
    </xf>
    <xf numFmtId="221" fontId="131" fillId="0" borderId="0" xfId="10" applyFont="1" applyFill="1" applyAlignment="1">
      <alignment horizontal="left"/>
    </xf>
    <xf numFmtId="221" fontId="131" fillId="0" borderId="0" xfId="10" applyFont="1" applyFill="1" applyAlignment="1">
      <alignment horizontal="center"/>
    </xf>
    <xf numFmtId="221" fontId="38" fillId="0" borderId="0" xfId="10" applyFont="1" applyFill="1" applyAlignment="1">
      <alignment horizontal="center"/>
    </xf>
    <xf numFmtId="221" fontId="27" fillId="0" borderId="0" xfId="0" quotePrefix="1" applyNumberFormat="1" applyFont="1" applyFill="1" applyAlignment="1" applyProtection="1">
      <alignment horizontal="left" vertical="top" wrapText="1"/>
      <protection locked="0"/>
    </xf>
    <xf numFmtId="174" fontId="18" fillId="4" borderId="0" xfId="89" applyNumberFormat="1" applyFont="1" applyFill="1" applyAlignment="1"/>
    <xf numFmtId="221" fontId="41" fillId="0" borderId="0" xfId="7" quotePrefix="1" applyFont="1" applyFill="1" applyAlignment="1">
      <alignment horizontal="center"/>
    </xf>
    <xf numFmtId="42" fontId="51" fillId="0" borderId="0" xfId="7" applyNumberFormat="1" applyFont="1" applyFill="1" applyProtection="1">
      <protection locked="0"/>
    </xf>
    <xf numFmtId="221" fontId="51" fillId="0" borderId="0" xfId="7" applyFont="1" applyFill="1" applyProtection="1">
      <protection locked="0"/>
    </xf>
    <xf numFmtId="42" fontId="34" fillId="0" borderId="0" xfId="7" applyNumberFormat="1" applyFont="1" applyFill="1" applyProtection="1">
      <protection locked="0"/>
    </xf>
    <xf numFmtId="221" fontId="18" fillId="0" borderId="0" xfId="7" applyFont="1" applyFill="1" applyProtection="1">
      <protection locked="0"/>
    </xf>
    <xf numFmtId="41" fontId="34" fillId="0" borderId="0" xfId="7" applyNumberFormat="1" applyFont="1" applyFill="1" applyProtection="1">
      <protection locked="0"/>
    </xf>
    <xf numFmtId="176" fontId="117" fillId="0" borderId="0" xfId="7" applyNumberFormat="1" applyFont="1" applyFill="1" applyProtection="1">
      <protection locked="0"/>
    </xf>
    <xf numFmtId="41" fontId="117" fillId="0" borderId="0" xfId="7" applyNumberFormat="1" applyFont="1" applyFill="1" applyProtection="1">
      <protection locked="0"/>
    </xf>
    <xf numFmtId="221" fontId="51" fillId="0" borderId="0" xfId="6" applyFont="1"/>
    <xf numFmtId="37" fontId="51" fillId="0" borderId="0" xfId="6" applyNumberFormat="1" applyFont="1"/>
    <xf numFmtId="37" fontId="51" fillId="0" borderId="0" xfId="6" applyNumberFormat="1" applyFont="1" applyFill="1"/>
    <xf numFmtId="37" fontId="27" fillId="0" borderId="0" xfId="0" applyNumberFormat="1" applyFont="1" applyFill="1" applyBorder="1" applyAlignment="1" applyProtection="1"/>
    <xf numFmtId="173" fontId="18" fillId="0" borderId="0" xfId="0" applyFont="1" applyAlignment="1"/>
    <xf numFmtId="41" fontId="52" fillId="0" borderId="0" xfId="6" applyNumberFormat="1" applyFont="1" applyFill="1" applyProtection="1">
      <protection locked="0"/>
    </xf>
    <xf numFmtId="37" fontId="27" fillId="0" borderId="0" xfId="0" applyNumberFormat="1" applyFont="1" applyFill="1" applyAlignment="1" applyProtection="1">
      <alignment vertical="top"/>
    </xf>
    <xf numFmtId="221" fontId="27" fillId="0" borderId="0" xfId="0" applyNumberFormat="1" applyFont="1" applyFill="1" applyAlignment="1" applyProtection="1">
      <alignment horizontal="left"/>
    </xf>
    <xf numFmtId="221" fontId="27" fillId="0" borderId="0" xfId="0" applyNumberFormat="1" applyFont="1" applyAlignment="1" applyProtection="1">
      <alignment horizontal="right"/>
    </xf>
    <xf numFmtId="173" fontId="43" fillId="0" borderId="0" xfId="0" applyFont="1" applyAlignment="1" applyProtection="1">
      <alignment horizontal="centerContinuous"/>
    </xf>
    <xf numFmtId="221" fontId="27" fillId="0" borderId="0" xfId="8" applyFont="1" applyAlignment="1" applyProtection="1">
      <alignment horizontal="centerContinuous"/>
    </xf>
    <xf numFmtId="221" fontId="27" fillId="0" borderId="0" xfId="8" applyFont="1" applyProtection="1"/>
    <xf numFmtId="221" fontId="27" fillId="0" borderId="0" xfId="8" applyFont="1" applyAlignment="1" applyProtection="1">
      <alignment horizontal="right"/>
    </xf>
    <xf numFmtId="221" fontId="31" fillId="0" borderId="0" xfId="8" applyFont="1" applyAlignment="1" applyProtection="1">
      <alignment horizontal="centerContinuous"/>
    </xf>
    <xf numFmtId="221" fontId="18" fillId="0" borderId="0" xfId="0" applyNumberFormat="1" applyFont="1" applyAlignment="1" applyProtection="1">
      <alignment horizontal="right"/>
    </xf>
    <xf numFmtId="173" fontId="18" fillId="0" borderId="0" xfId="0" applyFont="1" applyAlignment="1" applyProtection="1">
      <alignment horizontal="centerContinuous"/>
    </xf>
    <xf numFmtId="221" fontId="18" fillId="0" borderId="0" xfId="8" applyFont="1" applyAlignment="1" applyProtection="1">
      <alignment horizontal="right"/>
    </xf>
    <xf numFmtId="173" fontId="18" fillId="0" borderId="0" xfId="0" applyFont="1" applyAlignment="1" applyProtection="1"/>
    <xf numFmtId="173" fontId="20" fillId="0" borderId="0" xfId="0" applyFont="1" applyAlignment="1" applyProtection="1">
      <alignment horizontal="centerContinuous"/>
    </xf>
    <xf numFmtId="221" fontId="20" fillId="0" borderId="0" xfId="5" applyFont="1" applyBorder="1" applyAlignment="1" applyProtection="1">
      <alignment horizontal="center"/>
    </xf>
    <xf numFmtId="221" fontId="18" fillId="0" borderId="0" xfId="7" applyFont="1" applyProtection="1"/>
    <xf numFmtId="221" fontId="20" fillId="0" borderId="8" xfId="7" applyFont="1" applyBorder="1" applyAlignment="1">
      <alignment horizontal="center" vertical="center"/>
    </xf>
    <xf numFmtId="42" fontId="49" fillId="0" borderId="0" xfId="7" applyNumberFormat="1" applyFont="1" applyAlignment="1">
      <alignment horizontal="left"/>
    </xf>
    <xf numFmtId="274" fontId="18" fillId="0" borderId="0" xfId="0" applyNumberFormat="1" applyFont="1" applyFill="1" applyAlignment="1">
      <alignment horizontal="right"/>
    </xf>
    <xf numFmtId="3" fontId="51" fillId="0" borderId="0" xfId="0" applyNumberFormat="1" applyFont="1" applyAlignment="1"/>
    <xf numFmtId="221" fontId="51" fillId="0" borderId="0" xfId="0" applyNumberFormat="1" applyFont="1"/>
    <xf numFmtId="3" fontId="51" fillId="0" borderId="0" xfId="0" applyNumberFormat="1" applyFont="1" applyFill="1" applyAlignment="1"/>
    <xf numFmtId="173" fontId="51" fillId="0" borderId="0" xfId="0" applyFont="1" applyAlignment="1"/>
    <xf numFmtId="173" fontId="0" fillId="0" borderId="0" xfId="0" applyAlignment="1"/>
    <xf numFmtId="221" fontId="18" fillId="0" borderId="0" xfId="0" applyNumberFormat="1" applyFont="1" applyAlignment="1"/>
    <xf numFmtId="221" fontId="18" fillId="0" borderId="0" xfId="0" applyNumberFormat="1" applyFont="1" applyAlignment="1" applyProtection="1">
      <protection locked="0"/>
    </xf>
    <xf numFmtId="221" fontId="18" fillId="0" borderId="0" xfId="0" quotePrefix="1" applyNumberFormat="1" applyFont="1" applyAlignment="1" applyProtection="1">
      <alignment horizontal="left"/>
      <protection locked="0"/>
    </xf>
    <xf numFmtId="221" fontId="18" fillId="0" borderId="0" xfId="0" applyNumberFormat="1" applyFont="1" applyAlignment="1"/>
    <xf numFmtId="164" fontId="18" fillId="0" borderId="0" xfId="0" applyNumberFormat="1" applyFont="1" applyAlignment="1">
      <alignment horizontal="left"/>
    </xf>
    <xf numFmtId="164" fontId="18" fillId="0" borderId="0" xfId="0" applyNumberFormat="1" applyFont="1" applyAlignment="1" applyProtection="1">
      <alignment horizontal="left"/>
      <protection locked="0"/>
    </xf>
    <xf numFmtId="221" fontId="18" fillId="0" borderId="0" xfId="0" applyNumberFormat="1" applyFont="1" applyAlignment="1">
      <alignment horizontal="left" indent="1"/>
    </xf>
    <xf numFmtId="221" fontId="18" fillId="0" borderId="0" xfId="0" applyNumberFormat="1" applyFont="1" applyAlignment="1">
      <alignment horizontal="left" indent="3"/>
    </xf>
    <xf numFmtId="221" fontId="18" fillId="0" borderId="0" xfId="0" quotePrefix="1" applyNumberFormat="1" applyFont="1" applyFill="1" applyAlignment="1">
      <alignment horizontal="left" indent="1"/>
    </xf>
    <xf numFmtId="221" fontId="18" fillId="0" borderId="0" xfId="0" quotePrefix="1" applyNumberFormat="1" applyFont="1" applyAlignment="1">
      <alignment horizontal="left"/>
    </xf>
    <xf numFmtId="221" fontId="18" fillId="0" borderId="0" xfId="0" applyNumberFormat="1" applyFont="1" applyFill="1" applyAlignment="1">
      <alignment horizontal="left" indent="1"/>
    </xf>
    <xf numFmtId="221" fontId="18" fillId="0" borderId="0" xfId="0" applyNumberFormat="1" applyFont="1" applyFill="1" applyAlignment="1"/>
    <xf numFmtId="173" fontId="18" fillId="0" borderId="0" xfId="0" applyFont="1" applyAlignment="1"/>
    <xf numFmtId="221" fontId="18" fillId="0" borderId="0" xfId="0" applyNumberFormat="1" applyFont="1" applyProtection="1">
      <protection locked="0"/>
    </xf>
    <xf numFmtId="221" fontId="18" fillId="0" borderId="0" xfId="0" applyNumberFormat="1" applyFont="1" applyAlignment="1" applyProtection="1">
      <alignment horizontal="center"/>
      <protection locked="0"/>
    </xf>
    <xf numFmtId="3" fontId="18" fillId="0" borderId="0" xfId="0" applyNumberFormat="1" applyFont="1" applyFill="1" applyAlignment="1"/>
    <xf numFmtId="221" fontId="18" fillId="0" borderId="0" xfId="0" applyNumberFormat="1" applyFont="1" applyFill="1" applyProtection="1">
      <protection locked="0"/>
    </xf>
    <xf numFmtId="221" fontId="46" fillId="0" borderId="0" xfId="0" applyNumberFormat="1" applyFont="1" applyFill="1" applyProtection="1">
      <protection locked="0"/>
    </xf>
    <xf numFmtId="221" fontId="18" fillId="0" borderId="0" xfId="0" applyNumberFormat="1" applyFont="1" applyFill="1" applyProtection="1">
      <protection locked="0"/>
    </xf>
    <xf numFmtId="221" fontId="18" fillId="0" borderId="0" xfId="0" applyNumberFormat="1" applyFont="1" applyFill="1" applyProtection="1">
      <protection locked="0"/>
    </xf>
    <xf numFmtId="3" fontId="18" fillId="0" borderId="0" xfId="0" applyNumberFormat="1" applyFont="1" applyAlignment="1"/>
    <xf numFmtId="221" fontId="18" fillId="0" borderId="0" xfId="0" applyNumberFormat="1" applyFont="1" applyFill="1"/>
    <xf numFmtId="173" fontId="18" fillId="0" borderId="0" xfId="0" applyFont="1" applyFill="1" applyAlignment="1"/>
    <xf numFmtId="173" fontId="17" fillId="0" borderId="0" xfId="0" applyFont="1" applyFill="1" applyBorder="1" applyAlignment="1"/>
    <xf numFmtId="173" fontId="18" fillId="0" borderId="0" xfId="0" applyFont="1" applyFill="1" applyBorder="1" applyAlignment="1">
      <alignment horizontal="center"/>
    </xf>
    <xf numFmtId="3" fontId="20" fillId="0" borderId="0" xfId="0" applyNumberFormat="1" applyFont="1" applyFill="1" applyBorder="1" applyAlignment="1">
      <alignment horizontal="center"/>
    </xf>
    <xf numFmtId="3" fontId="18" fillId="0" borderId="0" xfId="0" applyNumberFormat="1" applyFont="1" applyFill="1" applyBorder="1" applyAlignment="1">
      <alignment horizontal="center"/>
    </xf>
    <xf numFmtId="164" fontId="18" fillId="0" borderId="0" xfId="0" applyNumberFormat="1" applyFont="1" applyFill="1" applyBorder="1" applyAlignment="1">
      <alignment horizontal="center"/>
    </xf>
    <xf numFmtId="221" fontId="18" fillId="0" borderId="16" xfId="0" applyNumberFormat="1" applyFont="1" applyFill="1" applyBorder="1" applyAlignment="1">
      <alignment horizontal="center"/>
    </xf>
    <xf numFmtId="173" fontId="18" fillId="0" borderId="0" xfId="0" applyFont="1" applyFill="1" applyBorder="1" applyAlignment="1"/>
    <xf numFmtId="173" fontId="18" fillId="0" borderId="0" xfId="0" applyFont="1" applyFill="1" applyBorder="1" applyAlignment="1"/>
    <xf numFmtId="173" fontId="18" fillId="0" borderId="0" xfId="0" applyFont="1" applyFill="1" applyBorder="1" applyAlignment="1"/>
    <xf numFmtId="173" fontId="18" fillId="0" borderId="0" xfId="0" applyFont="1" applyFill="1" applyBorder="1" applyAlignment="1"/>
    <xf numFmtId="173" fontId="0" fillId="0" borderId="0" xfId="0" applyAlignment="1"/>
    <xf numFmtId="173" fontId="42" fillId="0" borderId="0" xfId="0" applyFont="1" applyAlignment="1"/>
    <xf numFmtId="221" fontId="18" fillId="0" borderId="0" xfId="355" applyFont="1" applyAlignment="1">
      <alignment horizontal="left"/>
    </xf>
    <xf numFmtId="221" fontId="18" fillId="0" borderId="0" xfId="355" applyFont="1" applyAlignment="1">
      <alignment horizontal="left" indent="1"/>
    </xf>
    <xf numFmtId="173" fontId="20" fillId="0" borderId="0" xfId="0" applyFont="1" applyAlignment="1">
      <alignment horizontal="centerContinuous"/>
    </xf>
    <xf numFmtId="221" fontId="18" fillId="0" borderId="0" xfId="355" applyFont="1"/>
    <xf numFmtId="173" fontId="18" fillId="0" borderId="0" xfId="0" applyFont="1" applyAlignment="1">
      <alignment horizontal="center"/>
    </xf>
    <xf numFmtId="221" fontId="18" fillId="0" borderId="0" xfId="0" applyNumberFormat="1" applyFont="1"/>
    <xf numFmtId="221" fontId="27" fillId="0" borderId="0" xfId="371" applyFont="1" applyAlignment="1">
      <alignment horizontal="left" indent="1"/>
    </xf>
    <xf numFmtId="221" fontId="27" fillId="0" borderId="0" xfId="0" applyNumberFormat="1" applyFont="1" applyFill="1" applyAlignment="1" applyProtection="1">
      <alignment horizontal="left" indent="1"/>
      <protection locked="0"/>
    </xf>
    <xf numFmtId="173" fontId="18" fillId="0" borderId="0" xfId="0" applyFont="1" applyAlignment="1"/>
    <xf numFmtId="221" fontId="18" fillId="0" borderId="0" xfId="0" applyNumberFormat="1" applyFont="1" applyFill="1" applyAlignment="1" applyProtection="1">
      <protection locked="0"/>
    </xf>
    <xf numFmtId="221" fontId="22" fillId="0" borderId="0" xfId="15" applyFont="1" applyFill="1"/>
    <xf numFmtId="221" fontId="22" fillId="0" borderId="0" xfId="15" applyFont="1" applyFill="1" applyBorder="1"/>
    <xf numFmtId="173" fontId="113" fillId="0" borderId="0" xfId="0" applyFont="1" applyAlignment="1">
      <alignment horizontal="center"/>
    </xf>
    <xf numFmtId="221" fontId="18" fillId="0" borderId="0" xfId="0" applyNumberFormat="1" applyFont="1" applyFill="1" applyAlignment="1" applyProtection="1">
      <alignment vertical="center"/>
      <protection locked="0"/>
    </xf>
    <xf numFmtId="3" fontId="18" fillId="0" borderId="0" xfId="0" applyNumberFormat="1" applyFont="1" applyFill="1" applyAlignment="1">
      <alignment vertical="center"/>
    </xf>
    <xf numFmtId="173" fontId="0" fillId="4" borderId="3" xfId="0" applyFill="1" applyBorder="1" applyAlignment="1">
      <alignment vertical="top"/>
    </xf>
    <xf numFmtId="173" fontId="0" fillId="4" borderId="0" xfId="0" applyFill="1" applyBorder="1" applyAlignment="1">
      <alignment vertical="top"/>
    </xf>
    <xf numFmtId="173" fontId="0" fillId="4" borderId="0" xfId="0" applyFill="1" applyBorder="1" applyAlignment="1">
      <alignment vertical="top" wrapText="1"/>
    </xf>
    <xf numFmtId="221" fontId="0" fillId="4" borderId="0" xfId="0" applyNumberFormat="1" applyFill="1" applyBorder="1" applyAlignment="1">
      <alignment horizontal="left" vertical="top" wrapText="1"/>
    </xf>
    <xf numFmtId="175" fontId="50" fillId="2" borderId="0" xfId="12" applyNumberFormat="1" applyFont="1" applyFill="1" applyBorder="1" applyAlignment="1">
      <alignment vertical="top"/>
    </xf>
    <xf numFmtId="10" fontId="0" fillId="0" borderId="0" xfId="11" applyNumberFormat="1" applyFont="1" applyFill="1" applyBorder="1" applyAlignment="1">
      <alignment vertical="top"/>
    </xf>
    <xf numFmtId="173" fontId="0" fillId="0" borderId="17" xfId="0" applyFill="1" applyBorder="1" applyAlignment="1">
      <alignment vertical="top"/>
    </xf>
    <xf numFmtId="170" fontId="50" fillId="2" borderId="0" xfId="0" applyNumberFormat="1" applyFont="1" applyFill="1" applyBorder="1" applyAlignment="1">
      <alignment vertical="top"/>
    </xf>
    <xf numFmtId="175" fontId="18" fillId="2" borderId="0" xfId="12" applyNumberFormat="1" applyFont="1" applyFill="1" applyBorder="1" applyAlignment="1">
      <alignment vertical="top"/>
    </xf>
    <xf numFmtId="175" fontId="0" fillId="4" borderId="0" xfId="12" applyNumberFormat="1" applyFont="1" applyFill="1" applyBorder="1" applyAlignment="1">
      <alignment vertical="top"/>
    </xf>
    <xf numFmtId="175" fontId="0" fillId="2" borderId="0" xfId="12" applyNumberFormat="1" applyFont="1" applyFill="1" applyBorder="1" applyAlignment="1">
      <alignment vertical="top"/>
    </xf>
    <xf numFmtId="170" fontId="0" fillId="2" borderId="0" xfId="0" applyNumberFormat="1" applyFill="1" applyBorder="1" applyAlignment="1">
      <alignment vertical="top"/>
    </xf>
    <xf numFmtId="221" fontId="18" fillId="0" borderId="0" xfId="369" applyFont="1" applyBorder="1" applyAlignment="1">
      <alignment horizontal="left" vertical="center"/>
    </xf>
    <xf numFmtId="221" fontId="18" fillId="0" borderId="0" xfId="369" applyFont="1" applyFill="1" applyBorder="1" applyAlignment="1">
      <alignment horizontal="left"/>
    </xf>
    <xf numFmtId="221" fontId="7" fillId="0" borderId="0" xfId="455"/>
    <xf numFmtId="221" fontId="18" fillId="0" borderId="0" xfId="355" applyFont="1" applyFill="1" applyAlignment="1">
      <alignment horizontal="left" vertical="center"/>
    </xf>
    <xf numFmtId="174" fontId="53" fillId="0" borderId="0" xfId="13" applyNumberFormat="1" applyFont="1" applyFill="1"/>
    <xf numFmtId="221" fontId="18" fillId="0" borderId="0" xfId="369" applyFont="1" applyBorder="1" applyAlignment="1">
      <alignment horizontal="left" indent="1"/>
    </xf>
    <xf numFmtId="174" fontId="52" fillId="0" borderId="0" xfId="13" applyNumberFormat="1" applyFont="1" applyFill="1" applyProtection="1">
      <protection locked="0"/>
    </xf>
    <xf numFmtId="221" fontId="18" fillId="0" borderId="0" xfId="355" applyFont="1" applyAlignment="1">
      <alignment horizontal="left" indent="1"/>
    </xf>
    <xf numFmtId="221" fontId="29" fillId="0" borderId="0" xfId="423" quotePrefix="1" applyFont="1" applyFill="1" applyBorder="1" applyAlignment="1">
      <alignment horizontal="center"/>
    </xf>
    <xf numFmtId="221" fontId="18" fillId="0" borderId="0" xfId="370" applyFont="1" applyFill="1" applyAlignment="1">
      <alignment horizontal="left" vertical="center"/>
    </xf>
    <xf numFmtId="221" fontId="18" fillId="0" borderId="0" xfId="369" applyFont="1" applyBorder="1" applyAlignment="1">
      <alignment horizontal="left"/>
    </xf>
    <xf numFmtId="221" fontId="18" fillId="0" borderId="0" xfId="355" applyFont="1"/>
    <xf numFmtId="173" fontId="20" fillId="0" borderId="0" xfId="0" applyFont="1" applyAlignment="1">
      <alignment horizontal="centerContinuous"/>
    </xf>
    <xf numFmtId="173" fontId="18" fillId="0" borderId="0" xfId="0" applyFont="1" applyAlignment="1">
      <alignment horizontal="centerContinuous"/>
    </xf>
    <xf numFmtId="174" fontId="51" fillId="0" borderId="0" xfId="13" applyNumberFormat="1" applyFont="1" applyFill="1" applyProtection="1">
      <protection locked="0"/>
    </xf>
    <xf numFmtId="41" fontId="27" fillId="0" borderId="0" xfId="13" applyNumberFormat="1" applyFont="1" applyBorder="1"/>
    <xf numFmtId="41" fontId="27" fillId="0" borderId="0" xfId="423" applyNumberFormat="1" applyFont="1" applyBorder="1"/>
    <xf numFmtId="221" fontId="27" fillId="0" borderId="0" xfId="423" applyFont="1" applyFill="1" applyBorder="1"/>
    <xf numFmtId="221" fontId="18" fillId="0" borderId="0" xfId="355" applyFont="1" applyAlignment="1">
      <alignment horizontal="left" vertical="center"/>
    </xf>
    <xf numFmtId="221" fontId="18" fillId="0" borderId="0" xfId="355" applyFont="1" applyAlignment="1">
      <alignment horizontal="left" vertical="center"/>
    </xf>
    <xf numFmtId="221" fontId="41" fillId="0" borderId="0" xfId="355" applyFont="1" applyAlignment="1">
      <alignment horizontal="center"/>
    </xf>
    <xf numFmtId="221" fontId="29" fillId="0" borderId="0" xfId="423" applyFont="1" applyFill="1" applyBorder="1" applyAlignment="1">
      <alignment horizontal="center"/>
    </xf>
    <xf numFmtId="10" fontId="27" fillId="0" borderId="0" xfId="11" applyNumberFormat="1" applyFont="1" applyFill="1"/>
    <xf numFmtId="10" fontId="29" fillId="0" borderId="0" xfId="11" applyNumberFormat="1" applyFont="1" applyFill="1" applyBorder="1"/>
    <xf numFmtId="3" fontId="27" fillId="0" borderId="1" xfId="0" quotePrefix="1" applyNumberFormat="1" applyFont="1" applyBorder="1" applyAlignment="1" applyProtection="1">
      <protection locked="0"/>
    </xf>
    <xf numFmtId="3" fontId="27" fillId="0" borderId="0" xfId="0" applyNumberFormat="1" applyFont="1" applyFill="1" applyAlignment="1" applyProtection="1">
      <protection locked="0"/>
    </xf>
    <xf numFmtId="173" fontId="18" fillId="0" borderId="0" xfId="0" applyFont="1" applyAlignment="1"/>
    <xf numFmtId="42" fontId="18" fillId="0" borderId="0" xfId="0" applyNumberFormat="1" applyFont="1" applyAlignment="1"/>
    <xf numFmtId="273" fontId="27" fillId="0" borderId="0" xfId="0" applyNumberFormat="1" applyFont="1" applyFill="1" applyAlignment="1" applyProtection="1">
      <alignment horizontal="right"/>
      <protection locked="0"/>
    </xf>
    <xf numFmtId="14" fontId="132" fillId="17" borderId="11" xfId="0" applyNumberFormat="1" applyFont="1" applyFill="1" applyBorder="1" applyAlignment="1" applyProtection="1">
      <protection locked="0"/>
    </xf>
    <xf numFmtId="14" fontId="20" fillId="17" borderId="7" xfId="0" applyNumberFormat="1" applyFont="1" applyFill="1" applyBorder="1" applyAlignment="1" applyProtection="1"/>
    <xf numFmtId="37" fontId="51" fillId="0" borderId="0" xfId="7" applyNumberFormat="1" applyFont="1" applyFill="1" applyAlignment="1" applyProtection="1">
      <alignment vertical="center"/>
      <protection locked="0"/>
    </xf>
    <xf numFmtId="10" fontId="130" fillId="4" borderId="20" xfId="0" applyNumberFormat="1" applyFont="1" applyFill="1" applyBorder="1" applyAlignment="1" applyProtection="1">
      <protection locked="0"/>
    </xf>
    <xf numFmtId="37" fontId="27" fillId="0" borderId="0" xfId="0" applyNumberFormat="1" applyFont="1" applyFill="1" applyBorder="1" applyAlignment="1" applyProtection="1">
      <alignment vertical="top"/>
      <protection locked="0"/>
    </xf>
    <xf numFmtId="41" fontId="54" fillId="0" borderId="0" xfId="8" applyNumberFormat="1" applyFont="1" applyFill="1" applyProtection="1">
      <protection locked="0"/>
    </xf>
    <xf numFmtId="9" fontId="44" fillId="0" borderId="0" xfId="15" applyNumberFormat="1" applyFont="1" applyFill="1" applyBorder="1"/>
    <xf numFmtId="221" fontId="159" fillId="0" borderId="0" xfId="428" applyFont="1" applyFill="1" applyAlignment="1">
      <alignment horizontal="right"/>
    </xf>
    <xf numFmtId="221" fontId="4" fillId="0" borderId="0" xfId="554"/>
    <xf numFmtId="221" fontId="22" fillId="0" borderId="0" xfId="428" applyFont="1" applyFill="1" applyBorder="1" applyAlignment="1">
      <alignment horizontal="center"/>
    </xf>
    <xf numFmtId="221" fontId="22" fillId="0" borderId="0" xfId="428" applyFont="1" applyFill="1" applyBorder="1"/>
    <xf numFmtId="9" fontId="44" fillId="0" borderId="0" xfId="428" applyNumberFormat="1" applyFont="1" applyFill="1"/>
    <xf numFmtId="221" fontId="18" fillId="0" borderId="0" xfId="325" applyNumberFormat="1" applyFont="1" applyFill="1" applyAlignment="1" applyProtection="1">
      <alignment horizontal="center"/>
      <protection locked="0"/>
    </xf>
    <xf numFmtId="41" fontId="51" fillId="0" borderId="0" xfId="0" applyNumberFormat="1" applyFont="1" applyFill="1" applyAlignment="1" applyProtection="1">
      <protection locked="0"/>
    </xf>
    <xf numFmtId="41" fontId="52" fillId="0" borderId="0" xfId="0" applyNumberFormat="1" applyFont="1" applyFill="1" applyAlignment="1" applyProtection="1">
      <protection locked="0"/>
    </xf>
    <xf numFmtId="42" fontId="51" fillId="0" borderId="0" xfId="7" applyNumberFormat="1" applyFont="1" applyFill="1"/>
    <xf numFmtId="41" fontId="51" fillId="0" borderId="0" xfId="7" applyNumberFormat="1" applyFont="1" applyFill="1" applyProtection="1">
      <protection locked="0"/>
    </xf>
    <xf numFmtId="41" fontId="51" fillId="0" borderId="0" xfId="6" applyNumberFormat="1" applyFont="1" applyFill="1" applyProtection="1">
      <protection locked="0"/>
    </xf>
    <xf numFmtId="41" fontId="18" fillId="0" borderId="0" xfId="6" applyNumberFormat="1" applyFont="1" applyFill="1" applyProtection="1">
      <protection locked="0"/>
    </xf>
    <xf numFmtId="41" fontId="42" fillId="0" borderId="0" xfId="6" applyNumberFormat="1" applyFont="1" applyFill="1" applyProtection="1">
      <protection locked="0"/>
    </xf>
    <xf numFmtId="173" fontId="27" fillId="0" borderId="0" xfId="0" applyFont="1" applyFill="1" applyAlignment="1"/>
    <xf numFmtId="37" fontId="27" fillId="0" borderId="0" xfId="0" applyNumberFormat="1" applyFont="1" applyFill="1" applyAlignment="1" applyProtection="1">
      <alignment vertical="top"/>
      <protection locked="0"/>
    </xf>
    <xf numFmtId="221" fontId="32" fillId="0" borderId="0" xfId="6" applyAlignment="1">
      <alignment horizontal="center"/>
    </xf>
    <xf numFmtId="221" fontId="27" fillId="0" borderId="0" xfId="6" quotePrefix="1" applyFont="1" applyAlignment="1">
      <alignment horizontal="center"/>
    </xf>
    <xf numFmtId="221" fontId="32" fillId="0" borderId="0" xfId="7" applyAlignment="1">
      <alignment horizontal="center"/>
    </xf>
    <xf numFmtId="221" fontId="20" fillId="0" borderId="0" xfId="371" applyFont="1" applyAlignment="1">
      <alignment horizontal="centerContinuous"/>
    </xf>
    <xf numFmtId="37" fontId="18" fillId="0" borderId="0" xfId="0" applyNumberFormat="1" applyFont="1" applyAlignment="1">
      <alignment horizontal="center" vertical="top"/>
    </xf>
    <xf numFmtId="42" fontId="51" fillId="0" borderId="0" xfId="0" applyNumberFormat="1" applyFont="1" applyAlignment="1"/>
    <xf numFmtId="173" fontId="18" fillId="0" borderId="0" xfId="0" applyFont="1" applyAlignment="1">
      <alignment vertical="top" wrapText="1"/>
    </xf>
    <xf numFmtId="37" fontId="51" fillId="0" borderId="0" xfId="0" applyNumberFormat="1" applyFont="1" applyFill="1" applyAlignment="1"/>
    <xf numFmtId="221" fontId="18" fillId="0" borderId="0" xfId="428" applyFont="1" applyFill="1"/>
    <xf numFmtId="37" fontId="54" fillId="0" borderId="1" xfId="0" applyNumberFormat="1" applyFont="1" applyFill="1" applyBorder="1" applyAlignment="1" applyProtection="1">
      <protection locked="0"/>
    </xf>
    <xf numFmtId="37" fontId="54" fillId="0" borderId="0" xfId="0" applyNumberFormat="1" applyFont="1" applyFill="1" applyAlignment="1" applyProtection="1">
      <alignment vertical="top"/>
      <protection locked="0"/>
    </xf>
    <xf numFmtId="37" fontId="54" fillId="0" borderId="0" xfId="0" applyNumberFormat="1" applyFont="1" applyFill="1" applyBorder="1" applyAlignment="1" applyProtection="1">
      <protection locked="0"/>
    </xf>
    <xf numFmtId="38" fontId="33" fillId="0" borderId="1" xfId="0" applyNumberFormat="1" applyFont="1" applyFill="1" applyBorder="1" applyProtection="1">
      <protection locked="0"/>
    </xf>
    <xf numFmtId="38" fontId="33" fillId="0" borderId="0" xfId="0" applyNumberFormat="1" applyFont="1" applyFill="1" applyBorder="1" applyProtection="1">
      <protection locked="0"/>
    </xf>
    <xf numFmtId="273" fontId="128" fillId="0" borderId="0" xfId="0" applyNumberFormat="1" applyFont="1" applyFill="1" applyAlignment="1" applyProtection="1">
      <alignment horizontal="right"/>
      <protection locked="0"/>
    </xf>
    <xf numFmtId="42" fontId="51" fillId="0" borderId="0" xfId="0" applyNumberFormat="1" applyFont="1" applyFill="1" applyAlignment="1" applyProtection="1">
      <protection locked="0"/>
    </xf>
    <xf numFmtId="41" fontId="32" fillId="0" borderId="0" xfId="1" applyNumberFormat="1" applyFill="1"/>
    <xf numFmtId="221" fontId="18" fillId="0" borderId="0" xfId="0" applyNumberFormat="1" applyFont="1" applyBorder="1" applyAlignment="1">
      <alignment horizontal="centerContinuous"/>
    </xf>
    <xf numFmtId="42" fontId="42" fillId="0" borderId="0" xfId="0" applyNumberFormat="1" applyFont="1" applyAlignment="1"/>
    <xf numFmtId="42" fontId="20" fillId="0" borderId="0" xfId="0" applyNumberFormat="1" applyFont="1" applyAlignment="1"/>
    <xf numFmtId="221" fontId="113" fillId="0" borderId="0" xfId="7" applyFont="1" applyAlignment="1">
      <alignment horizontal="center"/>
    </xf>
    <xf numFmtId="221" fontId="31" fillId="53" borderId="23" xfId="0" applyNumberFormat="1" applyFont="1" applyFill="1" applyBorder="1" applyAlignment="1" applyProtection="1">
      <alignment horizontal="centerContinuous"/>
      <protection locked="0"/>
    </xf>
    <xf numFmtId="173" fontId="31" fillId="53" borderId="20" xfId="0" applyFont="1" applyFill="1" applyBorder="1" applyAlignment="1" applyProtection="1">
      <alignment horizontal="centerContinuous"/>
      <protection locked="0"/>
    </xf>
    <xf numFmtId="3" fontId="51" fillId="0" borderId="0" xfId="0" applyNumberFormat="1" applyFont="1" applyFill="1" applyAlignment="1">
      <alignment vertical="center"/>
    </xf>
    <xf numFmtId="37" fontId="18" fillId="4" borderId="0" xfId="0" applyNumberFormat="1" applyFont="1" applyFill="1" applyAlignment="1">
      <alignment vertical="center"/>
    </xf>
    <xf numFmtId="37" fontId="18" fillId="0" borderId="0" xfId="0" applyNumberFormat="1" applyFont="1" applyAlignment="1">
      <alignment vertical="center"/>
    </xf>
    <xf numFmtId="221" fontId="18" fillId="0" borderId="0" xfId="0" applyNumberFormat="1" applyFont="1" applyFill="1" applyBorder="1" applyAlignment="1">
      <alignment wrapText="1"/>
    </xf>
    <xf numFmtId="49" fontId="0" fillId="0" borderId="0" xfId="0" applyNumberFormat="1" applyFont="1" applyFill="1" applyBorder="1" applyAlignment="1">
      <alignment horizontal="center" vertical="center"/>
    </xf>
    <xf numFmtId="3" fontId="18" fillId="0" borderId="0" xfId="0" applyNumberFormat="1" applyFont="1" applyFill="1" applyBorder="1" applyAlignment="1">
      <alignment horizontal="center" vertical="center"/>
    </xf>
    <xf numFmtId="10" fontId="18" fillId="0" borderId="0" xfId="0" applyNumberFormat="1" applyFont="1" applyFill="1" applyBorder="1" applyAlignment="1">
      <alignment vertical="center"/>
    </xf>
    <xf numFmtId="173" fontId="0" fillId="0" borderId="0" xfId="0" applyFill="1" applyBorder="1" applyAlignment="1">
      <alignment vertical="center"/>
    </xf>
    <xf numFmtId="10" fontId="0" fillId="0" borderId="0" xfId="11" applyNumberFormat="1" applyFont="1" applyFill="1" applyBorder="1" applyAlignment="1">
      <alignment vertical="center"/>
    </xf>
    <xf numFmtId="10" fontId="54" fillId="0" borderId="0" xfId="0" applyNumberFormat="1" applyFont="1" applyAlignment="1" applyProtection="1">
      <protection locked="0"/>
    </xf>
    <xf numFmtId="221" fontId="51" fillId="0" borderId="0" xfId="326" applyNumberFormat="1" applyFont="1" applyAlignment="1">
      <alignment horizontal="centerContinuous"/>
    </xf>
    <xf numFmtId="221" fontId="27" fillId="0" borderId="0" xfId="0" applyNumberFormat="1" applyFont="1" applyFill="1" applyAlignment="1" applyProtection="1">
      <alignment horizontal="right"/>
      <protection locked="0"/>
    </xf>
    <xf numFmtId="221" fontId="20" fillId="0" borderId="0" xfId="9" applyFont="1" applyFill="1" applyAlignment="1">
      <alignment horizontal="center"/>
    </xf>
    <xf numFmtId="221" fontId="18" fillId="0" borderId="0" xfId="8" applyFont="1" applyFill="1" applyAlignment="1">
      <alignment horizontal="right"/>
    </xf>
    <xf numFmtId="221" fontId="18" fillId="0" borderId="0" xfId="9" applyFont="1" applyFill="1"/>
    <xf numFmtId="221" fontId="18" fillId="0" borderId="0" xfId="15" applyFont="1" applyFill="1"/>
    <xf numFmtId="221" fontId="18" fillId="0" borderId="0" xfId="15" applyFont="1" applyFill="1" applyAlignment="1">
      <alignment horizontal="centerContinuous"/>
    </xf>
    <xf numFmtId="15" fontId="18" fillId="0" borderId="0" xfId="15" quotePrefix="1" applyNumberFormat="1" applyFont="1" applyFill="1" applyAlignment="1">
      <alignment horizontal="centerContinuous"/>
    </xf>
    <xf numFmtId="15" fontId="18" fillId="0" borderId="0" xfId="15" applyNumberFormat="1" applyFont="1" applyFill="1" applyAlignment="1">
      <alignment horizontal="centerContinuous"/>
    </xf>
    <xf numFmtId="15" fontId="18" fillId="0" borderId="0" xfId="15" applyNumberFormat="1" applyFont="1" applyFill="1" applyAlignment="1">
      <alignment horizontal="center"/>
    </xf>
    <xf numFmtId="221" fontId="18" fillId="0" borderId="0" xfId="428" applyFont="1" applyFill="1" applyBorder="1" applyAlignment="1">
      <alignment horizontal="center"/>
    </xf>
    <xf numFmtId="221" fontId="161" fillId="0" borderId="0" xfId="554" applyFont="1"/>
    <xf numFmtId="221" fontId="18" fillId="0" borderId="0" xfId="428" applyFont="1" applyFill="1" applyAlignment="1">
      <alignment horizontal="center"/>
    </xf>
    <xf numFmtId="221" fontId="161" fillId="0" borderId="0" xfId="554" applyFont="1" applyBorder="1"/>
    <xf numFmtId="221" fontId="18" fillId="0" borderId="0" xfId="15" applyFont="1" applyFill="1" applyBorder="1"/>
    <xf numFmtId="3" fontId="20" fillId="0" borderId="0" xfId="15" applyNumberFormat="1" applyFont="1" applyFill="1"/>
    <xf numFmtId="3" fontId="20" fillId="0" borderId="0" xfId="15" applyNumberFormat="1" applyFont="1" applyFill="1" applyBorder="1"/>
    <xf numFmtId="221" fontId="20" fillId="0" borderId="0" xfId="15" applyFont="1" applyFill="1" applyBorder="1"/>
    <xf numFmtId="175" fontId="18" fillId="0" borderId="0" xfId="16" applyNumberFormat="1" applyFont="1" applyFill="1"/>
    <xf numFmtId="175" fontId="51" fillId="0" borderId="0" xfId="16" applyNumberFormat="1" applyFont="1" applyFill="1" applyBorder="1"/>
    <xf numFmtId="175" fontId="18" fillId="0" borderId="0" xfId="16" applyNumberFormat="1" applyFont="1" applyFill="1" applyBorder="1"/>
    <xf numFmtId="221" fontId="161" fillId="0" borderId="0" xfId="555" applyFont="1"/>
    <xf numFmtId="175" fontId="51" fillId="0" borderId="0" xfId="16" applyNumberFormat="1" applyFont="1" applyFill="1"/>
    <xf numFmtId="41" fontId="18" fillId="0" borderId="0" xfId="16" applyNumberFormat="1" applyFont="1" applyFill="1"/>
    <xf numFmtId="41" fontId="51" fillId="0" borderId="0" xfId="16" applyNumberFormat="1" applyFont="1" applyFill="1"/>
    <xf numFmtId="221" fontId="20" fillId="0" borderId="0" xfId="428" applyFont="1" applyFill="1"/>
    <xf numFmtId="175" fontId="20" fillId="0" borderId="13" xfId="12" applyNumberFormat="1" applyFont="1" applyFill="1" applyBorder="1"/>
    <xf numFmtId="41" fontId="51" fillId="0" borderId="0" xfId="15" applyNumberFormat="1" applyFont="1" applyFill="1"/>
    <xf numFmtId="9" fontId="20" fillId="0" borderId="0" xfId="428" applyNumberFormat="1" applyFont="1" applyFill="1"/>
    <xf numFmtId="221" fontId="51" fillId="0" borderId="1" xfId="0" applyNumberFormat="1" applyFont="1" applyBorder="1" applyAlignment="1"/>
    <xf numFmtId="42" fontId="18" fillId="0" borderId="10" xfId="0" applyNumberFormat="1" applyFont="1" applyBorder="1" applyAlignment="1"/>
    <xf numFmtId="221" fontId="18" fillId="0" borderId="0" xfId="0" applyNumberFormat="1" applyFont="1" applyFill="1" applyAlignment="1">
      <alignment horizontal="left" vertical="top" wrapText="1" indent="1"/>
    </xf>
    <xf numFmtId="3" fontId="18" fillId="0" borderId="0" xfId="0" applyNumberFormat="1" applyFont="1" applyAlignment="1">
      <alignment vertical="center"/>
    </xf>
    <xf numFmtId="37" fontId="18" fillId="4" borderId="0" xfId="0" applyNumberFormat="1" applyFont="1" applyFill="1" applyBorder="1" applyAlignment="1"/>
    <xf numFmtId="42" fontId="18" fillId="0" borderId="24" xfId="0" applyNumberFormat="1" applyFont="1" applyFill="1" applyBorder="1" applyAlignment="1"/>
    <xf numFmtId="37" fontId="18" fillId="0" borderId="0" xfId="0" applyNumberFormat="1" applyFont="1" applyFill="1" applyBorder="1" applyAlignment="1"/>
    <xf numFmtId="165" fontId="18" fillId="0" borderId="0" xfId="0" applyNumberFormat="1" applyFont="1" applyFill="1" applyBorder="1" applyAlignment="1"/>
    <xf numFmtId="165" fontId="18" fillId="0" borderId="0" xfId="0" applyNumberFormat="1" applyFont="1" applyAlignment="1">
      <alignment vertical="center"/>
    </xf>
    <xf numFmtId="42" fontId="18" fillId="0" borderId="0" xfId="0" applyNumberFormat="1" applyFont="1" applyFill="1" applyBorder="1" applyProtection="1"/>
    <xf numFmtId="221" fontId="51" fillId="0" borderId="0" xfId="0" applyNumberFormat="1" applyFont="1" applyFill="1" applyAlignment="1" applyProtection="1">
      <protection locked="0"/>
    </xf>
    <xf numFmtId="221" fontId="51" fillId="0" borderId="0" xfId="0" applyNumberFormat="1" applyFont="1" applyFill="1" applyProtection="1">
      <protection locked="0"/>
    </xf>
    <xf numFmtId="173" fontId="51" fillId="0" borderId="0" xfId="0" applyFont="1" applyFill="1" applyAlignment="1"/>
    <xf numFmtId="221" fontId="51" fillId="0" borderId="0" xfId="0" applyNumberFormat="1" applyFont="1" applyFill="1"/>
    <xf numFmtId="221" fontId="51" fillId="0" borderId="0" xfId="0" applyNumberFormat="1" applyFont="1" applyAlignment="1" applyProtection="1">
      <protection locked="0"/>
    </xf>
    <xf numFmtId="173" fontId="51" fillId="0" borderId="0" xfId="0" applyFont="1" applyAlignment="1">
      <alignment horizontal="centerContinuous"/>
    </xf>
    <xf numFmtId="221" fontId="51" fillId="0" borderId="0" xfId="0" applyNumberFormat="1" applyFont="1" applyAlignment="1" applyProtection="1">
      <alignment horizontal="centerContinuous"/>
      <protection locked="0"/>
    </xf>
    <xf numFmtId="221" fontId="51" fillId="0" borderId="0" xfId="0" applyNumberFormat="1" applyFont="1" applyAlignment="1">
      <alignment horizontal="centerContinuous"/>
    </xf>
    <xf numFmtId="173" fontId="51" fillId="0" borderId="0" xfId="0" applyNumberFormat="1" applyFont="1" applyAlignment="1" applyProtection="1">
      <protection locked="0"/>
    </xf>
    <xf numFmtId="173" fontId="0" fillId="0" borderId="0" xfId="0" applyFill="1" applyAlignment="1"/>
    <xf numFmtId="221" fontId="18" fillId="0" borderId="0" xfId="15" applyFont="1" applyFill="1" applyAlignment="1">
      <alignment horizontal="centerContinuous" vertical="center"/>
    </xf>
    <xf numFmtId="0" fontId="18" fillId="0" borderId="0" xfId="0" applyNumberFormat="1" applyFont="1" applyAlignment="1" applyProtection="1">
      <alignment horizontal="center"/>
      <protection locked="0"/>
    </xf>
    <xf numFmtId="0" fontId="18" fillId="0" borderId="0" xfId="0" applyNumberFormat="1" applyFont="1" applyFill="1" applyAlignment="1" applyProtection="1">
      <alignment horizontal="center"/>
      <protection locked="0"/>
    </xf>
    <xf numFmtId="0" fontId="18" fillId="0" borderId="0" xfId="0" applyNumberFormat="1" applyFont="1" applyAlignment="1"/>
    <xf numFmtId="0" fontId="57" fillId="0" borderId="0" xfId="0" applyNumberFormat="1" applyFont="1" applyAlignment="1"/>
    <xf numFmtId="0" fontId="18" fillId="0" borderId="0" xfId="0" applyNumberFormat="1" applyFont="1" applyFill="1" applyAlignment="1" applyProtection="1">
      <alignment horizontal="centerContinuous"/>
      <protection locked="0"/>
    </xf>
    <xf numFmtId="0" fontId="18" fillId="0" borderId="0" xfId="0" applyNumberFormat="1" applyFont="1" applyFill="1" applyAlignment="1">
      <alignment horizontal="centerContinuous"/>
    </xf>
    <xf numFmtId="0" fontId="20" fillId="0" borderId="0" xfId="0" applyNumberFormat="1" applyFont="1" applyAlignment="1">
      <alignment horizontal="centerContinuous"/>
    </xf>
    <xf numFmtId="0" fontId="18" fillId="0" borderId="0" xfId="0" applyNumberFormat="1" applyFont="1" applyFill="1" applyAlignment="1"/>
    <xf numFmtId="0" fontId="18" fillId="0" borderId="0" xfId="0" applyNumberFormat="1" applyFont="1" applyBorder="1" applyAlignment="1" applyProtection="1">
      <alignment horizontal="center"/>
      <protection locked="0"/>
    </xf>
    <xf numFmtId="0" fontId="113" fillId="0" borderId="0" xfId="0" applyNumberFormat="1" applyFont="1" applyBorder="1" applyAlignment="1" applyProtection="1">
      <alignment horizontal="center"/>
      <protection locked="0"/>
    </xf>
    <xf numFmtId="0" fontId="18" fillId="0" borderId="0" xfId="0" applyNumberFormat="1" applyFont="1" applyFill="1" applyAlignment="1" applyProtection="1">
      <alignment horizontal="center" vertical="center"/>
      <protection locked="0"/>
    </xf>
    <xf numFmtId="0" fontId="18" fillId="0" borderId="0" xfId="0" quotePrefix="1" applyNumberFormat="1" applyFont="1" applyFill="1" applyAlignment="1" applyProtection="1">
      <alignment horizontal="center"/>
      <protection locked="0"/>
    </xf>
    <xf numFmtId="0" fontId="51" fillId="0" borderId="0" xfId="0" applyNumberFormat="1" applyFont="1" applyFill="1" applyAlignment="1" applyProtection="1">
      <alignment horizontal="centerContinuous"/>
      <protection locked="0"/>
    </xf>
    <xf numFmtId="0" fontId="35" fillId="4" borderId="0" xfId="0" applyNumberFormat="1" applyFont="1" applyFill="1" applyAlignment="1">
      <alignment horizontal="centerContinuous"/>
    </xf>
    <xf numFmtId="0" fontId="35" fillId="0" borderId="0" xfId="0" applyNumberFormat="1" applyFont="1" applyFill="1" applyAlignment="1">
      <alignment horizontal="centerContinuous"/>
    </xf>
    <xf numFmtId="0" fontId="18" fillId="0" borderId="0" xfId="0" applyNumberFormat="1" applyFont="1" applyAlignment="1">
      <alignment horizontal="center"/>
    </xf>
    <xf numFmtId="0" fontId="18" fillId="0" borderId="0" xfId="0" applyNumberFormat="1" applyFont="1" applyFill="1" applyAlignment="1">
      <alignment horizontal="center"/>
    </xf>
    <xf numFmtId="0" fontId="18" fillId="0" borderId="0" xfId="0" applyNumberFormat="1" applyFont="1" applyAlignment="1">
      <alignment horizontal="centerContinuous"/>
    </xf>
    <xf numFmtId="0" fontId="18" fillId="0" borderId="0" xfId="576" applyFont="1"/>
    <xf numFmtId="0" fontId="20" fillId="0" borderId="0" xfId="576" applyFont="1" applyAlignment="1">
      <alignment horizontal="centerContinuous"/>
    </xf>
    <xf numFmtId="0" fontId="18" fillId="0" borderId="14" xfId="577" applyFont="1" applyFill="1" applyBorder="1"/>
    <xf numFmtId="0" fontId="20" fillId="0" borderId="15" xfId="577" applyFont="1" applyFill="1" applyBorder="1" applyAlignment="1">
      <alignment horizontal="centerContinuous"/>
    </xf>
    <xf numFmtId="0" fontId="20" fillId="0" borderId="16" xfId="577" applyFont="1" applyFill="1" applyBorder="1" applyAlignment="1">
      <alignment horizontal="centerContinuous"/>
    </xf>
    <xf numFmtId="0" fontId="20" fillId="0" borderId="25" xfId="577" applyFont="1" applyFill="1" applyBorder="1" applyAlignment="1">
      <alignment horizontal="centerContinuous"/>
    </xf>
    <xf numFmtId="0" fontId="20" fillId="0" borderId="14" xfId="577" applyFont="1" applyFill="1" applyBorder="1" applyAlignment="1">
      <alignment horizontal="center"/>
    </xf>
    <xf numFmtId="0" fontId="20" fillId="0" borderId="14" xfId="577" applyFont="1" applyFill="1" applyBorder="1" applyAlignment="1">
      <alignment horizontal="center" wrapText="1"/>
    </xf>
    <xf numFmtId="0" fontId="18" fillId="0" borderId="16" xfId="577" applyFont="1" applyFill="1" applyBorder="1"/>
    <xf numFmtId="0" fontId="18" fillId="0" borderId="25" xfId="577" applyFont="1" applyFill="1" applyBorder="1" applyAlignment="1">
      <alignment horizontal="centerContinuous"/>
    </xf>
    <xf numFmtId="0" fontId="18" fillId="0" borderId="17" xfId="577" applyFont="1" applyFill="1" applyBorder="1"/>
    <xf numFmtId="0" fontId="20" fillId="0" borderId="17" xfId="577" applyFont="1" applyFill="1" applyBorder="1"/>
    <xf numFmtId="0" fontId="20" fillId="0" borderId="0" xfId="577" applyFont="1" applyFill="1" applyBorder="1"/>
    <xf numFmtId="0" fontId="20" fillId="0" borderId="10" xfId="577" applyFont="1" applyFill="1" applyBorder="1"/>
    <xf numFmtId="0" fontId="18" fillId="0" borderId="0" xfId="577" applyFont="1" applyFill="1" applyBorder="1"/>
    <xf numFmtId="0" fontId="20" fillId="0" borderId="3" xfId="577" applyFont="1" applyFill="1" applyBorder="1"/>
    <xf numFmtId="0" fontId="18" fillId="0" borderId="4" xfId="577" applyFont="1" applyFill="1" applyBorder="1"/>
    <xf numFmtId="0" fontId="18" fillId="0" borderId="17" xfId="577" applyFont="1" applyFill="1" applyBorder="1" applyAlignment="1">
      <alignment horizontal="center"/>
    </xf>
    <xf numFmtId="0" fontId="20" fillId="0" borderId="17" xfId="577" applyFont="1" applyFill="1" applyBorder="1" applyAlignment="1">
      <alignment horizontal="center"/>
    </xf>
    <xf numFmtId="0" fontId="18" fillId="0" borderId="6" xfId="577" applyFont="1" applyFill="1" applyBorder="1" applyAlignment="1">
      <alignment horizontal="center" wrapText="1"/>
    </xf>
    <xf numFmtId="0" fontId="20" fillId="0" borderId="6" xfId="577" applyFont="1" applyFill="1" applyBorder="1" applyAlignment="1">
      <alignment horizontal="center" wrapText="1"/>
    </xf>
    <xf numFmtId="0" fontId="18" fillId="0" borderId="3" xfId="577" applyFont="1" applyFill="1" applyBorder="1"/>
    <xf numFmtId="0" fontId="18" fillId="0" borderId="0" xfId="577" applyFont="1" applyFill="1" applyBorder="1" applyAlignment="1">
      <alignment horizontal="left" indent="1"/>
    </xf>
    <xf numFmtId="175" fontId="18" fillId="0" borderId="0" xfId="577" applyNumberFormat="1" applyFont="1" applyFill="1" applyBorder="1"/>
    <xf numFmtId="0" fontId="18" fillId="0" borderId="3" xfId="577" applyFont="1" applyFill="1" applyBorder="1" applyAlignment="1">
      <alignment horizontal="left" indent="1"/>
    </xf>
    <xf numFmtId="174" fontId="18" fillId="0" borderId="0" xfId="564" applyNumberFormat="1" applyFont="1" applyFill="1" applyBorder="1"/>
    <xf numFmtId="174" fontId="18" fillId="0" borderId="13" xfId="564" applyNumberFormat="1" applyFont="1" applyFill="1" applyBorder="1"/>
    <xf numFmtId="0" fontId="18" fillId="0" borderId="17" xfId="577" applyFont="1" applyFill="1" applyBorder="1" applyAlignment="1">
      <alignment horizontal="center" vertical="center"/>
    </xf>
    <xf numFmtId="0" fontId="18" fillId="0" borderId="0" xfId="577" applyFont="1" applyFill="1" applyBorder="1" applyAlignment="1">
      <alignment horizontal="left" vertical="center" indent="1"/>
    </xf>
    <xf numFmtId="0" fontId="18" fillId="0" borderId="0" xfId="577" applyFont="1" applyFill="1" applyBorder="1" applyAlignment="1">
      <alignment vertical="center"/>
    </xf>
    <xf numFmtId="0" fontId="18" fillId="0" borderId="3" xfId="577" applyFont="1" applyFill="1" applyBorder="1" applyAlignment="1">
      <alignment horizontal="left" wrapText="1" indent="1"/>
    </xf>
    <xf numFmtId="0" fontId="18" fillId="0" borderId="6" xfId="577" applyFont="1" applyFill="1" applyBorder="1"/>
    <xf numFmtId="174" fontId="18" fillId="0" borderId="10" xfId="564" applyNumberFormat="1" applyFont="1" applyFill="1" applyBorder="1"/>
    <xf numFmtId="174" fontId="18" fillId="0" borderId="0" xfId="564" applyNumberFormat="1" applyFont="1"/>
    <xf numFmtId="0" fontId="20" fillId="0" borderId="0" xfId="577" applyFont="1" applyFill="1" applyBorder="1" applyAlignment="1">
      <alignment horizontal="left" indent="1"/>
    </xf>
    <xf numFmtId="0" fontId="18" fillId="0" borderId="12" xfId="577" applyFont="1" applyFill="1" applyBorder="1"/>
    <xf numFmtId="0" fontId="18" fillId="0" borderId="10" xfId="577" applyFont="1" applyFill="1" applyBorder="1"/>
    <xf numFmtId="174" fontId="51" fillId="0" borderId="0" xfId="564" applyNumberFormat="1" applyFont="1" applyFill="1" applyBorder="1"/>
    <xf numFmtId="174" fontId="18" fillId="0" borderId="0" xfId="576" applyNumberFormat="1" applyFont="1"/>
    <xf numFmtId="0" fontId="18" fillId="0" borderId="4" xfId="577" applyFont="1" applyFill="1" applyBorder="1" applyAlignment="1">
      <alignment horizontal="center"/>
    </xf>
    <xf numFmtId="0" fontId="18" fillId="0" borderId="7" xfId="577" applyFont="1" applyFill="1" applyBorder="1" applyAlignment="1">
      <alignment horizontal="center"/>
    </xf>
    <xf numFmtId="0" fontId="15" fillId="0" borderId="0" xfId="325" applyNumberFormat="1" applyFont="1" applyAlignment="1" applyProtection="1">
      <alignment horizontal="center"/>
      <protection locked="0"/>
    </xf>
    <xf numFmtId="0" fontId="116" fillId="0" borderId="0" xfId="325" applyNumberFormat="1" applyFont="1" applyBorder="1" applyAlignment="1" applyProtection="1">
      <alignment horizontal="left"/>
      <protection locked="0"/>
    </xf>
    <xf numFmtId="0" fontId="15" fillId="0" borderId="0" xfId="325" applyNumberFormat="1" applyFont="1" applyFill="1" applyAlignment="1" applyProtection="1">
      <alignment horizontal="center"/>
      <protection locked="0"/>
    </xf>
    <xf numFmtId="221" fontId="18" fillId="0" borderId="0" xfId="7" applyFont="1" applyFill="1" applyAlignment="1">
      <alignment horizontal="left"/>
    </xf>
    <xf numFmtId="41" fontId="49" fillId="0" borderId="0" xfId="7" applyNumberFormat="1" applyFont="1" applyFill="1"/>
    <xf numFmtId="173" fontId="0" fillId="0" borderId="0" xfId="0" applyFont="1" applyAlignment="1"/>
    <xf numFmtId="37" fontId="18" fillId="0" borderId="13" xfId="0" applyNumberFormat="1" applyFont="1" applyFill="1" applyBorder="1"/>
    <xf numFmtId="173" fontId="218" fillId="0" borderId="16" xfId="0" applyFont="1" applyBorder="1"/>
    <xf numFmtId="37" fontId="218" fillId="0" borderId="16" xfId="0" applyNumberFormat="1" applyFont="1" applyFill="1" applyBorder="1"/>
    <xf numFmtId="173" fontId="218" fillId="0" borderId="10" xfId="0" applyFont="1" applyBorder="1"/>
    <xf numFmtId="173" fontId="218" fillId="0" borderId="0" xfId="0" applyFont="1"/>
    <xf numFmtId="10" fontId="51" fillId="0" borderId="0" xfId="0" applyNumberFormat="1" applyFont="1" applyBorder="1" applyAlignment="1"/>
    <xf numFmtId="190" fontId="51" fillId="0" borderId="0" xfId="0" applyNumberFormat="1" applyFont="1" applyBorder="1" applyAlignment="1"/>
    <xf numFmtId="3" fontId="18" fillId="4" borderId="0" xfId="0" applyNumberFormat="1" applyFont="1" applyFill="1" applyBorder="1" applyAlignment="1">
      <alignment horizontal="left"/>
    </xf>
    <xf numFmtId="37" fontId="18" fillId="4" borderId="6" xfId="0" applyNumberFormat="1" applyFont="1" applyFill="1" applyBorder="1" applyAlignment="1"/>
    <xf numFmtId="164" fontId="18" fillId="0" borderId="0" xfId="0" applyNumberFormat="1" applyFont="1" applyFill="1" applyAlignment="1" applyProtection="1">
      <alignment horizontal="left"/>
      <protection locked="0"/>
    </xf>
    <xf numFmtId="221" fontId="18" fillId="0" borderId="0" xfId="0" applyNumberFormat="1" applyFont="1" applyFill="1" applyAlignment="1" applyProtection="1">
      <alignment horizontal="center"/>
      <protection locked="0"/>
    </xf>
    <xf numFmtId="166" fontId="18" fillId="0" borderId="0" xfId="0" applyNumberFormat="1" applyFont="1" applyFill="1" applyAlignment="1" applyProtection="1">
      <alignment horizontal="center"/>
      <protection locked="0"/>
    </xf>
    <xf numFmtId="221" fontId="51" fillId="0" borderId="0" xfId="0" applyNumberFormat="1" applyFont="1" applyFill="1" applyAlignment="1" applyProtection="1">
      <alignment vertical="center"/>
      <protection locked="0"/>
    </xf>
    <xf numFmtId="42" fontId="18" fillId="4" borderId="0" xfId="325" applyNumberFormat="1" applyFont="1" applyFill="1" applyBorder="1" applyAlignment="1" applyProtection="1">
      <protection locked="0"/>
    </xf>
    <xf numFmtId="0" fontId="0" fillId="4" borderId="0" xfId="0" applyNumberFormat="1" applyFill="1" applyBorder="1" applyAlignment="1">
      <alignment horizontal="left"/>
    </xf>
    <xf numFmtId="0" fontId="14" fillId="0" borderId="0" xfId="328" applyNumberFormat="1" applyAlignment="1">
      <alignment horizontal="center"/>
    </xf>
    <xf numFmtId="0" fontId="121" fillId="0" borderId="0" xfId="328" applyNumberFormat="1" applyFont="1" applyAlignment="1">
      <alignment horizontal="centerContinuous"/>
    </xf>
    <xf numFmtId="0" fontId="14" fillId="0" borderId="0" xfId="328" applyNumberFormat="1" applyAlignment="1">
      <alignment horizontal="centerContinuous"/>
    </xf>
    <xf numFmtId="0" fontId="27" fillId="0" borderId="0" xfId="328" applyNumberFormat="1" applyFont="1" applyFill="1" applyAlignment="1">
      <alignment horizontal="center"/>
    </xf>
    <xf numFmtId="0" fontId="27" fillId="0" borderId="0" xfId="328" applyNumberFormat="1" applyFont="1" applyFill="1" applyAlignment="1" applyProtection="1">
      <alignment horizontal="center"/>
    </xf>
    <xf numFmtId="0" fontId="14" fillId="0" borderId="0" xfId="328" applyNumberFormat="1"/>
    <xf numFmtId="0" fontId="18" fillId="0" borderId="0" xfId="329" applyNumberFormat="1" applyFont="1" applyAlignment="1" applyProtection="1">
      <alignment horizontal="center"/>
    </xf>
    <xf numFmtId="221" fontId="20" fillId="0" borderId="0" xfId="7" applyFont="1" applyFill="1" applyAlignment="1">
      <alignment horizontal="center"/>
    </xf>
    <xf numFmtId="221" fontId="133" fillId="0" borderId="0" xfId="6" applyFont="1" applyFill="1"/>
    <xf numFmtId="0" fontId="18" fillId="0" borderId="17" xfId="577" applyFont="1" applyFill="1" applyBorder="1" applyAlignment="1">
      <alignment vertical="center"/>
    </xf>
    <xf numFmtId="0" fontId="18" fillId="0" borderId="0" xfId="577" applyFont="1" applyFill="1" applyBorder="1" applyAlignment="1">
      <alignment horizontal="left" vertical="center"/>
    </xf>
    <xf numFmtId="174" fontId="18" fillId="0" borderId="0" xfId="564" applyNumberFormat="1" applyFont="1" applyFill="1" applyBorder="1" applyAlignment="1">
      <alignment vertical="center"/>
    </xf>
    <xf numFmtId="0" fontId="18" fillId="0" borderId="0" xfId="576" applyFont="1" applyFill="1" applyAlignment="1">
      <alignment vertical="center"/>
    </xf>
    <xf numFmtId="0" fontId="18" fillId="0" borderId="0" xfId="576" applyFont="1" applyFill="1"/>
    <xf numFmtId="221" fontId="18" fillId="0" borderId="0" xfId="355" applyFont="1" applyFill="1" applyAlignment="1">
      <alignment horizontal="left" indent="1"/>
    </xf>
    <xf numFmtId="221" fontId="18" fillId="0" borderId="0" xfId="5" applyFont="1" applyFill="1" applyBorder="1" applyAlignment="1">
      <alignment horizontal="left" indent="1"/>
    </xf>
    <xf numFmtId="221" fontId="27" fillId="0" borderId="0" xfId="6" applyFont="1" applyFill="1"/>
    <xf numFmtId="10" fontId="18" fillId="0" borderId="0" xfId="576" applyNumberFormat="1" applyFont="1"/>
    <xf numFmtId="5" fontId="130" fillId="4" borderId="25" xfId="0" applyNumberFormat="1" applyFont="1" applyFill="1" applyBorder="1" applyAlignment="1" applyProtection="1">
      <protection locked="0"/>
    </xf>
    <xf numFmtId="0" fontId="1" fillId="0" borderId="0" xfId="1623"/>
    <xf numFmtId="174" fontId="18" fillId="0" borderId="0" xfId="13" applyNumberFormat="1" applyFont="1" applyFill="1"/>
    <xf numFmtId="37" fontId="18" fillId="0" borderId="0" xfId="7" applyNumberFormat="1" applyFont="1" applyFill="1" applyProtection="1">
      <protection locked="0"/>
    </xf>
    <xf numFmtId="174" fontId="52" fillId="0" borderId="0" xfId="13" applyNumberFormat="1" applyFont="1" applyFill="1" applyBorder="1" applyProtection="1">
      <protection locked="0"/>
    </xf>
    <xf numFmtId="9" fontId="52" fillId="0" borderId="0" xfId="7" applyNumberFormat="1" applyFont="1" applyFill="1" applyProtection="1">
      <protection locked="0"/>
    </xf>
    <xf numFmtId="0" fontId="1" fillId="0" borderId="0" xfId="1623" applyFill="1" applyBorder="1"/>
    <xf numFmtId="0" fontId="1" fillId="0" borderId="0" xfId="1623" applyFill="1" applyBorder="1" applyAlignment="1">
      <alignment horizontal="centerContinuous"/>
    </xf>
    <xf numFmtId="0" fontId="219" fillId="0" borderId="0" xfId="1623" applyFont="1" applyFill="1" applyBorder="1" applyAlignment="1">
      <alignment horizontal="center"/>
    </xf>
    <xf numFmtId="37" fontId="220" fillId="0" borderId="0" xfId="1623" applyNumberFormat="1" applyFont="1" applyFill="1" applyBorder="1"/>
    <xf numFmtId="0" fontId="1" fillId="0" borderId="0" xfId="1623" applyFill="1" applyBorder="1" applyAlignment="1">
      <alignment horizontal="center"/>
    </xf>
    <xf numFmtId="37" fontId="1" fillId="0" borderId="0" xfId="1623" applyNumberFormat="1" applyFill="1" applyBorder="1"/>
    <xf numFmtId="10" fontId="1" fillId="0" borderId="0" xfId="1623" applyNumberFormat="1" applyFill="1" applyBorder="1"/>
    <xf numFmtId="281" fontId="18" fillId="0" borderId="0" xfId="7" applyNumberFormat="1" applyFont="1"/>
    <xf numFmtId="221" fontId="18" fillId="0" borderId="0" xfId="8" applyFont="1" applyBorder="1"/>
    <xf numFmtId="221" fontId="44" fillId="0" borderId="0" xfId="9" applyFont="1" applyFill="1" applyAlignment="1"/>
    <xf numFmtId="221" fontId="31" fillId="0" borderId="1" xfId="0" applyNumberFormat="1" applyFont="1" applyFill="1" applyBorder="1" applyAlignment="1" applyProtection="1">
      <alignment horizontal="center"/>
      <protection locked="0"/>
    </xf>
    <xf numFmtId="37" fontId="27" fillId="0" borderId="1" xfId="0" applyNumberFormat="1" applyFont="1" applyFill="1" applyBorder="1" applyAlignment="1" applyProtection="1"/>
    <xf numFmtId="42" fontId="27" fillId="0" borderId="2" xfId="0" applyNumberFormat="1" applyFont="1" applyFill="1" applyBorder="1" applyAlignment="1" applyProtection="1"/>
    <xf numFmtId="3" fontId="27" fillId="0" borderId="0" xfId="0" applyNumberFormat="1" applyFont="1" applyFill="1" applyAlignment="1" applyProtection="1"/>
    <xf numFmtId="3" fontId="27" fillId="0" borderId="24" xfId="0" applyNumberFormat="1" applyFont="1" applyFill="1" applyBorder="1" applyAlignment="1" applyProtection="1"/>
    <xf numFmtId="273" fontId="27" fillId="0" borderId="0" xfId="0" applyNumberFormat="1" applyFont="1" applyFill="1" applyAlignment="1" applyProtection="1">
      <alignment horizontal="right"/>
    </xf>
    <xf numFmtId="221" fontId="27" fillId="0" borderId="0" xfId="0" applyNumberFormat="1" applyFont="1" applyFill="1" applyProtection="1"/>
    <xf numFmtId="37" fontId="27" fillId="0" borderId="0" xfId="0" applyNumberFormat="1" applyFont="1" applyFill="1" applyBorder="1" applyAlignment="1" applyProtection="1">
      <alignment vertical="top"/>
    </xf>
    <xf numFmtId="173" fontId="27" fillId="0" borderId="24" xfId="0" applyFont="1" applyFill="1" applyBorder="1" applyAlignment="1" applyProtection="1"/>
    <xf numFmtId="3" fontId="27" fillId="0" borderId="1" xfId="0" applyNumberFormat="1" applyFont="1" applyFill="1" applyBorder="1" applyAlignment="1" applyProtection="1">
      <alignment horizontal="center"/>
    </xf>
    <xf numFmtId="3" fontId="27" fillId="0" borderId="0" xfId="0" applyNumberFormat="1" applyFont="1" applyFill="1" applyAlignment="1" applyProtection="1">
      <alignment horizontal="center"/>
    </xf>
    <xf numFmtId="37" fontId="27" fillId="0" borderId="0" xfId="0" quotePrefix="1" applyNumberFormat="1" applyFont="1" applyFill="1" applyAlignment="1" applyProtection="1"/>
    <xf numFmtId="37" fontId="27" fillId="0" borderId="0" xfId="0" applyNumberFormat="1" applyFont="1" applyFill="1" applyBorder="1" applyProtection="1"/>
    <xf numFmtId="221" fontId="27" fillId="0" borderId="1" xfId="0" applyNumberFormat="1" applyFont="1" applyFill="1" applyBorder="1" applyAlignment="1" applyProtection="1">
      <alignment horizontal="center"/>
    </xf>
    <xf numFmtId="221" fontId="27" fillId="0" borderId="0" xfId="0" applyNumberFormat="1" applyFont="1" applyFill="1" applyAlignment="1" applyProtection="1"/>
    <xf numFmtId="38" fontId="27" fillId="0" borderId="0" xfId="0" applyNumberFormat="1" applyFont="1" applyFill="1" applyBorder="1" applyProtection="1"/>
    <xf numFmtId="38" fontId="27" fillId="0" borderId="1" xfId="0" applyNumberFormat="1" applyFont="1" applyFill="1" applyBorder="1" applyProtection="1"/>
    <xf numFmtId="10" fontId="31" fillId="0" borderId="22" xfId="0" applyNumberFormat="1" applyFont="1" applyFill="1" applyBorder="1" applyAlignment="1" applyProtection="1"/>
    <xf numFmtId="173" fontId="31" fillId="53" borderId="22" xfId="0" applyFont="1" applyFill="1" applyBorder="1" applyAlignment="1" applyProtection="1">
      <alignment horizontal="centerContinuous"/>
      <protection locked="0"/>
    </xf>
    <xf numFmtId="0" fontId="130" fillId="4" borderId="0" xfId="0" applyNumberFormat="1" applyFont="1" applyFill="1" applyAlignment="1" applyProtection="1">
      <protection locked="0"/>
    </xf>
    <xf numFmtId="173" fontId="31" fillId="53" borderId="0" xfId="0" applyFont="1" applyFill="1" applyAlignment="1" applyProtection="1">
      <alignment horizontal="center"/>
      <protection locked="0"/>
    </xf>
    <xf numFmtId="43" fontId="27" fillId="0" borderId="0" xfId="0" applyNumberFormat="1" applyFont="1"/>
    <xf numFmtId="41" fontId="18" fillId="4" borderId="0" xfId="0" applyNumberFormat="1" applyFont="1" applyFill="1" applyAlignment="1"/>
    <xf numFmtId="41" fontId="18" fillId="0" borderId="0" xfId="0" applyNumberFormat="1" applyFont="1" applyFill="1" applyAlignment="1"/>
    <xf numFmtId="41" fontId="51" fillId="4" borderId="0" xfId="0" applyNumberFormat="1" applyFont="1" applyFill="1" applyAlignment="1"/>
    <xf numFmtId="221" fontId="43" fillId="0" borderId="0" xfId="552" applyFont="1" applyAlignment="1">
      <alignment horizontal="centerContinuous"/>
    </xf>
    <xf numFmtId="173" fontId="0" fillId="0" borderId="0" xfId="0" applyAlignment="1">
      <alignment horizontal="centerContinuous"/>
    </xf>
    <xf numFmtId="221" fontId="20" fillId="0" borderId="0" xfId="552" applyFont="1" applyAlignment="1">
      <alignment horizontal="centerContinuous"/>
    </xf>
    <xf numFmtId="173" fontId="218" fillId="0" borderId="0" xfId="0" applyFont="1" applyAlignment="1">
      <alignment horizontal="centerContinuous"/>
    </xf>
    <xf numFmtId="173" fontId="223" fillId="0" borderId="0" xfId="0" applyFont="1" applyAlignment="1">
      <alignment horizontal="centerContinuous"/>
    </xf>
    <xf numFmtId="173" fontId="218" fillId="0" borderId="0" xfId="0" applyFont="1" applyAlignment="1">
      <alignment horizontal="center"/>
    </xf>
    <xf numFmtId="173" fontId="224" fillId="0" borderId="0" xfId="0" applyFont="1" applyAlignment="1">
      <alignment horizontal="center"/>
    </xf>
    <xf numFmtId="173" fontId="225" fillId="0" borderId="0" xfId="0" applyFont="1" applyAlignment="1">
      <alignment horizontal="center"/>
    </xf>
    <xf numFmtId="173" fontId="218" fillId="0" borderId="0" xfId="0" quotePrefix="1" applyFont="1"/>
    <xf numFmtId="44" fontId="226" fillId="0" borderId="0" xfId="0" applyNumberFormat="1" applyFont="1"/>
    <xf numFmtId="39" fontId="218" fillId="0" borderId="0" xfId="0" applyNumberFormat="1" applyFont="1"/>
    <xf numFmtId="39" fontId="226" fillId="0" borderId="0" xfId="0" applyNumberFormat="1" applyFont="1"/>
    <xf numFmtId="173" fontId="223" fillId="0" borderId="0" xfId="0" applyFont="1" applyAlignment="1">
      <alignment horizontal="left" indent="1"/>
    </xf>
    <xf numFmtId="44" fontId="20" fillId="61" borderId="14" xfId="0" applyNumberFormat="1" applyFont="1" applyFill="1" applyBorder="1"/>
    <xf numFmtId="44" fontId="20" fillId="0" borderId="0" xfId="0" applyNumberFormat="1" applyFont="1" applyFill="1" applyBorder="1"/>
    <xf numFmtId="3" fontId="27" fillId="0" borderId="0" xfId="0" applyNumberFormat="1" applyFont="1" applyAlignment="1" applyProtection="1">
      <alignment horizontal="left"/>
      <protection locked="0"/>
    </xf>
    <xf numFmtId="3" fontId="27" fillId="0" borderId="0" xfId="0" applyNumberFormat="1" applyFont="1" applyFill="1" applyAlignment="1" applyProtection="1">
      <alignment horizontal="left" vertical="top"/>
      <protection locked="0"/>
    </xf>
    <xf numFmtId="3" fontId="27" fillId="0" borderId="0" xfId="0" applyNumberFormat="1" applyFont="1" applyFill="1" applyAlignment="1" applyProtection="1">
      <alignment horizontal="left"/>
      <protection locked="0"/>
    </xf>
    <xf numFmtId="173" fontId="134" fillId="0" borderId="0" xfId="0" applyFont="1" applyAlignment="1">
      <alignment horizontal="left"/>
    </xf>
    <xf numFmtId="3" fontId="27" fillId="0" borderId="1" xfId="0" applyNumberFormat="1" applyFont="1" applyBorder="1" applyAlignment="1" applyProtection="1">
      <alignment horizontal="left"/>
      <protection locked="0"/>
    </xf>
    <xf numFmtId="173" fontId="27" fillId="0" borderId="0" xfId="0" applyFont="1" applyAlignment="1" applyProtection="1">
      <alignment horizontal="left"/>
      <protection locked="0"/>
    </xf>
    <xf numFmtId="221" fontId="27" fillId="0" borderId="0" xfId="0" applyNumberFormat="1" applyFont="1" applyFill="1" applyAlignment="1" applyProtection="1">
      <alignment horizontal="left"/>
      <protection locked="0"/>
    </xf>
    <xf numFmtId="221" fontId="27" fillId="0" borderId="0" xfId="0" applyNumberFormat="1" applyFont="1" applyFill="1" applyAlignment="1" applyProtection="1">
      <alignment horizontal="left" vertical="top" wrapText="1"/>
      <protection locked="0"/>
    </xf>
    <xf numFmtId="221" fontId="27" fillId="0" borderId="0" xfId="0" applyNumberFormat="1" applyFont="1" applyFill="1" applyBorder="1" applyAlignment="1" applyProtection="1">
      <alignment horizontal="left"/>
      <protection locked="0"/>
    </xf>
    <xf numFmtId="173" fontId="27" fillId="0" borderId="24" xfId="0" applyFont="1" applyFill="1" applyBorder="1" applyAlignment="1" applyProtection="1">
      <alignment horizontal="left"/>
      <protection locked="0"/>
    </xf>
    <xf numFmtId="173" fontId="27" fillId="0" borderId="0" xfId="0" applyFont="1" applyFill="1" applyAlignment="1" applyProtection="1">
      <alignment horizontal="left"/>
      <protection locked="0"/>
    </xf>
    <xf numFmtId="3" fontId="27" fillId="0" borderId="0" xfId="0" applyNumberFormat="1" applyFont="1" applyBorder="1" applyAlignment="1" applyProtection="1">
      <alignment horizontal="left"/>
      <protection locked="0"/>
    </xf>
    <xf numFmtId="173" fontId="27" fillId="0" borderId="1" xfId="0" applyFont="1" applyBorder="1" applyAlignment="1" applyProtection="1">
      <alignment horizontal="left"/>
      <protection locked="0"/>
    </xf>
    <xf numFmtId="221" fontId="27" fillId="0" borderId="0" xfId="0" applyNumberFormat="1" applyFont="1" applyBorder="1" applyAlignment="1" applyProtection="1">
      <alignment horizontal="left"/>
      <protection locked="0"/>
    </xf>
    <xf numFmtId="173" fontId="27" fillId="0" borderId="20" xfId="0" applyFont="1" applyBorder="1" applyAlignment="1" applyProtection="1">
      <alignment horizontal="left"/>
      <protection locked="0"/>
    </xf>
    <xf numFmtId="173" fontId="27" fillId="0" borderId="16" xfId="0" applyFont="1" applyBorder="1" applyAlignment="1" applyProtection="1">
      <alignment horizontal="left"/>
      <protection locked="0"/>
    </xf>
    <xf numFmtId="0" fontId="18" fillId="0" borderId="0" xfId="0" applyNumberFormat="1" applyFont="1" applyFill="1" applyAlignment="1" applyProtection="1">
      <alignment horizontal="center" vertical="top"/>
      <protection locked="0"/>
    </xf>
    <xf numFmtId="173" fontId="18" fillId="0" borderId="0" xfId="0" applyFont="1" applyAlignment="1">
      <alignment vertical="top"/>
    </xf>
    <xf numFmtId="221" fontId="18" fillId="0" borderId="0" xfId="0" applyNumberFormat="1" applyFont="1" applyAlignment="1">
      <alignment vertical="top"/>
    </xf>
    <xf numFmtId="172" fontId="18" fillId="0" borderId="0" xfId="0" applyNumberFormat="1" applyFont="1" applyAlignment="1">
      <alignment vertical="top"/>
    </xf>
    <xf numFmtId="221" fontId="18" fillId="0" borderId="0" xfId="0" applyNumberFormat="1" applyFont="1" applyAlignment="1">
      <alignment vertical="top" wrapText="1"/>
    </xf>
    <xf numFmtId="221" fontId="51" fillId="0" borderId="0" xfId="0" applyNumberFormat="1" applyFont="1" applyAlignment="1">
      <alignment vertical="center"/>
    </xf>
    <xf numFmtId="221" fontId="18" fillId="0" borderId="0" xfId="0" applyNumberFormat="1" applyFont="1" applyAlignment="1">
      <alignment vertical="center"/>
    </xf>
    <xf numFmtId="173" fontId="18" fillId="0" borderId="0" xfId="0" applyFont="1" applyAlignment="1">
      <alignment vertical="center"/>
    </xf>
    <xf numFmtId="3" fontId="51" fillId="0" borderId="0" xfId="0" applyNumberFormat="1" applyFont="1" applyAlignment="1">
      <alignment vertical="center"/>
    </xf>
    <xf numFmtId="221" fontId="51" fillId="0" borderId="0" xfId="0" applyNumberFormat="1" applyFont="1" applyAlignment="1">
      <alignment vertical="center" wrapText="1"/>
    </xf>
    <xf numFmtId="173" fontId="51" fillId="0" borderId="0" xfId="0" applyFont="1" applyAlignment="1">
      <alignment vertical="center"/>
    </xf>
    <xf numFmtId="10" fontId="18" fillId="0" borderId="0" xfId="0" applyNumberFormat="1" applyFont="1" applyAlignment="1">
      <alignment horizontal="left" vertical="center"/>
    </xf>
    <xf numFmtId="167" fontId="18" fillId="0" borderId="0" xfId="0" applyNumberFormat="1" applyFont="1" applyAlignment="1">
      <alignment vertical="center"/>
    </xf>
    <xf numFmtId="164" fontId="18" fillId="0" borderId="0" xfId="0" applyNumberFormat="1" applyFont="1" applyAlignment="1">
      <alignment horizontal="center" vertical="center"/>
    </xf>
    <xf numFmtId="173" fontId="18" fillId="0" borderId="0" xfId="0" applyNumberFormat="1" applyFont="1" applyFill="1" applyBorder="1" applyAlignment="1"/>
    <xf numFmtId="173" fontId="17" fillId="0" borderId="0" xfId="0" applyNumberFormat="1" applyFont="1" applyFill="1" applyBorder="1" applyAlignment="1"/>
    <xf numFmtId="221" fontId="14" fillId="0" borderId="0" xfId="328" applyFill="1" applyAlignment="1">
      <alignment horizontal="right"/>
    </xf>
    <xf numFmtId="221" fontId="43" fillId="0" borderId="0" xfId="9" applyFont="1" applyFill="1" applyAlignment="1">
      <alignment horizontal="centerContinuous"/>
    </xf>
    <xf numFmtId="49" fontId="18" fillId="0" borderId="0" xfId="428" applyNumberFormat="1" applyFont="1" applyFill="1" applyAlignment="1">
      <alignment horizontal="center"/>
    </xf>
    <xf numFmtId="0" fontId="20" fillId="0" borderId="0" xfId="0" applyNumberFormat="1" applyFont="1" applyFill="1" applyAlignment="1">
      <alignment horizontal="centerContinuous"/>
    </xf>
    <xf numFmtId="173" fontId="18" fillId="0" borderId="1" xfId="0" applyFont="1" applyBorder="1" applyAlignment="1">
      <alignment horizontal="center"/>
    </xf>
    <xf numFmtId="221" fontId="22" fillId="0" borderId="1" xfId="0" applyNumberFormat="1" applyFont="1" applyBorder="1" applyAlignment="1" applyProtection="1">
      <alignment horizontal="center"/>
      <protection locked="0"/>
    </xf>
    <xf numFmtId="3" fontId="113" fillId="0" borderId="0" xfId="0" applyNumberFormat="1" applyFont="1" applyBorder="1" applyAlignment="1"/>
    <xf numFmtId="221" fontId="113" fillId="0" borderId="0" xfId="0" applyNumberFormat="1" applyFont="1" applyBorder="1" applyAlignment="1" applyProtection="1">
      <alignment horizontal="centerContinuous"/>
      <protection locked="0"/>
    </xf>
    <xf numFmtId="42" fontId="49" fillId="0" borderId="0" xfId="0" applyNumberFormat="1" applyFont="1" applyFill="1" applyAlignment="1"/>
    <xf numFmtId="42" fontId="53" fillId="0" borderId="0" xfId="0" applyNumberFormat="1" applyFont="1" applyFill="1" applyAlignment="1" applyProtection="1">
      <protection locked="0"/>
    </xf>
    <xf numFmtId="41" fontId="112" fillId="0" borderId="0" xfId="8" applyNumberFormat="1" applyFont="1" applyFill="1" applyBorder="1" applyProtection="1">
      <protection locked="0"/>
    </xf>
    <xf numFmtId="221" fontId="18" fillId="0" borderId="0" xfId="5" applyFont="1" applyFill="1" applyBorder="1" applyAlignment="1">
      <alignment horizontal="left"/>
    </xf>
    <xf numFmtId="41" fontId="51" fillId="0" borderId="0" xfId="6" applyNumberFormat="1" applyFont="1" applyFill="1" applyBorder="1" applyProtection="1">
      <protection locked="0"/>
    </xf>
    <xf numFmtId="221" fontId="18" fillId="0" borderId="0" xfId="7" applyFont="1" applyFill="1" applyAlignment="1">
      <alignment horizontal="left" vertical="center" indent="1"/>
    </xf>
    <xf numFmtId="221" fontId="32" fillId="0" borderId="0" xfId="7" applyFill="1"/>
    <xf numFmtId="221" fontId="20" fillId="0" borderId="8" xfId="7" applyFont="1" applyFill="1" applyBorder="1" applyAlignment="1">
      <alignment horizontal="center" vertical="center"/>
    </xf>
    <xf numFmtId="221" fontId="20" fillId="0" borderId="0" xfId="7" applyFont="1" applyFill="1" applyBorder="1" applyAlignment="1">
      <alignment horizontal="center"/>
    </xf>
    <xf numFmtId="42" fontId="51" fillId="0" borderId="0" xfId="355" applyNumberFormat="1" applyFont="1" applyFill="1" applyProtection="1">
      <protection locked="0"/>
    </xf>
    <xf numFmtId="173" fontId="43" fillId="0" borderId="0" xfId="0" applyFont="1" applyFill="1" applyAlignment="1">
      <alignment horizontal="centerContinuous"/>
    </xf>
    <xf numFmtId="173" fontId="20" fillId="0" borderId="0" xfId="0" applyFont="1" applyFill="1" applyAlignment="1">
      <alignment horizontal="centerContinuous"/>
    </xf>
    <xf numFmtId="221" fontId="20" fillId="0" borderId="0" xfId="5" applyFont="1" applyFill="1" applyBorder="1" applyAlignment="1">
      <alignment horizontal="center"/>
    </xf>
    <xf numFmtId="221" fontId="20" fillId="0" borderId="0" xfId="7" applyFont="1" applyFill="1" applyAlignment="1">
      <alignment horizontal="left"/>
    </xf>
    <xf numFmtId="42" fontId="51" fillId="0" borderId="0" xfId="7" applyNumberFormat="1" applyFont="1" applyFill="1" applyAlignment="1" applyProtection="1">
      <alignment vertical="center"/>
      <protection locked="0"/>
    </xf>
    <xf numFmtId="37" fontId="51" fillId="0" borderId="0" xfId="355" applyNumberFormat="1" applyFont="1" applyFill="1" applyAlignment="1" applyProtection="1">
      <alignment vertical="center"/>
      <protection locked="0"/>
    </xf>
    <xf numFmtId="221" fontId="18" fillId="0" borderId="0" xfId="0" applyNumberFormat="1" applyFont="1" applyFill="1" applyAlignment="1" applyProtection="1">
      <alignment horizontal="right"/>
    </xf>
    <xf numFmtId="173" fontId="18" fillId="0" borderId="0" xfId="0" applyFont="1" applyFill="1" applyAlignment="1">
      <alignment horizontal="center"/>
    </xf>
    <xf numFmtId="173" fontId="113" fillId="0" borderId="0" xfId="0" applyFont="1" applyFill="1" applyAlignment="1"/>
    <xf numFmtId="173" fontId="113" fillId="0" borderId="0" xfId="0" applyFont="1" applyFill="1" applyAlignment="1">
      <alignment horizontal="center"/>
    </xf>
    <xf numFmtId="44" fontId="18" fillId="0" borderId="0" xfId="0" applyNumberFormat="1" applyFont="1" applyFill="1" applyAlignment="1"/>
    <xf numFmtId="10" fontId="51" fillId="0" borderId="0" xfId="0" applyNumberFormat="1" applyFont="1" applyFill="1" applyAlignment="1" applyProtection="1">
      <protection locked="0"/>
    </xf>
    <xf numFmtId="173" fontId="42" fillId="0" borderId="0" xfId="0" applyFont="1" applyFill="1" applyAlignment="1"/>
    <xf numFmtId="10" fontId="18" fillId="0" borderId="0" xfId="0" applyNumberFormat="1" applyFont="1" applyFill="1" applyAlignment="1"/>
    <xf numFmtId="10" fontId="42" fillId="0" borderId="0" xfId="7" applyNumberFormat="1" applyFont="1" applyFill="1" applyProtection="1">
      <protection locked="0"/>
    </xf>
    <xf numFmtId="221" fontId="18" fillId="0" borderId="0" xfId="5" applyFont="1" applyFill="1"/>
    <xf numFmtId="221" fontId="42" fillId="0" borderId="0" xfId="5" applyFont="1" applyFill="1" applyBorder="1" applyAlignment="1">
      <alignment horizontal="centerContinuous"/>
    </xf>
    <xf numFmtId="221" fontId="18" fillId="0" borderId="0" xfId="7" applyFont="1" applyFill="1" applyBorder="1" applyAlignment="1">
      <alignment horizontal="right"/>
    </xf>
    <xf numFmtId="41" fontId="54" fillId="0" borderId="0" xfId="1" applyNumberFormat="1" applyFont="1" applyFill="1"/>
    <xf numFmtId="41" fontId="54" fillId="0" borderId="0" xfId="1" applyNumberFormat="1" applyFont="1" applyFill="1" applyProtection="1">
      <protection locked="0"/>
    </xf>
    <xf numFmtId="37" fontId="51" fillId="0" borderId="0" xfId="0" applyNumberFormat="1" applyFont="1" applyFill="1"/>
    <xf numFmtId="37" fontId="51" fillId="0" borderId="10" xfId="0" applyNumberFormat="1" applyFont="1" applyFill="1" applyBorder="1"/>
    <xf numFmtId="37" fontId="51" fillId="0" borderId="16" xfId="0" applyNumberFormat="1" applyFont="1" applyFill="1" applyBorder="1"/>
    <xf numFmtId="41" fontId="51" fillId="0" borderId="0" xfId="13" applyNumberFormat="1" applyFont="1" applyFill="1" applyProtection="1">
      <protection locked="0"/>
    </xf>
    <xf numFmtId="41" fontId="52" fillId="0" borderId="0" xfId="13" applyNumberFormat="1" applyFont="1" applyFill="1" applyProtection="1">
      <protection locked="0"/>
    </xf>
    <xf numFmtId="173" fontId="18" fillId="0" borderId="14" xfId="0" applyFont="1" applyBorder="1" applyAlignment="1">
      <alignment horizontal="center"/>
    </xf>
    <xf numFmtId="173" fontId="218" fillId="0" borderId="15" xfId="0" applyFont="1" applyBorder="1" applyAlignment="1">
      <alignment horizontal="center"/>
    </xf>
    <xf numFmtId="173" fontId="218" fillId="0" borderId="25" xfId="0" applyFont="1" applyBorder="1" applyAlignment="1">
      <alignment horizontal="center"/>
    </xf>
    <xf numFmtId="173" fontId="218" fillId="0" borderId="14" xfId="0" applyFont="1" applyBorder="1" applyAlignment="1">
      <alignment horizontal="center"/>
    </xf>
    <xf numFmtId="175" fontId="51" fillId="0" borderId="0" xfId="578" applyNumberFormat="1" applyFont="1" applyFill="1" applyBorder="1"/>
    <xf numFmtId="10" fontId="51" fillId="0" borderId="0" xfId="579" applyNumberFormat="1" applyFont="1" applyFill="1" applyBorder="1" applyAlignment="1">
      <alignment vertical="center"/>
    </xf>
    <xf numFmtId="10" fontId="51" fillId="0" borderId="0" xfId="579" applyNumberFormat="1" applyFont="1" applyFill="1" applyAlignment="1">
      <alignment vertical="center"/>
    </xf>
    <xf numFmtId="174" fontId="18" fillId="0" borderId="0" xfId="564" applyNumberFormat="1" applyFont="1" applyFill="1"/>
    <xf numFmtId="175" fontId="20" fillId="0" borderId="13" xfId="578" applyNumberFormat="1" applyFont="1" applyFill="1" applyBorder="1"/>
    <xf numFmtId="42" fontId="54" fillId="0" borderId="0" xfId="0" applyNumberFormat="1" applyFont="1" applyFill="1" applyAlignment="1" applyProtection="1">
      <protection locked="0"/>
    </xf>
    <xf numFmtId="37" fontId="54" fillId="0" borderId="1" xfId="0" applyNumberFormat="1" applyFont="1" applyFill="1" applyBorder="1" applyAlignment="1" applyProtection="1"/>
    <xf numFmtId="42" fontId="27" fillId="0" borderId="2" xfId="0" applyNumberFormat="1" applyFont="1" applyFill="1" applyBorder="1" applyAlignment="1" applyProtection="1">
      <protection locked="0"/>
    </xf>
    <xf numFmtId="3" fontId="27" fillId="0" borderId="24" xfId="0" applyNumberFormat="1" applyFont="1" applyFill="1" applyBorder="1" applyAlignment="1" applyProtection="1">
      <protection locked="0"/>
    </xf>
    <xf numFmtId="3" fontId="27" fillId="0" borderId="1" xfId="0" applyNumberFormat="1" applyFont="1" applyFill="1" applyBorder="1" applyAlignment="1" applyProtection="1">
      <alignment horizontal="center"/>
      <protection locked="0"/>
    </xf>
    <xf numFmtId="3" fontId="27" fillId="0" borderId="0" xfId="0" applyNumberFormat="1" applyFont="1" applyFill="1" applyAlignment="1" applyProtection="1">
      <alignment horizontal="center"/>
      <protection locked="0"/>
    </xf>
    <xf numFmtId="37" fontId="54" fillId="0" borderId="0" xfId="0" quotePrefix="1" applyNumberFormat="1" applyFont="1" applyFill="1" applyAlignment="1" applyProtection="1">
      <protection locked="0"/>
    </xf>
    <xf numFmtId="37" fontId="54" fillId="0" borderId="0" xfId="0" applyNumberFormat="1" applyFont="1" applyFill="1" applyBorder="1" applyProtection="1">
      <protection locked="0"/>
    </xf>
    <xf numFmtId="221" fontId="27" fillId="0" borderId="1" xfId="0" applyNumberFormat="1" applyFont="1" applyFill="1" applyBorder="1" applyAlignment="1" applyProtection="1">
      <alignment horizontal="center"/>
      <protection locked="0"/>
    </xf>
    <xf numFmtId="37" fontId="27" fillId="0" borderId="0" xfId="0" applyNumberFormat="1" applyFont="1" applyFill="1" applyBorder="1" applyProtection="1">
      <protection locked="0"/>
    </xf>
    <xf numFmtId="2" fontId="14" fillId="0" borderId="0" xfId="328" applyNumberFormat="1" applyFill="1" applyAlignment="1">
      <alignment horizontal="center"/>
    </xf>
    <xf numFmtId="42" fontId="18" fillId="0" borderId="0" xfId="7" applyNumberFormat="1" applyFont="1" applyFill="1" applyAlignment="1">
      <alignment vertical="top"/>
    </xf>
    <xf numFmtId="173" fontId="23" fillId="0" borderId="0" xfId="0" applyFont="1" applyAlignment="1">
      <alignment horizontal="centerContinuous"/>
    </xf>
    <xf numFmtId="42" fontId="54" fillId="0" borderId="0" xfId="8" applyNumberFormat="1" applyFont="1" applyFill="1" applyProtection="1">
      <protection locked="0"/>
    </xf>
    <xf numFmtId="42" fontId="27" fillId="0" borderId="0" xfId="8" applyNumberFormat="1" applyFont="1" applyFill="1"/>
    <xf numFmtId="42" fontId="27" fillId="0" borderId="0" xfId="8" quotePrefix="1" applyNumberFormat="1" applyFont="1"/>
    <xf numFmtId="42" fontId="30" fillId="0" borderId="0" xfId="8" applyNumberFormat="1" applyFont="1" applyFill="1" applyBorder="1" applyAlignment="1">
      <alignment vertical="center"/>
    </xf>
    <xf numFmtId="42" fontId="39" fillId="0" borderId="0" xfId="8" applyNumberFormat="1" applyFont="1" applyFill="1" applyBorder="1" applyAlignment="1" applyProtection="1">
      <alignment vertical="center"/>
      <protection locked="0"/>
    </xf>
    <xf numFmtId="2" fontId="14" fillId="0" borderId="0" xfId="328" applyNumberFormat="1" applyFill="1" applyAlignment="1">
      <alignment horizontal="right"/>
    </xf>
    <xf numFmtId="49" fontId="18" fillId="0" borderId="6" xfId="428" applyNumberFormat="1" applyFont="1" applyFill="1" applyBorder="1" applyAlignment="1">
      <alignment horizontal="center"/>
    </xf>
    <xf numFmtId="3" fontId="51" fillId="0" borderId="0" xfId="0" applyNumberFormat="1" applyFont="1" applyAlignment="1">
      <alignment horizontal="center" vertical="center"/>
    </xf>
    <xf numFmtId="221" fontId="18" fillId="0" borderId="0" xfId="0" applyNumberFormat="1" applyFont="1" applyAlignment="1">
      <alignment horizontal="center" vertical="center"/>
    </xf>
    <xf numFmtId="173" fontId="18" fillId="0" borderId="0" xfId="0" applyFont="1" applyAlignment="1">
      <alignment horizontal="center" vertical="center"/>
    </xf>
    <xf numFmtId="3" fontId="18" fillId="0" borderId="0" xfId="0" applyNumberFormat="1" applyFont="1" applyAlignment="1">
      <alignment horizontal="center" vertical="center"/>
    </xf>
    <xf numFmtId="3" fontId="51" fillId="0" borderId="0" xfId="0" applyNumberFormat="1" applyFont="1" applyFill="1" applyAlignment="1">
      <alignment horizontal="center" vertical="center"/>
    </xf>
    <xf numFmtId="221" fontId="51" fillId="0" borderId="0" xfId="0" applyNumberFormat="1" applyFont="1" applyAlignment="1">
      <alignment horizontal="center" vertical="center"/>
    </xf>
    <xf numFmtId="173" fontId="116" fillId="0" borderId="0" xfId="0" applyFont="1" applyAlignment="1">
      <alignment horizontal="center"/>
    </xf>
    <xf numFmtId="42" fontId="0" fillId="0" borderId="0" xfId="0" applyNumberFormat="1" applyAlignment="1"/>
    <xf numFmtId="173" fontId="18" fillId="0" borderId="0" xfId="0" quotePrefix="1" applyFont="1" applyAlignment="1"/>
    <xf numFmtId="173" fontId="116" fillId="0" borderId="0" xfId="0" applyFont="1" applyAlignment="1"/>
    <xf numFmtId="190" fontId="18" fillId="0" borderId="0" xfId="0" applyNumberFormat="1" applyFont="1" applyFill="1" applyAlignment="1">
      <alignment horizontal="center"/>
    </xf>
    <xf numFmtId="190" fontId="18" fillId="0" borderId="0" xfId="0" applyNumberFormat="1" applyFont="1" applyFill="1"/>
    <xf numFmtId="164" fontId="116" fillId="0" borderId="0" xfId="0" applyNumberFormat="1" applyFont="1" applyAlignment="1"/>
    <xf numFmtId="42" fontId="227" fillId="0" borderId="0" xfId="0" applyNumberFormat="1" applyFont="1" applyAlignment="1"/>
    <xf numFmtId="42" fontId="50" fillId="0" borderId="0" xfId="0" applyNumberFormat="1" applyFont="1" applyAlignment="1"/>
    <xf numFmtId="41" fontId="228" fillId="0" borderId="0" xfId="0" applyNumberFormat="1" applyFont="1" applyAlignment="1"/>
    <xf numFmtId="49" fontId="35" fillId="0" borderId="0" xfId="0" applyNumberFormat="1" applyFont="1" applyFill="1" applyAlignment="1">
      <alignment horizontal="centerContinuous"/>
    </xf>
    <xf numFmtId="221" fontId="18" fillId="0" borderId="0" xfId="0" quotePrefix="1" applyNumberFormat="1" applyFont="1" applyAlignment="1">
      <alignment horizontal="center"/>
    </xf>
    <xf numFmtId="175" fontId="50" fillId="4" borderId="0" xfId="12" applyNumberFormat="1" applyFont="1" applyFill="1" applyBorder="1" applyAlignment="1"/>
    <xf numFmtId="170" fontId="50" fillId="4" borderId="0" xfId="0" applyNumberFormat="1" applyFont="1" applyFill="1" applyBorder="1" applyAlignment="1"/>
    <xf numFmtId="170" fontId="0" fillId="4" borderId="0" xfId="0" applyNumberFormat="1" applyFill="1" applyBorder="1" applyAlignment="1"/>
    <xf numFmtId="170" fontId="0" fillId="4" borderId="0" xfId="0" applyNumberFormat="1" applyFill="1" applyBorder="1" applyAlignment="1">
      <alignment vertical="top"/>
    </xf>
    <xf numFmtId="0" fontId="18" fillId="0" borderId="3" xfId="577" applyFont="1" applyFill="1" applyBorder="1" applyAlignment="1">
      <alignment horizontal="left" vertical="center" indent="1"/>
    </xf>
    <xf numFmtId="10" fontId="51" fillId="0" borderId="0" xfId="0" applyNumberFormat="1" applyFont="1" applyAlignment="1">
      <alignment horizontal="left" vertical="center"/>
    </xf>
    <xf numFmtId="10" fontId="18" fillId="0" borderId="6" xfId="7" applyNumberFormat="1" applyFont="1" applyFill="1" applyBorder="1" applyProtection="1">
      <protection locked="0"/>
    </xf>
    <xf numFmtId="3" fontId="31" fillId="0" borderId="0" xfId="0" applyNumberFormat="1" applyFont="1" applyFill="1" applyAlignment="1" applyProtection="1">
      <alignment horizontal="center"/>
    </xf>
    <xf numFmtId="3" fontId="28" fillId="0" borderId="0" xfId="0" applyNumberFormat="1" applyFont="1" applyFill="1" applyAlignment="1" applyProtection="1">
      <alignment horizontal="center"/>
    </xf>
    <xf numFmtId="273" fontId="37" fillId="0" borderId="0" xfId="0" applyNumberFormat="1" applyFont="1" applyFill="1" applyAlignment="1" applyProtection="1">
      <alignment horizontal="right"/>
    </xf>
    <xf numFmtId="0" fontId="20" fillId="0" borderId="0" xfId="1624" applyFont="1" applyAlignment="1">
      <alignment horizontal="centerContinuous"/>
    </xf>
    <xf numFmtId="173" fontId="18" fillId="0" borderId="0" xfId="0" quotePrefix="1" applyFont="1" applyAlignment="1">
      <alignment vertical="center"/>
    </xf>
    <xf numFmtId="42" fontId="51" fillId="0" borderId="0" xfId="0" applyNumberFormat="1" applyFont="1" applyFill="1" applyAlignment="1"/>
    <xf numFmtId="41" fontId="51" fillId="0" borderId="0" xfId="0" applyNumberFormat="1" applyFont="1" applyFill="1" applyAlignment="1"/>
    <xf numFmtId="37" fontId="230" fillId="0" borderId="0" xfId="0" applyNumberFormat="1" applyFont="1" applyAlignment="1"/>
    <xf numFmtId="10" fontId="51" fillId="0" borderId="0" xfId="0" applyNumberFormat="1" applyFont="1" applyFill="1" applyBorder="1" applyAlignment="1"/>
    <xf numFmtId="10" fontId="113" fillId="0" borderId="0" xfId="0" applyNumberFormat="1" applyFont="1" applyFill="1" applyBorder="1" applyAlignment="1"/>
    <xf numFmtId="190" fontId="18" fillId="0" borderId="0" xfId="0" applyNumberFormat="1" applyFont="1" applyBorder="1" applyAlignment="1"/>
    <xf numFmtId="190" fontId="51" fillId="0" borderId="0" xfId="0" applyNumberFormat="1" applyFont="1" applyFill="1" applyBorder="1" applyAlignment="1"/>
    <xf numFmtId="190" fontId="18" fillId="0" borderId="0" xfId="0" applyNumberFormat="1" applyFont="1" applyFill="1" applyBorder="1" applyAlignment="1"/>
    <xf numFmtId="42" fontId="42" fillId="0" borderId="0" xfId="0" applyNumberFormat="1" applyFont="1" applyFill="1" applyAlignment="1"/>
    <xf numFmtId="221" fontId="18" fillId="0" borderId="0" xfId="355" applyFont="1" applyFill="1" applyAlignment="1">
      <alignment horizontal="left" wrapText="1"/>
    </xf>
    <xf numFmtId="41" fontId="52" fillId="0" borderId="0" xfId="370" applyNumberFormat="1" applyFont="1" applyFill="1"/>
    <xf numFmtId="41" fontId="51" fillId="0" borderId="0" xfId="370" applyNumberFormat="1" applyFont="1" applyFill="1" applyProtection="1">
      <protection locked="0"/>
    </xf>
    <xf numFmtId="173" fontId="18" fillId="0" borderId="0" xfId="0" applyFont="1" applyFill="1" applyAlignment="1">
      <alignment vertical="top" wrapText="1"/>
    </xf>
    <xf numFmtId="173" fontId="0" fillId="0" borderId="0" xfId="0" applyFont="1" applyFill="1" applyBorder="1" applyAlignment="1">
      <alignment horizontal="left"/>
    </xf>
    <xf numFmtId="173" fontId="15" fillId="0" borderId="0" xfId="0" applyFont="1" applyFill="1" applyBorder="1" applyAlignment="1">
      <alignment horizontal="left"/>
    </xf>
    <xf numFmtId="173" fontId="15" fillId="0" borderId="0" xfId="0" applyFont="1" applyFill="1" applyBorder="1" applyAlignment="1">
      <alignment horizontal="left" wrapText="1"/>
    </xf>
    <xf numFmtId="173" fontId="18" fillId="0" borderId="0" xfId="0" applyFont="1" applyAlignment="1">
      <alignment wrapText="1"/>
    </xf>
    <xf numFmtId="221" fontId="41" fillId="0" borderId="0" xfId="5" applyFont="1" applyFill="1" applyAlignment="1">
      <alignment horizontal="center"/>
    </xf>
  </cellXfs>
  <cellStyles count="1625">
    <cellStyle name="_x0013_" xfId="580"/>
    <cellStyle name="¢ Currency [1]" xfId="18"/>
    <cellStyle name="¢ Currency [2]" xfId="19"/>
    <cellStyle name="¢ Currency [3]" xfId="20"/>
    <cellStyle name="£ Currency [0]" xfId="21"/>
    <cellStyle name="£ Currency [1]" xfId="22"/>
    <cellStyle name="£ Currency [2]" xfId="23"/>
    <cellStyle name="=C:\WINNT35\SYSTEM32\COMMAND.COM" xfId="17"/>
    <cellStyle name="20% - Accent1" xfId="529" builtinId="30" customBuiltin="1"/>
    <cellStyle name="20% - Accent1 2" xfId="581"/>
    <cellStyle name="20% - Accent1 2 2" xfId="582"/>
    <cellStyle name="20% - Accent1 2 2 2" xfId="583"/>
    <cellStyle name="20% - Accent1 2 2 2 2" xfId="584"/>
    <cellStyle name="20% - Accent1 2 3" xfId="585"/>
    <cellStyle name="20% - Accent1 3" xfId="586"/>
    <cellStyle name="20% - Accent1 3 2" xfId="587"/>
    <cellStyle name="20% - Accent1 3 2 2" xfId="588"/>
    <cellStyle name="20% - Accent1 4" xfId="589"/>
    <cellStyle name="20% - Accent1 4 2" xfId="590"/>
    <cellStyle name="20% - Accent2" xfId="533" builtinId="34" customBuiltin="1"/>
    <cellStyle name="20% - Accent2 2" xfId="591"/>
    <cellStyle name="20% - Accent2 2 2" xfId="592"/>
    <cellStyle name="20% - Accent2 2 2 2" xfId="593"/>
    <cellStyle name="20% - Accent2 2 2 2 2" xfId="594"/>
    <cellStyle name="20% - Accent2 2 3" xfId="595"/>
    <cellStyle name="20% - Accent2 3" xfId="596"/>
    <cellStyle name="20% - Accent2 3 2" xfId="597"/>
    <cellStyle name="20% - Accent2 3 2 2" xfId="598"/>
    <cellStyle name="20% - Accent2 4" xfId="599"/>
    <cellStyle name="20% - Accent2 4 2" xfId="600"/>
    <cellStyle name="20% - Accent3" xfId="537" builtinId="38" customBuiltin="1"/>
    <cellStyle name="20% - Accent3 2" xfId="601"/>
    <cellStyle name="20% - Accent3 2 2" xfId="602"/>
    <cellStyle name="20% - Accent3 2 2 2" xfId="603"/>
    <cellStyle name="20% - Accent3 2 2 2 2" xfId="604"/>
    <cellStyle name="20% - Accent3 2 3" xfId="605"/>
    <cellStyle name="20% - Accent3 3" xfId="606"/>
    <cellStyle name="20% - Accent3 3 2" xfId="607"/>
    <cellStyle name="20% - Accent3 3 2 2" xfId="608"/>
    <cellStyle name="20% - Accent3 4" xfId="609"/>
    <cellStyle name="20% - Accent3 4 2" xfId="610"/>
    <cellStyle name="20% - Accent4" xfId="541" builtinId="42" customBuiltin="1"/>
    <cellStyle name="20% - Accent4 2" xfId="611"/>
    <cellStyle name="20% - Accent4 2 2" xfId="612"/>
    <cellStyle name="20% - Accent4 2 2 2" xfId="613"/>
    <cellStyle name="20% - Accent4 2 2 2 2" xfId="614"/>
    <cellStyle name="20% - Accent4 2 3" xfId="615"/>
    <cellStyle name="20% - Accent4 3" xfId="616"/>
    <cellStyle name="20% - Accent4 3 2" xfId="617"/>
    <cellStyle name="20% - Accent4 3 2 2" xfId="618"/>
    <cellStyle name="20% - Accent4 4" xfId="619"/>
    <cellStyle name="20% - Accent4 4 2" xfId="620"/>
    <cellStyle name="20% - Accent5" xfId="545" builtinId="46" customBuiltin="1"/>
    <cellStyle name="20% - Accent5 2" xfId="621"/>
    <cellStyle name="20% - Accent5 2 2" xfId="622"/>
    <cellStyle name="20% - Accent5 2 2 2" xfId="623"/>
    <cellStyle name="20% - Accent5 2 2 2 2" xfId="624"/>
    <cellStyle name="20% - Accent5 2 3" xfId="625"/>
    <cellStyle name="20% - Accent5 3" xfId="626"/>
    <cellStyle name="20% - Accent5 3 2" xfId="627"/>
    <cellStyle name="20% - Accent5 3 2 2" xfId="628"/>
    <cellStyle name="20% - Accent5 4" xfId="629"/>
    <cellStyle name="20% - Accent5 4 2" xfId="630"/>
    <cellStyle name="20% - Accent6" xfId="549" builtinId="50" customBuiltin="1"/>
    <cellStyle name="20% - Accent6 2" xfId="631"/>
    <cellStyle name="20% - Accent6 2 2" xfId="632"/>
    <cellStyle name="20% - Accent6 2 2 2" xfId="633"/>
    <cellStyle name="20% - Accent6 2 2 2 2" xfId="634"/>
    <cellStyle name="20% - Accent6 2 3" xfId="635"/>
    <cellStyle name="20% - Accent6 3" xfId="636"/>
    <cellStyle name="20% - Accent6 3 2" xfId="637"/>
    <cellStyle name="20% - Accent6 3 2 2" xfId="638"/>
    <cellStyle name="20% - Accent6 4" xfId="639"/>
    <cellStyle name="20% - Accent6 4 2" xfId="640"/>
    <cellStyle name="40% - Accent1" xfId="530" builtinId="31" customBuiltin="1"/>
    <cellStyle name="40% - Accent1 2" xfId="641"/>
    <cellStyle name="40% - Accent1 2 2" xfId="642"/>
    <cellStyle name="40% - Accent1 2 2 2" xfId="643"/>
    <cellStyle name="40% - Accent1 2 2 2 2" xfId="644"/>
    <cellStyle name="40% - Accent1 2 3" xfId="645"/>
    <cellStyle name="40% - Accent1 3" xfId="646"/>
    <cellStyle name="40% - Accent1 3 2" xfId="647"/>
    <cellStyle name="40% - Accent1 3 2 2" xfId="648"/>
    <cellStyle name="40% - Accent1 4" xfId="649"/>
    <cellStyle name="40% - Accent1 4 2" xfId="650"/>
    <cellStyle name="40% - Accent2" xfId="534" builtinId="35" customBuiltin="1"/>
    <cellStyle name="40% - Accent2 2" xfId="651"/>
    <cellStyle name="40% - Accent2 2 2" xfId="652"/>
    <cellStyle name="40% - Accent2 2 2 2" xfId="653"/>
    <cellStyle name="40% - Accent2 2 2 2 2" xfId="654"/>
    <cellStyle name="40% - Accent2 2 3" xfId="655"/>
    <cellStyle name="40% - Accent2 3" xfId="656"/>
    <cellStyle name="40% - Accent2 3 2" xfId="657"/>
    <cellStyle name="40% - Accent2 3 2 2" xfId="658"/>
    <cellStyle name="40% - Accent2 4" xfId="659"/>
    <cellStyle name="40% - Accent2 4 2" xfId="660"/>
    <cellStyle name="40% - Accent3" xfId="538" builtinId="39" customBuiltin="1"/>
    <cellStyle name="40% - Accent3 2" xfId="661"/>
    <cellStyle name="40% - Accent3 2 2" xfId="662"/>
    <cellStyle name="40% - Accent3 2 2 2" xfId="663"/>
    <cellStyle name="40% - Accent3 2 2 2 2" xfId="664"/>
    <cellStyle name="40% - Accent3 2 3" xfId="665"/>
    <cellStyle name="40% - Accent3 3" xfId="666"/>
    <cellStyle name="40% - Accent3 3 2" xfId="667"/>
    <cellStyle name="40% - Accent3 3 2 2" xfId="668"/>
    <cellStyle name="40% - Accent3 4" xfId="669"/>
    <cellStyle name="40% - Accent3 4 2" xfId="670"/>
    <cellStyle name="40% - Accent4" xfId="542" builtinId="43" customBuiltin="1"/>
    <cellStyle name="40% - Accent4 2" xfId="671"/>
    <cellStyle name="40% - Accent4 2 2" xfId="672"/>
    <cellStyle name="40% - Accent4 2 2 2" xfId="673"/>
    <cellStyle name="40% - Accent4 2 2 2 2" xfId="674"/>
    <cellStyle name="40% - Accent4 2 3" xfId="675"/>
    <cellStyle name="40% - Accent4 3" xfId="676"/>
    <cellStyle name="40% - Accent4 3 2" xfId="677"/>
    <cellStyle name="40% - Accent4 3 2 2" xfId="678"/>
    <cellStyle name="40% - Accent4 4" xfId="679"/>
    <cellStyle name="40% - Accent4 4 2" xfId="680"/>
    <cellStyle name="40% - Accent5" xfId="546" builtinId="47" customBuiltin="1"/>
    <cellStyle name="40% - Accent5 2" xfId="681"/>
    <cellStyle name="40% - Accent5 2 2" xfId="682"/>
    <cellStyle name="40% - Accent5 2 2 2" xfId="683"/>
    <cellStyle name="40% - Accent5 2 2 2 2" xfId="684"/>
    <cellStyle name="40% - Accent5 2 3" xfId="685"/>
    <cellStyle name="40% - Accent5 3" xfId="686"/>
    <cellStyle name="40% - Accent5 3 2" xfId="687"/>
    <cellStyle name="40% - Accent5 3 2 2" xfId="688"/>
    <cellStyle name="40% - Accent5 4" xfId="689"/>
    <cellStyle name="40% - Accent5 4 2" xfId="690"/>
    <cellStyle name="40% - Accent6" xfId="550" builtinId="51" customBuiltin="1"/>
    <cellStyle name="40% - Accent6 2" xfId="691"/>
    <cellStyle name="40% - Accent6 2 2" xfId="692"/>
    <cellStyle name="40% - Accent6 2 2 2" xfId="693"/>
    <cellStyle name="40% - Accent6 2 2 2 2" xfId="694"/>
    <cellStyle name="40% - Accent6 2 3" xfId="695"/>
    <cellStyle name="40% - Accent6 3" xfId="696"/>
    <cellStyle name="40% - Accent6 3 2" xfId="697"/>
    <cellStyle name="40% - Accent6 3 2 2" xfId="698"/>
    <cellStyle name="40% - Accent6 4" xfId="699"/>
    <cellStyle name="40% - Accent6 4 2" xfId="700"/>
    <cellStyle name="60% - Accent1" xfId="531" builtinId="32" customBuiltin="1"/>
    <cellStyle name="60% - Accent1 2" xfId="701"/>
    <cellStyle name="60% - Accent1 2 2" xfId="702"/>
    <cellStyle name="60% - Accent1 2 3" xfId="703"/>
    <cellStyle name="60% - Accent1 3" xfId="704"/>
    <cellStyle name="60% - Accent1 4" xfId="705"/>
    <cellStyle name="60% - Accent2" xfId="535" builtinId="36" customBuiltin="1"/>
    <cellStyle name="60% - Accent2 2" xfId="706"/>
    <cellStyle name="60% - Accent2 2 2" xfId="707"/>
    <cellStyle name="60% - Accent2 2 3" xfId="708"/>
    <cellStyle name="60% - Accent2 3" xfId="709"/>
    <cellStyle name="60% - Accent2 4" xfId="710"/>
    <cellStyle name="60% - Accent3" xfId="539" builtinId="40" customBuiltin="1"/>
    <cellStyle name="60% - Accent3 2" xfId="711"/>
    <cellStyle name="60% - Accent3 2 2" xfId="712"/>
    <cellStyle name="60% - Accent3 2 3" xfId="713"/>
    <cellStyle name="60% - Accent3 3" xfId="714"/>
    <cellStyle name="60% - Accent3 4" xfId="715"/>
    <cellStyle name="60% - Accent4" xfId="543" builtinId="44" customBuiltin="1"/>
    <cellStyle name="60% - Accent4 2" xfId="716"/>
    <cellStyle name="60% - Accent4 2 2" xfId="717"/>
    <cellStyle name="60% - Accent4 2 3" xfId="718"/>
    <cellStyle name="60% - Accent4 3" xfId="719"/>
    <cellStyle name="60% - Accent4 4" xfId="720"/>
    <cellStyle name="60% - Accent5" xfId="547" builtinId="48" customBuiltin="1"/>
    <cellStyle name="60% - Accent5 2" xfId="721"/>
    <cellStyle name="60% - Accent5 2 2" xfId="722"/>
    <cellStyle name="60% - Accent5 2 3" xfId="723"/>
    <cellStyle name="60% - Accent5 3" xfId="724"/>
    <cellStyle name="60% - Accent5 4" xfId="725"/>
    <cellStyle name="60% - Accent6" xfId="551" builtinId="52" customBuiltin="1"/>
    <cellStyle name="60% - Accent6 2" xfId="726"/>
    <cellStyle name="60% - Accent6 2 2" xfId="727"/>
    <cellStyle name="60% - Accent6 2 3" xfId="728"/>
    <cellStyle name="60% - Accent6 3" xfId="729"/>
    <cellStyle name="60% - Accent6 4" xfId="730"/>
    <cellStyle name="Accent1" xfId="528" builtinId="29" customBuiltin="1"/>
    <cellStyle name="Accent1 2" xfId="731"/>
    <cellStyle name="Accent1 2 2" xfId="732"/>
    <cellStyle name="Accent1 2 3" xfId="733"/>
    <cellStyle name="Accent1 3" xfId="734"/>
    <cellStyle name="Accent1 4" xfId="735"/>
    <cellStyle name="Accent2" xfId="532" builtinId="33" customBuiltin="1"/>
    <cellStyle name="Accent2 2" xfId="736"/>
    <cellStyle name="Accent2 2 2" xfId="737"/>
    <cellStyle name="Accent2 2 3" xfId="738"/>
    <cellStyle name="Accent2 3" xfId="739"/>
    <cellStyle name="Accent2 4" xfId="740"/>
    <cellStyle name="Accent3" xfId="536" builtinId="37" customBuiltin="1"/>
    <cellStyle name="Accent3 2" xfId="741"/>
    <cellStyle name="Accent3 2 2" xfId="742"/>
    <cellStyle name="Accent3 2 3" xfId="743"/>
    <cellStyle name="Accent3 3" xfId="744"/>
    <cellStyle name="Accent3 4" xfId="745"/>
    <cellStyle name="Accent4" xfId="540" builtinId="41" customBuiltin="1"/>
    <cellStyle name="Accent4 2" xfId="746"/>
    <cellStyle name="Accent4 2 2" xfId="747"/>
    <cellStyle name="Accent4 2 3" xfId="748"/>
    <cellStyle name="Accent4 3" xfId="749"/>
    <cellStyle name="Accent4 4" xfId="750"/>
    <cellStyle name="Accent5" xfId="544" builtinId="45" customBuiltin="1"/>
    <cellStyle name="Accent5 2" xfId="751"/>
    <cellStyle name="Accent5 2 2" xfId="752"/>
    <cellStyle name="Accent5 2 3" xfId="753"/>
    <cellStyle name="Accent5 3" xfId="754"/>
    <cellStyle name="Accent6" xfId="548" builtinId="49" customBuiltin="1"/>
    <cellStyle name="Accent6 2" xfId="755"/>
    <cellStyle name="Accent6 2 2" xfId="756"/>
    <cellStyle name="Accent6 2 3" xfId="757"/>
    <cellStyle name="Accent6 3" xfId="758"/>
    <cellStyle name="Accent6 4" xfId="759"/>
    <cellStyle name="Actual Date" xfId="760"/>
    <cellStyle name="Bad" xfId="518" builtinId="27" customBuiltin="1"/>
    <cellStyle name="Bad 2" xfId="761"/>
    <cellStyle name="Bad 2 2" xfId="762"/>
    <cellStyle name="Bad 2 3" xfId="763"/>
    <cellStyle name="Bad 3" xfId="764"/>
    <cellStyle name="Bad 4" xfId="765"/>
    <cellStyle name="Basic" xfId="24"/>
    <cellStyle name="black" xfId="25"/>
    <cellStyle name="blu" xfId="26"/>
    <cellStyle name="bot" xfId="27"/>
    <cellStyle name="Brand Align Left Text" xfId="766"/>
    <cellStyle name="Brand Default" xfId="767"/>
    <cellStyle name="Brand Percent" xfId="768"/>
    <cellStyle name="Brand Source" xfId="769"/>
    <cellStyle name="Brand Subtitle with Underline" xfId="770"/>
    <cellStyle name="Brand Subtitle without Underline" xfId="771"/>
    <cellStyle name="Brand Title" xfId="772"/>
    <cellStyle name="Bullet" xfId="28"/>
    <cellStyle name="Bullet [0]" xfId="29"/>
    <cellStyle name="Bullet [2]" xfId="30"/>
    <cellStyle name="Bullet [4]" xfId="31"/>
    <cellStyle name="c" xfId="32"/>
    <cellStyle name="c," xfId="33"/>
    <cellStyle name="c_HardInc " xfId="34"/>
    <cellStyle name="c_HardInc _ITC Great Plains Formula 1-12-09a" xfId="35"/>
    <cellStyle name="C00A" xfId="36"/>
    <cellStyle name="C00B" xfId="37"/>
    <cellStyle name="C00L" xfId="38"/>
    <cellStyle name="C01A" xfId="39"/>
    <cellStyle name="C01B" xfId="40"/>
    <cellStyle name="C01H" xfId="41"/>
    <cellStyle name="C01L" xfId="42"/>
    <cellStyle name="C02A" xfId="43"/>
    <cellStyle name="C02B" xfId="44"/>
    <cellStyle name="C02H" xfId="45"/>
    <cellStyle name="C02L" xfId="46"/>
    <cellStyle name="C03A" xfId="47"/>
    <cellStyle name="C03B" xfId="48"/>
    <cellStyle name="C03H" xfId="49"/>
    <cellStyle name="C03L" xfId="50"/>
    <cellStyle name="C04A" xfId="51"/>
    <cellStyle name="C04B" xfId="52"/>
    <cellStyle name="C04H" xfId="53"/>
    <cellStyle name="C04L" xfId="54"/>
    <cellStyle name="C05A" xfId="55"/>
    <cellStyle name="C05B" xfId="56"/>
    <cellStyle name="C05H" xfId="57"/>
    <cellStyle name="C05L" xfId="58"/>
    <cellStyle name="C06A" xfId="59"/>
    <cellStyle name="C06B" xfId="60"/>
    <cellStyle name="C06H" xfId="61"/>
    <cellStyle name="C06L" xfId="62"/>
    <cellStyle name="C07A" xfId="63"/>
    <cellStyle name="C07B" xfId="64"/>
    <cellStyle name="C07H" xfId="65"/>
    <cellStyle name="C07L" xfId="66"/>
    <cellStyle name="c1" xfId="67"/>
    <cellStyle name="c1," xfId="68"/>
    <cellStyle name="c2" xfId="69"/>
    <cellStyle name="c2," xfId="70"/>
    <cellStyle name="c3" xfId="71"/>
    <cellStyle name="Calculation" xfId="522" builtinId="22" customBuiltin="1"/>
    <cellStyle name="Calculation 2" xfId="773"/>
    <cellStyle name="Calculation 2 2" xfId="774"/>
    <cellStyle name="Calculation 2 3" xfId="775"/>
    <cellStyle name="Calculation 3" xfId="776"/>
    <cellStyle name="Calculation 4" xfId="777"/>
    <cellStyle name="cas" xfId="72"/>
    <cellStyle name="Centered Heading" xfId="73"/>
    <cellStyle name="ChartingText" xfId="778"/>
    <cellStyle name="Check Cell" xfId="524" builtinId="23" customBuiltin="1"/>
    <cellStyle name="Check Cell 2" xfId="779"/>
    <cellStyle name="Check Cell 2 2" xfId="780"/>
    <cellStyle name="Check Cell 2 3" xfId="781"/>
    <cellStyle name="Check Cell 3" xfId="782"/>
    <cellStyle name="column1" xfId="783"/>
    <cellStyle name="ColumnHeaderNormal" xfId="784"/>
    <cellStyle name="Comma" xfId="1" builtinId="3"/>
    <cellStyle name="Comma  - Style1" xfId="74"/>
    <cellStyle name="Comma  - Style2" xfId="75"/>
    <cellStyle name="Comma  - Style3" xfId="76"/>
    <cellStyle name="Comma  - Style4" xfId="77"/>
    <cellStyle name="Comma  - Style5" xfId="78"/>
    <cellStyle name="Comma  - Style6" xfId="79"/>
    <cellStyle name="Comma  - Style7" xfId="80"/>
    <cellStyle name="Comma  - Style8" xfId="81"/>
    <cellStyle name="Comma [1]" xfId="82"/>
    <cellStyle name="Comma [2]" xfId="83"/>
    <cellStyle name="Comma [3]" xfId="84"/>
    <cellStyle name="Comma 0.0" xfId="85"/>
    <cellStyle name="Comma 0.00" xfId="86"/>
    <cellStyle name="Comma 0.000" xfId="87"/>
    <cellStyle name="Comma 0.0000" xfId="88"/>
    <cellStyle name="Comma 10" xfId="354"/>
    <cellStyle name="Comma 10 2" xfId="785"/>
    <cellStyle name="Comma 10 3" xfId="786"/>
    <cellStyle name="Comma 10 4" xfId="787"/>
    <cellStyle name="Comma 10 5" xfId="788"/>
    <cellStyle name="Comma 10 6" xfId="789"/>
    <cellStyle name="Comma 11" xfId="356"/>
    <cellStyle name="Comma 11 2" xfId="790"/>
    <cellStyle name="Comma 12" xfId="361"/>
    <cellStyle name="Comma 12 2" xfId="791"/>
    <cellStyle name="Comma 13" xfId="366"/>
    <cellStyle name="Comma 14" xfId="362"/>
    <cellStyle name="Comma 14 2" xfId="792"/>
    <cellStyle name="Comma 15" xfId="365"/>
    <cellStyle name="Comma 15 2" xfId="793"/>
    <cellStyle name="Comma 16" xfId="363"/>
    <cellStyle name="Comma 17" xfId="364"/>
    <cellStyle name="Comma 18" xfId="368"/>
    <cellStyle name="Comma 19" xfId="414"/>
    <cellStyle name="Comma 2" xfId="2"/>
    <cellStyle name="Comma 2 2" xfId="89"/>
    <cellStyle name="Comma 2 2 2" xfId="794"/>
    <cellStyle name="Comma 2 2 2 2" xfId="795"/>
    <cellStyle name="Comma 2 3" xfId="444"/>
    <cellStyle name="Comma 2 3 2" xfId="796"/>
    <cellStyle name="Comma 2 4" xfId="797"/>
    <cellStyle name="Comma 2 4 2" xfId="798"/>
    <cellStyle name="Comma 20" xfId="373"/>
    <cellStyle name="Comma 21" xfId="410"/>
    <cellStyle name="Comma 22" xfId="377"/>
    <cellStyle name="Comma 23" xfId="406"/>
    <cellStyle name="Comma 24" xfId="380"/>
    <cellStyle name="Comma 25" xfId="403"/>
    <cellStyle name="Comma 26" xfId="372"/>
    <cellStyle name="Comma 27" xfId="400"/>
    <cellStyle name="Comma 28" xfId="385"/>
    <cellStyle name="Comma 29" xfId="398"/>
    <cellStyle name="Comma 3" xfId="13"/>
    <cellStyle name="Comma 3 2" xfId="90"/>
    <cellStyle name="Comma 3 2 2" xfId="432"/>
    <cellStyle name="Comma 30" xfId="387"/>
    <cellStyle name="Comma 31" xfId="396"/>
    <cellStyle name="Comma 32" xfId="389"/>
    <cellStyle name="Comma 33" xfId="394"/>
    <cellStyle name="Comma 34" xfId="391"/>
    <cellStyle name="Comma 35" xfId="392"/>
    <cellStyle name="Comma 36" xfId="416"/>
    <cellStyle name="Comma 37" xfId="411"/>
    <cellStyle name="Comma 38" xfId="376"/>
    <cellStyle name="Comma 39" xfId="407"/>
    <cellStyle name="Comma 4" xfId="14"/>
    <cellStyle name="Comma 4 2" xfId="91"/>
    <cellStyle name="Comma 4 3" xfId="360"/>
    <cellStyle name="Comma 40" xfId="379"/>
    <cellStyle name="Comma 41" xfId="404"/>
    <cellStyle name="Comma 42" xfId="382"/>
    <cellStyle name="Comma 43" xfId="401"/>
    <cellStyle name="Comma 44" xfId="384"/>
    <cellStyle name="Comma 45" xfId="412"/>
    <cellStyle name="Comma 46" xfId="375"/>
    <cellStyle name="Comma 47" xfId="408"/>
    <cellStyle name="Comma 48" xfId="378"/>
    <cellStyle name="Comma 49" xfId="405"/>
    <cellStyle name="Comma 5" xfId="92"/>
    <cellStyle name="Comma 5 2" xfId="799"/>
    <cellStyle name="Comma 5 2 2" xfId="800"/>
    <cellStyle name="Comma 5 2 2 2" xfId="801"/>
    <cellStyle name="Comma 5 3" xfId="802"/>
    <cellStyle name="Comma 5 4" xfId="803"/>
    <cellStyle name="Comma 5 5" xfId="804"/>
    <cellStyle name="Comma 50" xfId="381"/>
    <cellStyle name="Comma 51" xfId="402"/>
    <cellStyle name="Comma 52" xfId="383"/>
    <cellStyle name="Comma 53" xfId="399"/>
    <cellStyle name="Comma 54" xfId="386"/>
    <cellStyle name="Comma 55" xfId="397"/>
    <cellStyle name="Comma 56" xfId="388"/>
    <cellStyle name="Comma 57" xfId="395"/>
    <cellStyle name="Comma 58" xfId="390"/>
    <cellStyle name="Comma 59" xfId="393"/>
    <cellStyle name="Comma 6" xfId="327"/>
    <cellStyle name="Comma 6 2" xfId="441"/>
    <cellStyle name="Comma 6 2 2" xfId="805"/>
    <cellStyle name="Comma 60" xfId="413"/>
    <cellStyle name="Comma 61" xfId="374"/>
    <cellStyle name="Comma 62" xfId="409"/>
    <cellStyle name="Comma 63" xfId="417"/>
    <cellStyle name="Comma 64" xfId="418"/>
    <cellStyle name="Comma 65" xfId="420"/>
    <cellStyle name="Comma 66" xfId="446"/>
    <cellStyle name="Comma 67" xfId="460"/>
    <cellStyle name="Comma 68" xfId="422"/>
    <cellStyle name="Comma 69" xfId="437"/>
    <cellStyle name="Comma 7" xfId="331"/>
    <cellStyle name="Comma 7 2" xfId="806"/>
    <cellStyle name="Comma 70" xfId="452"/>
    <cellStyle name="Comma 71" xfId="424"/>
    <cellStyle name="Comma 72" xfId="436"/>
    <cellStyle name="Comma 73" xfId="429"/>
    <cellStyle name="Comma 74" xfId="434"/>
    <cellStyle name="Comma 75" xfId="426"/>
    <cellStyle name="Comma 76" xfId="435"/>
    <cellStyle name="Comma 77" xfId="431"/>
    <cellStyle name="Comma 78" xfId="427"/>
    <cellStyle name="Comma 79" xfId="425"/>
    <cellStyle name="Comma 8" xfId="337"/>
    <cellStyle name="Comma 8 2" xfId="807"/>
    <cellStyle name="Comma 80" xfId="454"/>
    <cellStyle name="Comma 81" xfId="469"/>
    <cellStyle name="Comma 82" xfId="470"/>
    <cellStyle name="Comma 83" xfId="503"/>
    <cellStyle name="Comma 84" xfId="564"/>
    <cellStyle name="Comma 85" xfId="565"/>
    <cellStyle name="Comma 86" xfId="566"/>
    <cellStyle name="Comma 87" xfId="567"/>
    <cellStyle name="Comma 88" xfId="568"/>
    <cellStyle name="Comma 89" xfId="569"/>
    <cellStyle name="Comma 9" xfId="334"/>
    <cellStyle name="Comma 90" xfId="570"/>
    <cellStyle name="Comma 91" xfId="571"/>
    <cellStyle name="Comma 92" xfId="572"/>
    <cellStyle name="Comma 93" xfId="573"/>
    <cellStyle name="Comma 94" xfId="574"/>
    <cellStyle name="Comma Input" xfId="93"/>
    <cellStyle name="Comma(1)" xfId="808"/>
    <cellStyle name="Comma0" xfId="94"/>
    <cellStyle name="Company Name" xfId="95"/>
    <cellStyle name="Currency [1]" xfId="96"/>
    <cellStyle name="Currency [2]" xfId="97"/>
    <cellStyle name="Currency [3]" xfId="98"/>
    <cellStyle name="Currency 0.0" xfId="99"/>
    <cellStyle name="Currency 0.00" xfId="100"/>
    <cellStyle name="Currency 0.000" xfId="101"/>
    <cellStyle name="Currency 0.0000" xfId="102"/>
    <cellStyle name="Currency 10" xfId="349"/>
    <cellStyle name="Currency 11" xfId="351"/>
    <cellStyle name="Currency 12" xfId="353"/>
    <cellStyle name="Currency 13" xfId="578"/>
    <cellStyle name="Currency 14" xfId="809"/>
    <cellStyle name="Currency 15" xfId="810"/>
    <cellStyle name="Currency 16" xfId="811"/>
    <cellStyle name="Currency 2" xfId="12"/>
    <cellStyle name="Currency 2 2" xfId="103"/>
    <cellStyle name="Currency 2 2 2" xfId="812"/>
    <cellStyle name="Currency 2 2 2 2" xfId="813"/>
    <cellStyle name="Currency 2 2 2 2 2" xfId="814"/>
    <cellStyle name="Currency 2 2 2 2 3" xfId="815"/>
    <cellStyle name="Currency 2 2 2 3" xfId="816"/>
    <cellStyle name="Currency 2 2 2 4" xfId="817"/>
    <cellStyle name="Currency 2 2 2 5" xfId="818"/>
    <cellStyle name="Currency 2 2 2 6" xfId="819"/>
    <cellStyle name="Currency 2 2 2 7" xfId="820"/>
    <cellStyle name="Currency 2 2 3" xfId="821"/>
    <cellStyle name="Currency 2 2 3 2" xfId="822"/>
    <cellStyle name="Currency 2 2 4" xfId="823"/>
    <cellStyle name="Currency 2 2 4 2" xfId="824"/>
    <cellStyle name="Currency 2 3" xfId="430"/>
    <cellStyle name="Currency 2 3 2" xfId="825"/>
    <cellStyle name="Currency 2 3 2 2" xfId="826"/>
    <cellStyle name="Currency 2 3 3" xfId="827"/>
    <cellStyle name="Currency 2 4" xfId="828"/>
    <cellStyle name="Currency 2 4 2" xfId="829"/>
    <cellStyle name="Currency 2 5" xfId="830"/>
    <cellStyle name="Currency 2 5 2" xfId="831"/>
    <cellStyle name="Currency 2 6" xfId="832"/>
    <cellStyle name="Currency 3" xfId="104"/>
    <cellStyle name="Currency 3 2" xfId="105"/>
    <cellStyle name="Currency 3 2 2" xfId="833"/>
    <cellStyle name="Currency 3 2 2 2" xfId="834"/>
    <cellStyle name="Currency 3 2 3" xfId="835"/>
    <cellStyle name="Currency 3 2 4" xfId="836"/>
    <cellStyle name="Currency 3 3" xfId="837"/>
    <cellStyle name="Currency 3 3 2" xfId="838"/>
    <cellStyle name="Currency 3 4" xfId="839"/>
    <cellStyle name="Currency 3 4 2" xfId="840"/>
    <cellStyle name="Currency 4" xfId="16"/>
    <cellStyle name="Currency 5" xfId="332"/>
    <cellStyle name="Currency 5 2" xfId="841"/>
    <cellStyle name="Currency 6" xfId="336"/>
    <cellStyle name="Currency 6 2" xfId="842"/>
    <cellStyle name="Currency 7" xfId="343"/>
    <cellStyle name="Currency 8" xfId="345"/>
    <cellStyle name="Currency 9" xfId="347"/>
    <cellStyle name="Currency 9 2" xfId="843"/>
    <cellStyle name="Currency Input" xfId="106"/>
    <cellStyle name="Currency0" xfId="107"/>
    <cellStyle name="d" xfId="108"/>
    <cellStyle name="d," xfId="109"/>
    <cellStyle name="d1" xfId="110"/>
    <cellStyle name="d1," xfId="111"/>
    <cellStyle name="d2" xfId="112"/>
    <cellStyle name="d2," xfId="113"/>
    <cellStyle name="d3" xfId="114"/>
    <cellStyle name="Dash" xfId="115"/>
    <cellStyle name="Date" xfId="116"/>
    <cellStyle name="Date [Abbreviated]" xfId="117"/>
    <cellStyle name="Date [Long Europe]" xfId="118"/>
    <cellStyle name="Date [Long U.S.]" xfId="119"/>
    <cellStyle name="Date [Short Europe]" xfId="120"/>
    <cellStyle name="Date [Short U.S.]" xfId="121"/>
    <cellStyle name="Date_ITCM 2010 Template" xfId="122"/>
    <cellStyle name="Define$0" xfId="123"/>
    <cellStyle name="Define$1" xfId="124"/>
    <cellStyle name="Define$2" xfId="125"/>
    <cellStyle name="Define0" xfId="126"/>
    <cellStyle name="Define1" xfId="127"/>
    <cellStyle name="Define1x" xfId="128"/>
    <cellStyle name="Define2" xfId="129"/>
    <cellStyle name="Define2x" xfId="130"/>
    <cellStyle name="Detail" xfId="844"/>
    <cellStyle name="Dollar" xfId="131"/>
    <cellStyle name="e" xfId="132"/>
    <cellStyle name="e1" xfId="133"/>
    <cellStyle name="e2" xfId="134"/>
    <cellStyle name="Euro" xfId="135"/>
    <cellStyle name="Explanatory Text" xfId="526" builtinId="53" customBuiltin="1"/>
    <cellStyle name="Explanatory Text 2" xfId="845"/>
    <cellStyle name="Explanatory Text 2 2" xfId="846"/>
    <cellStyle name="Explanatory Text 2 3" xfId="847"/>
    <cellStyle name="Explanatory Text 3" xfId="848"/>
    <cellStyle name="f" xfId="849"/>
    <cellStyle name="Fixed" xfId="136"/>
    <cellStyle name="FOOTER - Style1" xfId="137"/>
    <cellStyle name="g" xfId="138"/>
    <cellStyle name="general" xfId="139"/>
    <cellStyle name="General [C]" xfId="140"/>
    <cellStyle name="General [R]" xfId="141"/>
    <cellStyle name="Good" xfId="517" builtinId="26" customBuiltin="1"/>
    <cellStyle name="Good 2" xfId="850"/>
    <cellStyle name="Good 2 2" xfId="851"/>
    <cellStyle name="Good 2 3" xfId="852"/>
    <cellStyle name="Good 3" xfId="853"/>
    <cellStyle name="Good 4" xfId="854"/>
    <cellStyle name="Green" xfId="142"/>
    <cellStyle name="grey" xfId="143"/>
    <cellStyle name="HEADER" xfId="855"/>
    <cellStyle name="Header1" xfId="144"/>
    <cellStyle name="Header2" xfId="145"/>
    <cellStyle name="Heading" xfId="146"/>
    <cellStyle name="Heading 1" xfId="513" builtinId="16" customBuiltin="1"/>
    <cellStyle name="Heading 1 2" xfId="856"/>
    <cellStyle name="Heading 1 2 2" xfId="857"/>
    <cellStyle name="Heading 1 2 3" xfId="858"/>
    <cellStyle name="Heading 1 3" xfId="859"/>
    <cellStyle name="Heading 1 4" xfId="860"/>
    <cellStyle name="Heading 2" xfId="514" builtinId="17" customBuiltin="1"/>
    <cellStyle name="Heading 2 2" xfId="861"/>
    <cellStyle name="Heading 2 2 2" xfId="862"/>
    <cellStyle name="Heading 2 2 3" xfId="863"/>
    <cellStyle name="Heading 2 3" xfId="864"/>
    <cellStyle name="Heading 2 4" xfId="865"/>
    <cellStyle name="Heading 3" xfId="515" builtinId="18" customBuiltin="1"/>
    <cellStyle name="Heading 3 2" xfId="866"/>
    <cellStyle name="Heading 3 2 2" xfId="867"/>
    <cellStyle name="Heading 3 2 3" xfId="868"/>
    <cellStyle name="Heading 3 3" xfId="869"/>
    <cellStyle name="Heading 3 4" xfId="870"/>
    <cellStyle name="Heading 4" xfId="516" builtinId="19" customBuiltin="1"/>
    <cellStyle name="Heading 4 2" xfId="871"/>
    <cellStyle name="Heading 4 2 2" xfId="872"/>
    <cellStyle name="Heading 4 2 3" xfId="873"/>
    <cellStyle name="Heading 4 3" xfId="874"/>
    <cellStyle name="Heading 4 4" xfId="875"/>
    <cellStyle name="Heading No Underline" xfId="147"/>
    <cellStyle name="Heading With Underline" xfId="148"/>
    <cellStyle name="Heading1" xfId="149"/>
    <cellStyle name="Heading2" xfId="150"/>
    <cellStyle name="Headline" xfId="151"/>
    <cellStyle name="Highlight" xfId="152"/>
    <cellStyle name="Hyperlink 2" xfId="876"/>
    <cellStyle name="in" xfId="153"/>
    <cellStyle name="inc/dec" xfId="877"/>
    <cellStyle name="Indented [0]" xfId="154"/>
    <cellStyle name="Indented [2]" xfId="155"/>
    <cellStyle name="Indented [4]" xfId="156"/>
    <cellStyle name="Indented [6]" xfId="157"/>
    <cellStyle name="Input" xfId="520" builtinId="20" customBuiltin="1"/>
    <cellStyle name="Input [yellow]" xfId="158"/>
    <cellStyle name="Input 2" xfId="878"/>
    <cellStyle name="Input 2 2" xfId="879"/>
    <cellStyle name="Input 2 3" xfId="880"/>
    <cellStyle name="Input 3" xfId="881"/>
    <cellStyle name="Input 4" xfId="882"/>
    <cellStyle name="Input$0" xfId="159"/>
    <cellStyle name="Input$1" xfId="160"/>
    <cellStyle name="Input$2" xfId="161"/>
    <cellStyle name="Input0" xfId="162"/>
    <cellStyle name="Input1" xfId="163"/>
    <cellStyle name="Input1x" xfId="164"/>
    <cellStyle name="Input2" xfId="165"/>
    <cellStyle name="Input2x" xfId="166"/>
    <cellStyle name="Invisible" xfId="883"/>
    <cellStyle name="lborder" xfId="167"/>
    <cellStyle name="LeftSubtitle" xfId="168"/>
    <cellStyle name="Lines" xfId="884"/>
    <cellStyle name="Linked Cell" xfId="523" builtinId="24" customBuiltin="1"/>
    <cellStyle name="Linked Cell 2" xfId="885"/>
    <cellStyle name="Linked Cell 2 2" xfId="886"/>
    <cellStyle name="Linked Cell 2 3" xfId="887"/>
    <cellStyle name="Linked Cell 3" xfId="888"/>
    <cellStyle name="Linked Cell 4" xfId="889"/>
    <cellStyle name="Long Date" xfId="890"/>
    <cellStyle name="Long Date 2" xfId="891"/>
    <cellStyle name="m" xfId="169"/>
    <cellStyle name="m1" xfId="170"/>
    <cellStyle name="m2" xfId="171"/>
    <cellStyle name="m3" xfId="172"/>
    <cellStyle name="Multiple" xfId="173"/>
    <cellStyle name="Negative" xfId="174"/>
    <cellStyle name="Neutral" xfId="519" builtinId="28" customBuiltin="1"/>
    <cellStyle name="Neutral 2" xfId="892"/>
    <cellStyle name="Neutral 2 2" xfId="893"/>
    <cellStyle name="Neutral 2 3" xfId="894"/>
    <cellStyle name="Neutral 3" xfId="895"/>
    <cellStyle name="Neutral 4" xfId="896"/>
    <cellStyle name="NewColumnHeaderNormal" xfId="897"/>
    <cellStyle name="NewSectionHeaderNormal" xfId="898"/>
    <cellStyle name="NewTitleNormal" xfId="899"/>
    <cellStyle name="no dec" xfId="175"/>
    <cellStyle name="Normal" xfId="0" builtinId="0"/>
    <cellStyle name="Normal - Style1" xfId="176"/>
    <cellStyle name="Normal 10" xfId="340"/>
    <cellStyle name="Normal 10 2" xfId="900"/>
    <cellStyle name="Normal 10 2 2" xfId="901"/>
    <cellStyle name="Normal 10 3" xfId="902"/>
    <cellStyle name="Normal 10 3 2" xfId="903"/>
    <cellStyle name="Normal 100" xfId="904"/>
    <cellStyle name="Normal 100 2" xfId="905"/>
    <cellStyle name="Normal 101" xfId="906"/>
    <cellStyle name="Normal 101 2" xfId="907"/>
    <cellStyle name="Normal 102" xfId="908"/>
    <cellStyle name="Normal 102 2" xfId="909"/>
    <cellStyle name="Normal 103" xfId="910"/>
    <cellStyle name="Normal 103 2" xfId="911"/>
    <cellStyle name="Normal 104" xfId="912"/>
    <cellStyle name="Normal 104 2" xfId="913"/>
    <cellStyle name="Normal 105" xfId="914"/>
    <cellStyle name="Normal 105 2" xfId="915"/>
    <cellStyle name="Normal 106" xfId="916"/>
    <cellStyle name="Normal 106 2" xfId="917"/>
    <cellStyle name="Normal 107" xfId="918"/>
    <cellStyle name="Normal 107 2" xfId="919"/>
    <cellStyle name="Normal 108" xfId="920"/>
    <cellStyle name="Normal 108 2" xfId="921"/>
    <cellStyle name="Normal 109" xfId="922"/>
    <cellStyle name="Normal 109 2" xfId="923"/>
    <cellStyle name="Normal 11" xfId="341"/>
    <cellStyle name="Normal 11 2" xfId="924"/>
    <cellStyle name="Normal 11 2 2" xfId="925"/>
    <cellStyle name="Normal 11 2 2 2" xfId="926"/>
    <cellStyle name="Normal 11 3" xfId="927"/>
    <cellStyle name="Normal 11 4" xfId="928"/>
    <cellStyle name="Normal 11 5" xfId="929"/>
    <cellStyle name="Normal 11 5 2" xfId="930"/>
    <cellStyle name="Normal 110" xfId="931"/>
    <cellStyle name="Normal 110 2" xfId="932"/>
    <cellStyle name="Normal 111" xfId="933"/>
    <cellStyle name="Normal 111 2" xfId="934"/>
    <cellStyle name="Normal 112" xfId="935"/>
    <cellStyle name="Normal 112 2" xfId="936"/>
    <cellStyle name="Normal 113" xfId="937"/>
    <cellStyle name="Normal 113 2" xfId="938"/>
    <cellStyle name="Normal 114" xfId="939"/>
    <cellStyle name="Normal 114 2" xfId="940"/>
    <cellStyle name="Normal 115" xfId="941"/>
    <cellStyle name="Normal 115 2" xfId="942"/>
    <cellStyle name="Normal 116" xfId="943"/>
    <cellStyle name="Normal 116 2" xfId="944"/>
    <cellStyle name="Normal 117" xfId="945"/>
    <cellStyle name="Normal 117 2" xfId="946"/>
    <cellStyle name="Normal 118" xfId="947"/>
    <cellStyle name="Normal 118 2" xfId="948"/>
    <cellStyle name="Normal 119" xfId="949"/>
    <cellStyle name="Normal 119 2" xfId="950"/>
    <cellStyle name="Normal 12" xfId="342"/>
    <cellStyle name="Normal 12 2" xfId="951"/>
    <cellStyle name="Normal 12 2 2" xfId="952"/>
    <cellStyle name="Normal 12 3" xfId="953"/>
    <cellStyle name="Normal 12 4" xfId="954"/>
    <cellStyle name="Normal 120" xfId="955"/>
    <cellStyle name="Normal 120 2" xfId="956"/>
    <cellStyle name="Normal 121" xfId="957"/>
    <cellStyle name="Normal 121 2" xfId="958"/>
    <cellStyle name="Normal 122" xfId="959"/>
    <cellStyle name="Normal 122 2" xfId="960"/>
    <cellStyle name="Normal 123" xfId="961"/>
    <cellStyle name="Normal 123 2" xfId="962"/>
    <cellStyle name="Normal 124" xfId="963"/>
    <cellStyle name="Normal 124 2" xfId="964"/>
    <cellStyle name="Normal 125" xfId="965"/>
    <cellStyle name="Normal 125 2" xfId="966"/>
    <cellStyle name="Normal 126" xfId="967"/>
    <cellStyle name="Normal 126 2" xfId="968"/>
    <cellStyle name="Normal 127" xfId="969"/>
    <cellStyle name="Normal 127 2" xfId="970"/>
    <cellStyle name="Normal 128" xfId="971"/>
    <cellStyle name="Normal 128 2" xfId="972"/>
    <cellStyle name="Normal 129" xfId="973"/>
    <cellStyle name="Normal 129 2" xfId="974"/>
    <cellStyle name="Normal 13" xfId="344"/>
    <cellStyle name="Normal 13 2" xfId="975"/>
    <cellStyle name="Normal 130" xfId="976"/>
    <cellStyle name="Normal 130 2" xfId="977"/>
    <cellStyle name="Normal 131" xfId="978"/>
    <cellStyle name="Normal 131 2" xfId="979"/>
    <cellStyle name="Normal 132" xfId="980"/>
    <cellStyle name="Normal 132 2" xfId="981"/>
    <cellStyle name="Normal 133" xfId="982"/>
    <cellStyle name="Normal 133 2" xfId="983"/>
    <cellStyle name="Normal 134" xfId="984"/>
    <cellStyle name="Normal 134 2" xfId="985"/>
    <cellStyle name="Normal 135" xfId="986"/>
    <cellStyle name="Normal 135 2" xfId="987"/>
    <cellStyle name="Normal 136" xfId="988"/>
    <cellStyle name="Normal 136 2" xfId="989"/>
    <cellStyle name="Normal 137" xfId="990"/>
    <cellStyle name="Normal 137 2" xfId="991"/>
    <cellStyle name="Normal 138" xfId="992"/>
    <cellStyle name="Normal 138 2" xfId="993"/>
    <cellStyle name="Normal 139" xfId="994"/>
    <cellStyle name="Normal 139 2" xfId="995"/>
    <cellStyle name="Normal 14" xfId="346"/>
    <cellStyle name="Normal 14 2" xfId="996"/>
    <cellStyle name="Normal 14 3" xfId="997"/>
    <cellStyle name="Normal 140" xfId="998"/>
    <cellStyle name="Normal 140 2" xfId="999"/>
    <cellStyle name="Normal 141" xfId="1000"/>
    <cellStyle name="Normal 141 2" xfId="1001"/>
    <cellStyle name="Normal 142" xfId="1002"/>
    <cellStyle name="Normal 142 2" xfId="1003"/>
    <cellStyle name="Normal 143" xfId="1004"/>
    <cellStyle name="Normal 143 2" xfId="1005"/>
    <cellStyle name="Normal 144" xfId="1006"/>
    <cellStyle name="Normal 145" xfId="1007"/>
    <cellStyle name="Normal 146" xfId="1008"/>
    <cellStyle name="Normal 147" xfId="1009"/>
    <cellStyle name="Normal 148" xfId="1010"/>
    <cellStyle name="Normal 149" xfId="1011"/>
    <cellStyle name="Normal 15" xfId="348"/>
    <cellStyle name="Normal 15 2" xfId="1012"/>
    <cellStyle name="Normal 150" xfId="1013"/>
    <cellStyle name="Normal 151" xfId="1014"/>
    <cellStyle name="Normal 152" xfId="1015"/>
    <cellStyle name="Normal 153" xfId="1016"/>
    <cellStyle name="Normal 154" xfId="1017"/>
    <cellStyle name="Normal 155" xfId="1018"/>
    <cellStyle name="Normal 156" xfId="1019"/>
    <cellStyle name="Normal 157" xfId="1020"/>
    <cellStyle name="Normal 158" xfId="1021"/>
    <cellStyle name="Normal 159" xfId="1022"/>
    <cellStyle name="Normal 16" xfId="350"/>
    <cellStyle name="Normal 16 2" xfId="1023"/>
    <cellStyle name="Normal 16 3" xfId="1024"/>
    <cellStyle name="Normal 160" xfId="1025"/>
    <cellStyle name="Normal 161" xfId="1026"/>
    <cellStyle name="Normal 162" xfId="1027"/>
    <cellStyle name="Normal 163" xfId="1028"/>
    <cellStyle name="Normal 164" xfId="1029"/>
    <cellStyle name="Normal 165" xfId="1030"/>
    <cellStyle name="Normal 166" xfId="1031"/>
    <cellStyle name="Normal 167" xfId="1032"/>
    <cellStyle name="Normal 168" xfId="1033"/>
    <cellStyle name="Normal 169" xfId="1034"/>
    <cellStyle name="Normal 17" xfId="352"/>
    <cellStyle name="Normal 17 2" xfId="1035"/>
    <cellStyle name="Normal 17 3" xfId="1036"/>
    <cellStyle name="Normal 170" xfId="1037"/>
    <cellStyle name="Normal 171" xfId="1038"/>
    <cellStyle name="Normal 172" xfId="1039"/>
    <cellStyle name="Normal 173" xfId="1040"/>
    <cellStyle name="Normal 174" xfId="1041"/>
    <cellStyle name="Normal 175" xfId="1042"/>
    <cellStyle name="Normal 176" xfId="1043"/>
    <cellStyle name="Normal 177" xfId="1044"/>
    <cellStyle name="Normal 178" xfId="1045"/>
    <cellStyle name="Normal 179" xfId="1046"/>
    <cellStyle name="Normal 18" xfId="358"/>
    <cellStyle name="Normal 18 2" xfId="450"/>
    <cellStyle name="Normal 18 2 2" xfId="487"/>
    <cellStyle name="Normal 18 3" xfId="464"/>
    <cellStyle name="Normal 18 3 2" xfId="498"/>
    <cellStyle name="Normal 18 4" xfId="443"/>
    <cellStyle name="Normal 18 4 2" xfId="482"/>
    <cellStyle name="Normal 18 5" xfId="474"/>
    <cellStyle name="Normal 18 6" xfId="507"/>
    <cellStyle name="Normal 180" xfId="1047"/>
    <cellStyle name="Normal 181" xfId="1048"/>
    <cellStyle name="Normal 182" xfId="1049"/>
    <cellStyle name="Normal 183" xfId="1050"/>
    <cellStyle name="Normal 184" xfId="1051"/>
    <cellStyle name="Normal 185" xfId="1052"/>
    <cellStyle name="Normal 186" xfId="1053"/>
    <cellStyle name="Normal 187" xfId="1054"/>
    <cellStyle name="Normal 188" xfId="1055"/>
    <cellStyle name="Normal 189" xfId="1056"/>
    <cellStyle name="Normal 19" xfId="455"/>
    <cellStyle name="Normal 19 2" xfId="490"/>
    <cellStyle name="Normal 19 3" xfId="1057"/>
    <cellStyle name="Normal 19 3 2" xfId="1058"/>
    <cellStyle name="Normal 19 4" xfId="1059"/>
    <cellStyle name="Normal 19 4 2" xfId="1060"/>
    <cellStyle name="Normal 19 5" xfId="1061"/>
    <cellStyle name="Normal 190" xfId="1062"/>
    <cellStyle name="Normal 191" xfId="1063"/>
    <cellStyle name="Normal 192" xfId="1064"/>
    <cellStyle name="Normal 193" xfId="1065"/>
    <cellStyle name="Normal 194" xfId="1066"/>
    <cellStyle name="Normal 195" xfId="1067"/>
    <cellStyle name="Normal 196" xfId="1068"/>
    <cellStyle name="Normal 197" xfId="1069"/>
    <cellStyle name="Normal 198" xfId="1070"/>
    <cellStyle name="Normal 199" xfId="1071"/>
    <cellStyle name="Normal 2" xfId="3"/>
    <cellStyle name="Normal 2 2" xfId="359"/>
    <cellStyle name="Normal 2 2 10" xfId="1072"/>
    <cellStyle name="Normal 2 2 2" xfId="428"/>
    <cellStyle name="Normal 2 2 2 2" xfId="1073"/>
    <cellStyle name="Normal 2 2 2 2 2" xfId="1074"/>
    <cellStyle name="Normal 2 2 2 3" xfId="1075"/>
    <cellStyle name="Normal 2 2 2 3 2" xfId="1076"/>
    <cellStyle name="Normal 2 2 2 4" xfId="1077"/>
    <cellStyle name="Normal 2 2 2 4 2" xfId="1078"/>
    <cellStyle name="Normal 2 2 3" xfId="1079"/>
    <cellStyle name="Normal 2 2 3 2" xfId="1080"/>
    <cellStyle name="Normal 2 2 3 2 2" xfId="1081"/>
    <cellStyle name="Normal 2 2 3 2 2 2" xfId="1082"/>
    <cellStyle name="Normal 2 2 3 3" xfId="1083"/>
    <cellStyle name="Normal 2 2 3 3 2" xfId="1084"/>
    <cellStyle name="Normal 2 2 3 4" xfId="1085"/>
    <cellStyle name="Normal 2 2 3 4 2" xfId="1086"/>
    <cellStyle name="Normal 2 2 3 5" xfId="1087"/>
    <cellStyle name="Normal 2 2 4" xfId="1088"/>
    <cellStyle name="Normal 2 2 4 2" xfId="1089"/>
    <cellStyle name="Normal 2 2 4 2 2" xfId="1090"/>
    <cellStyle name="Normal 2 2 4 2 2 2" xfId="1091"/>
    <cellStyle name="Normal 2 2 4 2 3" xfId="1092"/>
    <cellStyle name="Normal 2 2 4 3" xfId="1093"/>
    <cellStyle name="Normal 2 2 4 3 2" xfId="1094"/>
    <cellStyle name="Normal 2 2 4 4" xfId="1095"/>
    <cellStyle name="Normal 2 2 4 4 2" xfId="1096"/>
    <cellStyle name="Normal 2 2 5" xfId="1097"/>
    <cellStyle name="Normal 2 2 5 2" xfId="1098"/>
    <cellStyle name="Normal 2 2 5 2 2" xfId="1099"/>
    <cellStyle name="Normal 2 2 5 3" xfId="1100"/>
    <cellStyle name="Normal 2 2 6" xfId="1101"/>
    <cellStyle name="Normal 2 2 6 2" xfId="1102"/>
    <cellStyle name="Normal 2 2 7" xfId="1103"/>
    <cellStyle name="Normal 2 2 7 2" xfId="1104"/>
    <cellStyle name="Normal 2 2 8" xfId="1105"/>
    <cellStyle name="Normal 2 2 9" xfId="1106"/>
    <cellStyle name="Normal 2 3" xfId="439"/>
    <cellStyle name="Normal 2 3 2" xfId="1107"/>
    <cellStyle name="Normal 2 3 2 2" xfId="1108"/>
    <cellStyle name="Normal 2 3 2 2 2" xfId="1109"/>
    <cellStyle name="Normal 2 3 2 2 2 2" xfId="1110"/>
    <cellStyle name="Normal 2 3 2 2 3" xfId="1111"/>
    <cellStyle name="Normal 2 3 2 3" xfId="1112"/>
    <cellStyle name="Normal 2 3 2 3 2" xfId="1113"/>
    <cellStyle name="Normal 2 3 2 4" xfId="1114"/>
    <cellStyle name="Normal 2 3 2 4 2" xfId="1115"/>
    <cellStyle name="Normal 2 3 26" xfId="1116"/>
    <cellStyle name="Normal 2 3 3" xfId="1117"/>
    <cellStyle name="Normal 2 3 3 2" xfId="1118"/>
    <cellStyle name="Normal 2 3 3 2 2" xfId="1119"/>
    <cellStyle name="Normal 2 3 3 3" xfId="1120"/>
    <cellStyle name="Normal 2 3 4" xfId="1121"/>
    <cellStyle name="Normal 2 3 4 2" xfId="1122"/>
    <cellStyle name="Normal 2 3 5" xfId="1123"/>
    <cellStyle name="Normal 2 3 5 2" xfId="1124"/>
    <cellStyle name="Normal 2 4" xfId="1125"/>
    <cellStyle name="Normal 2 4 2" xfId="1126"/>
    <cellStyle name="Normal 2 4 2 2" xfId="1127"/>
    <cellStyle name="Normal 2 4 2 2 2" xfId="1128"/>
    <cellStyle name="Normal 2 4 2 3" xfId="1129"/>
    <cellStyle name="Normal 2 4 2 4" xfId="1130"/>
    <cellStyle name="Normal 2 4 3" xfId="1131"/>
    <cellStyle name="Normal 2 4 3 2" xfId="1132"/>
    <cellStyle name="Normal 2 4 4" xfId="1133"/>
    <cellStyle name="Normal 2 4 4 2" xfId="1134"/>
    <cellStyle name="Normal 2 4 5" xfId="1135"/>
    <cellStyle name="Normal 2 4 6" xfId="1136"/>
    <cellStyle name="Normal 2 45" xfId="1137"/>
    <cellStyle name="Normal 2 5" xfId="1138"/>
    <cellStyle name="Normal 2 6" xfId="1139"/>
    <cellStyle name="Normal 2 6 2" xfId="1140"/>
    <cellStyle name="Normal 2 6 2 2" xfId="1141"/>
    <cellStyle name="Normal 2 6 3" xfId="1142"/>
    <cellStyle name="Normal 2 7" xfId="1143"/>
    <cellStyle name="Normal 2 7 2" xfId="1144"/>
    <cellStyle name="Normal 2 8" xfId="1145"/>
    <cellStyle name="Normal 2 8 2" xfId="1146"/>
    <cellStyle name="Normal 2_Duke - Allocations Disclosure 01.24.12" xfId="1147"/>
    <cellStyle name="Normal 20" xfId="456"/>
    <cellStyle name="Normal 20 2" xfId="491"/>
    <cellStyle name="Normal 200" xfId="1148"/>
    <cellStyle name="Normal 201" xfId="1149"/>
    <cellStyle name="Normal 202" xfId="1150"/>
    <cellStyle name="Normal 203" xfId="1151"/>
    <cellStyle name="Normal 204" xfId="1152"/>
    <cellStyle name="Normal 205" xfId="1153"/>
    <cellStyle name="Normal 206" xfId="1154"/>
    <cellStyle name="Normal 207" xfId="1155"/>
    <cellStyle name="Normal 208" xfId="1156"/>
    <cellStyle name="Normal 209" xfId="1157"/>
    <cellStyle name="Normal 21" xfId="453"/>
    <cellStyle name="Normal 21 2" xfId="489"/>
    <cellStyle name="Normal 21 3" xfId="1158"/>
    <cellStyle name="Normal 210" xfId="1159"/>
    <cellStyle name="Normal 211" xfId="1160"/>
    <cellStyle name="Normal 212" xfId="1161"/>
    <cellStyle name="Normal 213" xfId="1162"/>
    <cellStyle name="Normal 214" xfId="1163"/>
    <cellStyle name="Normal 215" xfId="1164"/>
    <cellStyle name="Normal 216" xfId="1165"/>
    <cellStyle name="Normal 217" xfId="1166"/>
    <cellStyle name="Normal 218" xfId="1167"/>
    <cellStyle name="Normal 219" xfId="1168"/>
    <cellStyle name="Normal 22" xfId="552"/>
    <cellStyle name="Normal 22 2" xfId="1169"/>
    <cellStyle name="Normal 22 3" xfId="1170"/>
    <cellStyle name="Normal 22 4" xfId="1171"/>
    <cellStyle name="Normal 220" xfId="1172"/>
    <cellStyle name="Normal 221" xfId="1173"/>
    <cellStyle name="Normal 222" xfId="1174"/>
    <cellStyle name="Normal 223" xfId="1175"/>
    <cellStyle name="Normal 224" xfId="1176"/>
    <cellStyle name="Normal 225" xfId="1177"/>
    <cellStyle name="Normal 226" xfId="1178"/>
    <cellStyle name="Normal 227" xfId="1179"/>
    <cellStyle name="Normal 228" xfId="1180"/>
    <cellStyle name="Normal 229" xfId="1181"/>
    <cellStyle name="Normal 23" xfId="555"/>
    <cellStyle name="Normal 23 2" xfId="1182"/>
    <cellStyle name="Normal 230" xfId="1183"/>
    <cellStyle name="Normal 231" xfId="1184"/>
    <cellStyle name="Normal 232" xfId="1185"/>
    <cellStyle name="Normal 233" xfId="1186"/>
    <cellStyle name="Normal 234" xfId="1187"/>
    <cellStyle name="Normal 235" xfId="1188"/>
    <cellStyle name="Normal 236" xfId="1189"/>
    <cellStyle name="Normal 237" xfId="1190"/>
    <cellStyle name="Normal 238" xfId="1191"/>
    <cellStyle name="Normal 239" xfId="1192"/>
    <cellStyle name="Normal 24" xfId="557"/>
    <cellStyle name="Normal 24 2" xfId="1193"/>
    <cellStyle name="Normal 240" xfId="1194"/>
    <cellStyle name="Normal 241" xfId="1195"/>
    <cellStyle name="Normal 242" xfId="1196"/>
    <cellStyle name="Normal 243" xfId="1197"/>
    <cellStyle name="Normal 244" xfId="1198"/>
    <cellStyle name="Normal 245" xfId="1199"/>
    <cellStyle name="Normal 246" xfId="1200"/>
    <cellStyle name="Normal 247" xfId="1201"/>
    <cellStyle name="Normal 248" xfId="1202"/>
    <cellStyle name="Normal 249" xfId="1203"/>
    <cellStyle name="Normal 25" xfId="554"/>
    <cellStyle name="Normal 25 2" xfId="1204"/>
    <cellStyle name="Normal 250" xfId="1205"/>
    <cellStyle name="Normal 251" xfId="1206"/>
    <cellStyle name="Normal 252" xfId="1207"/>
    <cellStyle name="Normal 253" xfId="1208"/>
    <cellStyle name="Normal 254" xfId="1209"/>
    <cellStyle name="Normal 255" xfId="1210"/>
    <cellStyle name="Normal 256" xfId="1211"/>
    <cellStyle name="Normal 257" xfId="1212"/>
    <cellStyle name="Normal 258" xfId="1213"/>
    <cellStyle name="Normal 259" xfId="1214"/>
    <cellStyle name="Normal 26" xfId="559"/>
    <cellStyle name="Normal 26 2" xfId="1215"/>
    <cellStyle name="Normal 260" xfId="1216"/>
    <cellStyle name="Normal 261" xfId="1217"/>
    <cellStyle name="Normal 262" xfId="1218"/>
    <cellStyle name="Normal 263" xfId="1219"/>
    <cellStyle name="Normal 264" xfId="1220"/>
    <cellStyle name="Normal 265" xfId="1221"/>
    <cellStyle name="Normal 266" xfId="1222"/>
    <cellStyle name="Normal 267" xfId="1223"/>
    <cellStyle name="Normal 268" xfId="1224"/>
    <cellStyle name="Normal 269" xfId="1623"/>
    <cellStyle name="Normal 27" xfId="560"/>
    <cellStyle name="Normal 27 2" xfId="1225"/>
    <cellStyle name="Normal 28" xfId="563"/>
    <cellStyle name="Normal 28 2" xfId="1226"/>
    <cellStyle name="Normal 29" xfId="561"/>
    <cellStyle name="Normal 29 2" xfId="1227"/>
    <cellStyle name="Normal 3" xfId="4"/>
    <cellStyle name="Normal 3 2" xfId="177"/>
    <cellStyle name="Normal 3 3" xfId="1228"/>
    <cellStyle name="Normal 3_ITC-Great Plains Heintz 6-24-08a" xfId="178"/>
    <cellStyle name="Normal 30" xfId="562"/>
    <cellStyle name="Normal 30 2" xfId="1229"/>
    <cellStyle name="Normal 31" xfId="558"/>
    <cellStyle name="Normal 31 2" xfId="1230"/>
    <cellStyle name="Normal 32" xfId="553"/>
    <cellStyle name="Normal 32 2" xfId="1231"/>
    <cellStyle name="Normal 33" xfId="575"/>
    <cellStyle name="Normal 33 2" xfId="1232"/>
    <cellStyle name="Normal 34" xfId="576"/>
    <cellStyle name="Normal 34 2" xfId="1233"/>
    <cellStyle name="Normal 34 2 2" xfId="1234"/>
    <cellStyle name="Normal 34 2 2 2" xfId="1235"/>
    <cellStyle name="Normal 34 2 3" xfId="1236"/>
    <cellStyle name="Normal 34 3" xfId="1237"/>
    <cellStyle name="Normal 34 3 2" xfId="1238"/>
    <cellStyle name="Normal 34 4" xfId="1239"/>
    <cellStyle name="Normal 35" xfId="1240"/>
    <cellStyle name="Normal 35 2" xfId="1241"/>
    <cellStyle name="Normal 36" xfId="1242"/>
    <cellStyle name="Normal 36 2" xfId="1243"/>
    <cellStyle name="Normal 37" xfId="1244"/>
    <cellStyle name="Normal 37 2" xfId="1245"/>
    <cellStyle name="Normal 38" xfId="1246"/>
    <cellStyle name="Normal 38 2" xfId="1247"/>
    <cellStyle name="Normal 39" xfId="1248"/>
    <cellStyle name="Normal 39 2" xfId="1249"/>
    <cellStyle name="Normal 4" xfId="179"/>
    <cellStyle name="Normal 4 2" xfId="180"/>
    <cellStyle name="Normal 4 2 2" xfId="433"/>
    <cellStyle name="Normal 4 3" xfId="1250"/>
    <cellStyle name="Normal 4 4" xfId="1251"/>
    <cellStyle name="Normal 4_ITC-Great Plains Heintz 6-24-08a" xfId="181"/>
    <cellStyle name="Normal 40" xfId="1252"/>
    <cellStyle name="Normal 40 2" xfId="1253"/>
    <cellStyle name="Normal 41" xfId="1254"/>
    <cellStyle name="Normal 42" xfId="1255"/>
    <cellStyle name="Normal 42 2" xfId="1256"/>
    <cellStyle name="Normal 42 2 2" xfId="1257"/>
    <cellStyle name="Normal 42 2 2 2" xfId="1258"/>
    <cellStyle name="Normal 42 2 3" xfId="1259"/>
    <cellStyle name="Normal 42 3" xfId="1260"/>
    <cellStyle name="Normal 42 3 2" xfId="1261"/>
    <cellStyle name="Normal 42 4" xfId="1262"/>
    <cellStyle name="Normal 43" xfId="1263"/>
    <cellStyle name="Normal 43 2" xfId="1264"/>
    <cellStyle name="Normal 43 2 2" xfId="1265"/>
    <cellStyle name="Normal 43 2 2 2" xfId="1266"/>
    <cellStyle name="Normal 43 2 3" xfId="1267"/>
    <cellStyle name="Normal 43 3" xfId="1268"/>
    <cellStyle name="Normal 43 3 2" xfId="1269"/>
    <cellStyle name="Normal 43 4" xfId="1270"/>
    <cellStyle name="Normal 44" xfId="1271"/>
    <cellStyle name="Normal 44 2" xfId="1272"/>
    <cellStyle name="Normal 44 2 2" xfId="1273"/>
    <cellStyle name="Normal 44 2 2 2" xfId="1274"/>
    <cellStyle name="Normal 44 2 3" xfId="1275"/>
    <cellStyle name="Normal 44 3" xfId="1276"/>
    <cellStyle name="Normal 44 3 2" xfId="1277"/>
    <cellStyle name="Normal 44 4" xfId="1278"/>
    <cellStyle name="Normal 45" xfId="1279"/>
    <cellStyle name="Normal 45 2" xfId="1280"/>
    <cellStyle name="Normal 45 2 2" xfId="1281"/>
    <cellStyle name="Normal 45 2 2 2" xfId="1282"/>
    <cellStyle name="Normal 45 2 3" xfId="1283"/>
    <cellStyle name="Normal 45 3" xfId="1284"/>
    <cellStyle name="Normal 45 3 2" xfId="1285"/>
    <cellStyle name="Normal 45 4" xfId="1286"/>
    <cellStyle name="Normal 46" xfId="1287"/>
    <cellStyle name="Normal 46 2" xfId="1288"/>
    <cellStyle name="Normal 46 2 2" xfId="1289"/>
    <cellStyle name="Normal 46 2 2 2" xfId="1290"/>
    <cellStyle name="Normal 46 2 3" xfId="1291"/>
    <cellStyle name="Normal 46 3" xfId="1292"/>
    <cellStyle name="Normal 46 3 2" xfId="1293"/>
    <cellStyle name="Normal 46 4" xfId="1294"/>
    <cellStyle name="Normal 47" xfId="1295"/>
    <cellStyle name="Normal 47 2" xfId="1296"/>
    <cellStyle name="Normal 47 2 2" xfId="1297"/>
    <cellStyle name="Normal 47 2 2 2" xfId="1298"/>
    <cellStyle name="Normal 47 2 3" xfId="1299"/>
    <cellStyle name="Normal 47 3" xfId="1300"/>
    <cellStyle name="Normal 47 3 2" xfId="1301"/>
    <cellStyle name="Normal 47 4" xfId="1302"/>
    <cellStyle name="Normal 48" xfId="1303"/>
    <cellStyle name="Normal 48 2" xfId="1304"/>
    <cellStyle name="Normal 48 2 2" xfId="1305"/>
    <cellStyle name="Normal 48 2 2 2" xfId="1306"/>
    <cellStyle name="Normal 48 2 3" xfId="1307"/>
    <cellStyle name="Normal 48 3" xfId="1308"/>
    <cellStyle name="Normal 48 3 2" xfId="1309"/>
    <cellStyle name="Normal 48 4" xfId="1310"/>
    <cellStyle name="Normal 49" xfId="1311"/>
    <cellStyle name="Normal 49 2" xfId="1312"/>
    <cellStyle name="Normal 5" xfId="182"/>
    <cellStyle name="Normal 5 2" xfId="1313"/>
    <cellStyle name="Normal 5 2 2" xfId="1314"/>
    <cellStyle name="Normal 5 2 2 2" xfId="1315"/>
    <cellStyle name="Normal 5 2 3" xfId="1316"/>
    <cellStyle name="Normal 5 3" xfId="1317"/>
    <cellStyle name="Normal 5 3 2" xfId="1318"/>
    <cellStyle name="Normal 5 4" xfId="1319"/>
    <cellStyle name="Normal 5 4 2" xfId="1320"/>
    <cellStyle name="Normal 5 5" xfId="1321"/>
    <cellStyle name="Normal 5 5 2" xfId="1322"/>
    <cellStyle name="Normal 50" xfId="1323"/>
    <cellStyle name="Normal 50 2" xfId="1324"/>
    <cellStyle name="Normal 50 2 2" xfId="1325"/>
    <cellStyle name="Normal 50 2 2 2" xfId="1326"/>
    <cellStyle name="Normal 50 2 3" xfId="1327"/>
    <cellStyle name="Normal 50 3" xfId="1328"/>
    <cellStyle name="Normal 50 3 2" xfId="1329"/>
    <cellStyle name="Normal 50 4" xfId="1330"/>
    <cellStyle name="Normal 51" xfId="1331"/>
    <cellStyle name="Normal 51 2" xfId="1332"/>
    <cellStyle name="Normal 51 2 2" xfId="1333"/>
    <cellStyle name="Normal 51 2 2 2" xfId="1334"/>
    <cellStyle name="Normal 51 2 3" xfId="1335"/>
    <cellStyle name="Normal 51 3" xfId="1336"/>
    <cellStyle name="Normal 51 3 2" xfId="1337"/>
    <cellStyle name="Normal 51 4" xfId="1338"/>
    <cellStyle name="Normal 52" xfId="1339"/>
    <cellStyle name="Normal 52 2" xfId="1340"/>
    <cellStyle name="Normal 52 2 2" xfId="1341"/>
    <cellStyle name="Normal 52 2 2 2" xfId="1342"/>
    <cellStyle name="Normal 52 2 3" xfId="1343"/>
    <cellStyle name="Normal 52 3" xfId="1344"/>
    <cellStyle name="Normal 52 3 2" xfId="1345"/>
    <cellStyle name="Normal 52 4" xfId="1346"/>
    <cellStyle name="Normal 53" xfId="1347"/>
    <cellStyle name="Normal 53 2" xfId="1348"/>
    <cellStyle name="Normal 53 2 2" xfId="1349"/>
    <cellStyle name="Normal 53 2 2 2" xfId="1350"/>
    <cellStyle name="Normal 53 2 3" xfId="1351"/>
    <cellStyle name="Normal 53 3" xfId="1352"/>
    <cellStyle name="Normal 53 3 2" xfId="1353"/>
    <cellStyle name="Normal 53 4" xfId="1354"/>
    <cellStyle name="Normal 54" xfId="1355"/>
    <cellStyle name="Normal 54 2" xfId="1356"/>
    <cellStyle name="Normal 54 2 2" xfId="1357"/>
    <cellStyle name="Normal 54 2 2 2" xfId="1358"/>
    <cellStyle name="Normal 54 2 3" xfId="1359"/>
    <cellStyle name="Normal 54 3" xfId="1360"/>
    <cellStyle name="Normal 54 3 2" xfId="1361"/>
    <cellStyle name="Normal 54 4" xfId="1362"/>
    <cellStyle name="Normal 55" xfId="1363"/>
    <cellStyle name="Normal 55 2" xfId="1364"/>
    <cellStyle name="Normal 55 2 2" xfId="1365"/>
    <cellStyle name="Normal 55 2 2 2" xfId="1366"/>
    <cellStyle name="Normal 55 2 3" xfId="1367"/>
    <cellStyle name="Normal 55 3" xfId="1368"/>
    <cellStyle name="Normal 55 3 2" xfId="1369"/>
    <cellStyle name="Normal 55 4" xfId="1370"/>
    <cellStyle name="Normal 56" xfId="1371"/>
    <cellStyle name="Normal 56 2" xfId="1372"/>
    <cellStyle name="Normal 56 2 2" xfId="1373"/>
    <cellStyle name="Normal 56 2 2 2" xfId="1374"/>
    <cellStyle name="Normal 56 2 3" xfId="1375"/>
    <cellStyle name="Normal 56 3" xfId="1376"/>
    <cellStyle name="Normal 56 3 2" xfId="1377"/>
    <cellStyle name="Normal 56 4" xfId="1378"/>
    <cellStyle name="Normal 57" xfId="1379"/>
    <cellStyle name="Normal 57 2" xfId="1380"/>
    <cellStyle name="Normal 57 2 2" xfId="1381"/>
    <cellStyle name="Normal 57 2 2 2" xfId="1382"/>
    <cellStyle name="Normal 57 2 3" xfId="1383"/>
    <cellStyle name="Normal 57 3" xfId="1384"/>
    <cellStyle name="Normal 57 3 2" xfId="1385"/>
    <cellStyle name="Normal 57 4" xfId="1386"/>
    <cellStyle name="Normal 58" xfId="1387"/>
    <cellStyle name="Normal 58 2" xfId="1388"/>
    <cellStyle name="Normal 58 2 2" xfId="1389"/>
    <cellStyle name="Normal 58 2 2 2" xfId="1390"/>
    <cellStyle name="Normal 58 2 3" xfId="1391"/>
    <cellStyle name="Normal 58 3" xfId="1392"/>
    <cellStyle name="Normal 58 3 2" xfId="1393"/>
    <cellStyle name="Normal 58 4" xfId="1394"/>
    <cellStyle name="Normal 59" xfId="1395"/>
    <cellStyle name="Normal 59 2" xfId="1396"/>
    <cellStyle name="Normal 59 2 2" xfId="1397"/>
    <cellStyle name="Normal 59 2 2 2" xfId="1398"/>
    <cellStyle name="Normal 59 2 3" xfId="1399"/>
    <cellStyle name="Normal 59 3" xfId="1400"/>
    <cellStyle name="Normal 59 3 2" xfId="1401"/>
    <cellStyle name="Normal 59 4" xfId="1402"/>
    <cellStyle name="Normal 6" xfId="15"/>
    <cellStyle name="Normal 6 2" xfId="577"/>
    <cellStyle name="Normal 6 2 2" xfId="1403"/>
    <cellStyle name="Normal 6 3" xfId="1404"/>
    <cellStyle name="Normal 6 4" xfId="1405"/>
    <cellStyle name="Normal 6 4 2" xfId="1406"/>
    <cellStyle name="Normal 60" xfId="1407"/>
    <cellStyle name="Normal 60 2" xfId="1408"/>
    <cellStyle name="Normal 60 2 2" xfId="1409"/>
    <cellStyle name="Normal 60 2 2 2" xfId="1410"/>
    <cellStyle name="Normal 60 2 3" xfId="1411"/>
    <cellStyle name="Normal 60 3" xfId="1412"/>
    <cellStyle name="Normal 60 3 2" xfId="1413"/>
    <cellStyle name="Normal 60 4" xfId="1414"/>
    <cellStyle name="Normal 61" xfId="1415"/>
    <cellStyle name="Normal 61 2" xfId="1416"/>
    <cellStyle name="Normal 61 2 2" xfId="1417"/>
    <cellStyle name="Normal 61 2 2 2" xfId="1418"/>
    <cellStyle name="Normal 61 2 3" xfId="1419"/>
    <cellStyle name="Normal 61 3" xfId="1420"/>
    <cellStyle name="Normal 61 3 2" xfId="1421"/>
    <cellStyle name="Normal 61 4" xfId="1422"/>
    <cellStyle name="Normal 62" xfId="1423"/>
    <cellStyle name="Normal 62 2" xfId="1424"/>
    <cellStyle name="Normal 62 2 2" xfId="1425"/>
    <cellStyle name="Normal 62 2 2 2" xfId="1426"/>
    <cellStyle name="Normal 62 2 3" xfId="1427"/>
    <cellStyle name="Normal 62 3" xfId="1428"/>
    <cellStyle name="Normal 62 3 2" xfId="1429"/>
    <cellStyle name="Normal 62 4" xfId="1430"/>
    <cellStyle name="Normal 63" xfId="1431"/>
    <cellStyle name="Normal 63 2" xfId="1432"/>
    <cellStyle name="Normal 63 2 2" xfId="1433"/>
    <cellStyle name="Normal 63 2 2 2" xfId="1434"/>
    <cellStyle name="Normal 63 2 3" xfId="1435"/>
    <cellStyle name="Normal 63 3" xfId="1436"/>
    <cellStyle name="Normal 63 3 2" xfId="1437"/>
    <cellStyle name="Normal 63 4" xfId="1438"/>
    <cellStyle name="Normal 64" xfId="1439"/>
    <cellStyle name="Normal 64 2" xfId="1440"/>
    <cellStyle name="Normal 64 2 2" xfId="1441"/>
    <cellStyle name="Normal 64 3" xfId="1442"/>
    <cellStyle name="Normal 65" xfId="1443"/>
    <cellStyle name="Normal 65 2" xfId="1444"/>
    <cellStyle name="Normal 65 2 2" xfId="1445"/>
    <cellStyle name="Normal 65 3" xfId="1446"/>
    <cellStyle name="Normal 66" xfId="1447"/>
    <cellStyle name="Normal 66 2" xfId="1448"/>
    <cellStyle name="Normal 66 2 2" xfId="1449"/>
    <cellStyle name="Normal 66 3" xfId="1450"/>
    <cellStyle name="Normal 67" xfId="1451"/>
    <cellStyle name="Normal 67 2" xfId="1452"/>
    <cellStyle name="Normal 67 2 2" xfId="1453"/>
    <cellStyle name="Normal 67 3" xfId="1454"/>
    <cellStyle name="Normal 68" xfId="1455"/>
    <cellStyle name="Normal 68 2" xfId="1456"/>
    <cellStyle name="Normal 68 2 2" xfId="1457"/>
    <cellStyle name="Normal 68 3" xfId="1458"/>
    <cellStyle name="Normal 69" xfId="1459"/>
    <cellStyle name="Normal 69 2" xfId="1460"/>
    <cellStyle name="Normal 7" xfId="326"/>
    <cellStyle name="Normal 7 2" xfId="338"/>
    <cellStyle name="Normal 7 2 2" xfId="1461"/>
    <cellStyle name="Normal 7 2 2 2" xfId="1462"/>
    <cellStyle name="Normal 7 2 3" xfId="1463"/>
    <cellStyle name="Normal 7 3" xfId="1464"/>
    <cellStyle name="Normal 7 3 2" xfId="1465"/>
    <cellStyle name="Normal 7 4" xfId="1466"/>
    <cellStyle name="Normal 7 4 2" xfId="1467"/>
    <cellStyle name="Normal 70" xfId="1468"/>
    <cellStyle name="Normal 71" xfId="1469"/>
    <cellStyle name="Normal 71 2" xfId="1470"/>
    <cellStyle name="Normal 72" xfId="1471"/>
    <cellStyle name="Normal 73" xfId="1472"/>
    <cellStyle name="Normal 73 2" xfId="1473"/>
    <cellStyle name="Normal 74" xfId="1474"/>
    <cellStyle name="Normal 75" xfId="1475"/>
    <cellStyle name="Normal 76" xfId="1476"/>
    <cellStyle name="Normal 76 2" xfId="1477"/>
    <cellStyle name="Normal 77" xfId="1478"/>
    <cellStyle name="Normal 77 2" xfId="1479"/>
    <cellStyle name="Normal 78" xfId="1480"/>
    <cellStyle name="Normal 78 2" xfId="1481"/>
    <cellStyle name="Normal 79" xfId="1482"/>
    <cellStyle name="Normal 79 2" xfId="1483"/>
    <cellStyle name="Normal 8" xfId="328"/>
    <cellStyle name="Normal 8 10" xfId="438"/>
    <cellStyle name="Normal 8 10 2" xfId="479"/>
    <cellStyle name="Normal 8 11" xfId="471"/>
    <cellStyle name="Normal 8 12" xfId="504"/>
    <cellStyle name="Normal 8 2" xfId="339"/>
    <cellStyle name="Normal 8 2 2" xfId="448"/>
    <cellStyle name="Normal 8 2 2 2" xfId="485"/>
    <cellStyle name="Normal 8 2 3" xfId="462"/>
    <cellStyle name="Normal 8 2 3 2" xfId="496"/>
    <cellStyle name="Normal 8 2 4" xfId="440"/>
    <cellStyle name="Normal 8 2 4 2" xfId="480"/>
    <cellStyle name="Normal 8 2 5" xfId="472"/>
    <cellStyle name="Normal 8 2 6" xfId="505"/>
    <cellStyle name="Normal 8 3" xfId="357"/>
    <cellStyle name="Normal 8 3 2" xfId="449"/>
    <cellStyle name="Normal 8 3 2 2" xfId="486"/>
    <cellStyle name="Normal 8 3 3" xfId="463"/>
    <cellStyle name="Normal 8 3 3 2" xfId="497"/>
    <cellStyle name="Normal 8 3 4" xfId="442"/>
    <cellStyle name="Normal 8 3 4 2" xfId="481"/>
    <cellStyle name="Normal 8 3 5" xfId="473"/>
    <cellStyle name="Normal 8 3 6" xfId="506"/>
    <cellStyle name="Normal 8 4" xfId="367"/>
    <cellStyle name="Normal 8 4 2" xfId="451"/>
    <cellStyle name="Normal 8 4 2 2" xfId="488"/>
    <cellStyle name="Normal 8 4 3" xfId="465"/>
    <cellStyle name="Normal 8 4 3 2" xfId="499"/>
    <cellStyle name="Normal 8 4 4" xfId="445"/>
    <cellStyle name="Normal 8 4 4 2" xfId="483"/>
    <cellStyle name="Normal 8 4 5" xfId="475"/>
    <cellStyle name="Normal 8 4 6" xfId="508"/>
    <cellStyle name="Normal 8 5" xfId="415"/>
    <cellStyle name="Normal 8 5 2" xfId="466"/>
    <cellStyle name="Normal 8 5 2 2" xfId="500"/>
    <cellStyle name="Normal 8 5 3" xfId="457"/>
    <cellStyle name="Normal 8 5 3 2" xfId="492"/>
    <cellStyle name="Normal 8 5 4" xfId="476"/>
    <cellStyle name="Normal 8 5 5" xfId="509"/>
    <cellStyle name="Normal 8 6" xfId="419"/>
    <cellStyle name="Normal 8 6 2" xfId="467"/>
    <cellStyle name="Normal 8 6 2 2" xfId="501"/>
    <cellStyle name="Normal 8 6 3" xfId="458"/>
    <cellStyle name="Normal 8 6 3 2" xfId="493"/>
    <cellStyle name="Normal 8 6 4" xfId="477"/>
    <cellStyle name="Normal 8 6 5" xfId="510"/>
    <cellStyle name="Normal 8 7" xfId="421"/>
    <cellStyle name="Normal 8 7 2" xfId="468"/>
    <cellStyle name="Normal 8 7 2 2" xfId="502"/>
    <cellStyle name="Normal 8 7 3" xfId="459"/>
    <cellStyle name="Normal 8 7 3 2" xfId="494"/>
    <cellStyle name="Normal 8 7 4" xfId="478"/>
    <cellStyle name="Normal 8 7 5" xfId="511"/>
    <cellStyle name="Normal 8 8" xfId="447"/>
    <cellStyle name="Normal 8 8 2" xfId="484"/>
    <cellStyle name="Normal 8 9" xfId="461"/>
    <cellStyle name="Normal 8 9 2" xfId="495"/>
    <cellStyle name="Normal 80" xfId="1484"/>
    <cellStyle name="Normal 80 2" xfId="1485"/>
    <cellStyle name="Normal 81" xfId="1486"/>
    <cellStyle name="Normal 81 2" xfId="1487"/>
    <cellStyle name="Normal 82" xfId="1488"/>
    <cellStyle name="Normal 82 2" xfId="1489"/>
    <cellStyle name="Normal 83" xfId="1490"/>
    <cellStyle name="Normal 83 2" xfId="1491"/>
    <cellStyle name="Normal 84" xfId="1492"/>
    <cellStyle name="Normal 84 2" xfId="1493"/>
    <cellStyle name="Normal 85" xfId="1494"/>
    <cellStyle name="Normal 85 2" xfId="1495"/>
    <cellStyle name="Normal 86" xfId="1496"/>
    <cellStyle name="Normal 86 2" xfId="1497"/>
    <cellStyle name="Normal 87" xfId="1498"/>
    <cellStyle name="Normal 87 2" xfId="1499"/>
    <cellStyle name="Normal 88" xfId="1500"/>
    <cellStyle name="Normal 88 2" xfId="1501"/>
    <cellStyle name="Normal 89" xfId="1502"/>
    <cellStyle name="Normal 89 2" xfId="1503"/>
    <cellStyle name="Normal 9" xfId="330"/>
    <cellStyle name="Normal 9 2" xfId="1504"/>
    <cellStyle name="Normal 9 3" xfId="1505"/>
    <cellStyle name="Normal 90" xfId="1506"/>
    <cellStyle name="Normal 90 2" xfId="1507"/>
    <cellStyle name="Normal 91" xfId="1508"/>
    <cellStyle name="Normal 91 2" xfId="1509"/>
    <cellStyle name="Normal 92" xfId="1510"/>
    <cellStyle name="Normal 92 2" xfId="1511"/>
    <cellStyle name="Normal 93" xfId="1512"/>
    <cellStyle name="Normal 93 2" xfId="1513"/>
    <cellStyle name="Normal 94" xfId="1514"/>
    <cellStyle name="Normal 94 2" xfId="1515"/>
    <cellStyle name="Normal 95" xfId="1516"/>
    <cellStyle name="Normal 95 2" xfId="1517"/>
    <cellStyle name="Normal 96" xfId="1518"/>
    <cellStyle name="Normal 96 2" xfId="1519"/>
    <cellStyle name="Normal 97" xfId="1520"/>
    <cellStyle name="Normal 97 2" xfId="1521"/>
    <cellStyle name="Normal 98" xfId="1522"/>
    <cellStyle name="Normal 98 2" xfId="1523"/>
    <cellStyle name="Normal 99" xfId="1524"/>
    <cellStyle name="Normal 99 2" xfId="1525"/>
    <cellStyle name="Normal_2002 A to BK TLF Recon WVPA" xfId="5"/>
    <cellStyle name="Normal_2002 A to BK TLF Recon WVPA 2" xfId="369"/>
    <cellStyle name="Normal_Advertising expense query - 3.29.07" xfId="6"/>
    <cellStyle name="Normal_Advertising expense query - 3.29.07 2" xfId="370"/>
    <cellStyle name="Normal_Cinergy Revenue Credits by Operating Company" xfId="7"/>
    <cellStyle name="Normal_Cinergy Revenue Credits by Operating Company 2" xfId="355"/>
    <cellStyle name="Normal_FERC Functional M&amp;S All Cos" xfId="8"/>
    <cellStyle name="Normal_FERC Functional M&amp;S All Cos 2" xfId="423"/>
    <cellStyle name="Normal_FN1 Ratebase Draft SPP template (6-11-04) v2" xfId="325"/>
    <cellStyle name="Normal_MISO DEO Cap Structure 2007 " xfId="9"/>
    <cellStyle name="Normal_Schedule B-2" xfId="329"/>
    <cellStyle name="Normal_Support 2003 PSI Peak Demand excluding Joint Owners" xfId="10"/>
    <cellStyle name="Normal_Support 2003 PSI Peak Demand excluding Joint Owners 2" xfId="371"/>
    <cellStyle name="Normal_Support 2003 PSI Peak Demand excluding Joint Owners 2 2" xfId="1624"/>
    <cellStyle name="Note 10" xfId="1526"/>
    <cellStyle name="Note 11" xfId="1527"/>
    <cellStyle name="Note 12" xfId="1528"/>
    <cellStyle name="Note 13" xfId="1529"/>
    <cellStyle name="Note 14" xfId="1530"/>
    <cellStyle name="Note 15" xfId="1531"/>
    <cellStyle name="Note 16" xfId="1532"/>
    <cellStyle name="Note 17" xfId="1533"/>
    <cellStyle name="Note 18" xfId="1534"/>
    <cellStyle name="Note 19" xfId="1535"/>
    <cellStyle name="Note 2" xfId="556"/>
    <cellStyle name="Note 2 2" xfId="1536"/>
    <cellStyle name="Note 2 2 2" xfId="1537"/>
    <cellStyle name="Note 2 2 2 2" xfId="1538"/>
    <cellStyle name="Note 2 3" xfId="1539"/>
    <cellStyle name="Note 20" xfId="1540"/>
    <cellStyle name="Note 20 2" xfId="1541"/>
    <cellStyle name="Note 21" xfId="1542"/>
    <cellStyle name="Note 22" xfId="1543"/>
    <cellStyle name="Note 23" xfId="1544"/>
    <cellStyle name="Note 24" xfId="1545"/>
    <cellStyle name="Note 25" xfId="1546"/>
    <cellStyle name="Note 26" xfId="1547"/>
    <cellStyle name="Note 27" xfId="1548"/>
    <cellStyle name="Note 3" xfId="1549"/>
    <cellStyle name="Note 3 2" xfId="1550"/>
    <cellStyle name="Note 3 2 2" xfId="1551"/>
    <cellStyle name="Note 3 2 2 2" xfId="1552"/>
    <cellStyle name="Note 3 2 3" xfId="1553"/>
    <cellStyle name="Note 3 3" xfId="1554"/>
    <cellStyle name="Note 3 3 2" xfId="1555"/>
    <cellStyle name="Note 4" xfId="1556"/>
    <cellStyle name="Note 5" xfId="1557"/>
    <cellStyle name="Note 6" xfId="1558"/>
    <cellStyle name="Note 7" xfId="1559"/>
    <cellStyle name="Note 7 2" xfId="1560"/>
    <cellStyle name="Note 8" xfId="1561"/>
    <cellStyle name="Note 9" xfId="1562"/>
    <cellStyle name="Output" xfId="521" builtinId="21" customBuiltin="1"/>
    <cellStyle name="Output 2" xfId="1563"/>
    <cellStyle name="Output 2 2" xfId="1564"/>
    <cellStyle name="Output 2 3" xfId="1565"/>
    <cellStyle name="Output 3" xfId="1566"/>
    <cellStyle name="Output 4" xfId="1567"/>
    <cellStyle name="Output Report Heading_C_BS5_D_C_YTD_CONSG_ALL_U" xfId="1568"/>
    <cellStyle name="Output1_Back" xfId="183"/>
    <cellStyle name="p" xfId="184"/>
    <cellStyle name="p_2010 Attachment O  GG_082709" xfId="185"/>
    <cellStyle name="p_2010 Attachment O Template Supporting Work Papers_ITC Midwest" xfId="186"/>
    <cellStyle name="p_2010 Attachment O Template Supporting Work Papers_ITCTransmission" xfId="187"/>
    <cellStyle name="p_2010 Attachment O Template Supporting Work Papers_METC" xfId="188"/>
    <cellStyle name="p_2Mod11" xfId="189"/>
    <cellStyle name="p_aavidmod11.xls Chart 1" xfId="190"/>
    <cellStyle name="p_aavidmod11.xls Chart 2" xfId="191"/>
    <cellStyle name="p_Attachment O &amp; GG" xfId="192"/>
    <cellStyle name="p_charts for capm" xfId="193"/>
    <cellStyle name="p_DCF" xfId="194"/>
    <cellStyle name="p_DCF_2Mod11" xfId="195"/>
    <cellStyle name="p_DCF_aavidmod11.xls Chart 1" xfId="196"/>
    <cellStyle name="p_DCF_aavidmod11.xls Chart 2" xfId="197"/>
    <cellStyle name="p_DCF_charts for capm" xfId="198"/>
    <cellStyle name="p_DCF_DCF5" xfId="199"/>
    <cellStyle name="p_DCF_Template2" xfId="200"/>
    <cellStyle name="p_DCF_Template2_1" xfId="201"/>
    <cellStyle name="p_DCF_VERA" xfId="202"/>
    <cellStyle name="p_DCF_VERA_1" xfId="203"/>
    <cellStyle name="p_DCF_VERA_1_Template2" xfId="204"/>
    <cellStyle name="p_DCF_VERA_aavidmod11.xls Chart 2" xfId="205"/>
    <cellStyle name="p_DCF_VERA_Model02" xfId="206"/>
    <cellStyle name="p_DCF_VERA_Template2" xfId="207"/>
    <cellStyle name="p_DCF_VERA_VERA" xfId="208"/>
    <cellStyle name="p_DCF_VERA_VERA_1" xfId="209"/>
    <cellStyle name="p_DCF_VERA_VERA_2" xfId="210"/>
    <cellStyle name="p_DCF_VERA_VERA_Template2" xfId="211"/>
    <cellStyle name="p_DCF5" xfId="212"/>
    <cellStyle name="p_ITC Great Plains Formula 1-12-09a" xfId="213"/>
    <cellStyle name="p_ITCM 2010 Template" xfId="214"/>
    <cellStyle name="p_ITCMW 2009 Rate" xfId="215"/>
    <cellStyle name="p_ITCMW 2010 Rate_083109" xfId="216"/>
    <cellStyle name="p_ITCOP 2010 Rate_083109" xfId="217"/>
    <cellStyle name="p_ITCT 2009 Rate" xfId="218"/>
    <cellStyle name="p_ITCT New 2010 Attachment O &amp; GG_111209NL" xfId="219"/>
    <cellStyle name="p_METC 2010 Rate_083109" xfId="220"/>
    <cellStyle name="p_Template2" xfId="221"/>
    <cellStyle name="p_Template2_1" xfId="222"/>
    <cellStyle name="p_VERA" xfId="223"/>
    <cellStyle name="p_VERA_1" xfId="224"/>
    <cellStyle name="p_VERA_1_Template2" xfId="225"/>
    <cellStyle name="p_VERA_aavidmod11.xls Chart 2" xfId="226"/>
    <cellStyle name="p_VERA_Model02" xfId="227"/>
    <cellStyle name="p_VERA_Template2" xfId="228"/>
    <cellStyle name="p_VERA_VERA" xfId="229"/>
    <cellStyle name="p_VERA_VERA_1" xfId="230"/>
    <cellStyle name="p_VERA_VERA_2" xfId="231"/>
    <cellStyle name="p_VERA_VERA_Template2" xfId="232"/>
    <cellStyle name="p1" xfId="233"/>
    <cellStyle name="p2" xfId="234"/>
    <cellStyle name="p3" xfId="235"/>
    <cellStyle name="Percent %" xfId="236"/>
    <cellStyle name="Percent % Long Underline" xfId="237"/>
    <cellStyle name="Percent (0)" xfId="238"/>
    <cellStyle name="Percent [0]" xfId="239"/>
    <cellStyle name="Percent [1]" xfId="240"/>
    <cellStyle name="Percent [2]" xfId="241"/>
    <cellStyle name="Percent [3]" xfId="242"/>
    <cellStyle name="Percent 0.0%" xfId="243"/>
    <cellStyle name="Percent 0.0% Long Underline" xfId="244"/>
    <cellStyle name="Percent 0.00%" xfId="245"/>
    <cellStyle name="Percent 0.00% Long Underline" xfId="246"/>
    <cellStyle name="Percent 0.000%" xfId="247"/>
    <cellStyle name="Percent 0.000% Long Underline" xfId="248"/>
    <cellStyle name="Percent 0.0000%" xfId="249"/>
    <cellStyle name="Percent 0.0000% Long Underline" xfId="250"/>
    <cellStyle name="Percent 10" xfId="1569"/>
    <cellStyle name="Percent 10 2" xfId="1570"/>
    <cellStyle name="Percent 11" xfId="1571"/>
    <cellStyle name="Percent 12" xfId="1572"/>
    <cellStyle name="Percent 2" xfId="11"/>
    <cellStyle name="Percent 2 2" xfId="251"/>
    <cellStyle name="Percent 2 2 2" xfId="1573"/>
    <cellStyle name="Percent 2 2 2 2" xfId="1574"/>
    <cellStyle name="Percent 2 2 2 3" xfId="1575"/>
    <cellStyle name="Percent 2 2 2 4" xfId="1576"/>
    <cellStyle name="Percent 2 2 2 5" xfId="1577"/>
    <cellStyle name="Percent 2 2 2 6" xfId="1578"/>
    <cellStyle name="Percent 2 2 2 7" xfId="1579"/>
    <cellStyle name="Percent 2 2 2 8" xfId="1580"/>
    <cellStyle name="Percent 2 3" xfId="1581"/>
    <cellStyle name="Percent 2 3 2" xfId="1582"/>
    <cellStyle name="Percent 2 4" xfId="1583"/>
    <cellStyle name="Percent 2 4 2" xfId="1584"/>
    <cellStyle name="Percent 3" xfId="252"/>
    <cellStyle name="Percent 3 2" xfId="253"/>
    <cellStyle name="Percent 3 3" xfId="1585"/>
    <cellStyle name="Percent 4" xfId="333"/>
    <cellStyle name="Percent 4 2" xfId="1586"/>
    <cellStyle name="Percent 5" xfId="335"/>
    <cellStyle name="Percent 5 2" xfId="1587"/>
    <cellStyle name="Percent 5 3" xfId="1588"/>
    <cellStyle name="Percent 6" xfId="579"/>
    <cellStyle name="Percent 7" xfId="1589"/>
    <cellStyle name="Percent 8" xfId="1590"/>
    <cellStyle name="Percent 8 2" xfId="1591"/>
    <cellStyle name="Percent 9" xfId="1592"/>
    <cellStyle name="Percent Input" xfId="254"/>
    <cellStyle name="Percent0" xfId="255"/>
    <cellStyle name="Percent1" xfId="256"/>
    <cellStyle name="Percent2" xfId="257"/>
    <cellStyle name="PSChar" xfId="258"/>
    <cellStyle name="PSDate" xfId="259"/>
    <cellStyle name="PSDec" xfId="260"/>
    <cellStyle name="PSdesc" xfId="261"/>
    <cellStyle name="PSDetail" xfId="1593"/>
    <cellStyle name="PSHeading" xfId="262"/>
    <cellStyle name="PSInt" xfId="263"/>
    <cellStyle name="PSSpacer" xfId="264"/>
    <cellStyle name="PStest" xfId="265"/>
    <cellStyle name="R00A" xfId="266"/>
    <cellStyle name="R00B" xfId="267"/>
    <cellStyle name="R00L" xfId="268"/>
    <cellStyle name="R01A" xfId="269"/>
    <cellStyle name="R01B" xfId="270"/>
    <cellStyle name="R01H" xfId="271"/>
    <cellStyle name="R01L" xfId="272"/>
    <cellStyle name="R02A" xfId="273"/>
    <cellStyle name="R02B" xfId="274"/>
    <cellStyle name="R02H" xfId="275"/>
    <cellStyle name="R02L" xfId="276"/>
    <cellStyle name="R03A" xfId="277"/>
    <cellStyle name="R03B" xfId="278"/>
    <cellStyle name="R03H" xfId="279"/>
    <cellStyle name="R03L" xfId="280"/>
    <cellStyle name="R04A" xfId="281"/>
    <cellStyle name="R04B" xfId="282"/>
    <cellStyle name="R04H" xfId="283"/>
    <cellStyle name="R04L" xfId="284"/>
    <cellStyle name="R05A" xfId="285"/>
    <cellStyle name="R05B" xfId="286"/>
    <cellStyle name="R05H" xfId="287"/>
    <cellStyle name="R05L" xfId="288"/>
    <cellStyle name="R06A" xfId="289"/>
    <cellStyle name="R06B" xfId="290"/>
    <cellStyle name="R06H" xfId="291"/>
    <cellStyle name="R06L" xfId="292"/>
    <cellStyle name="R07A" xfId="293"/>
    <cellStyle name="R07B" xfId="294"/>
    <cellStyle name="R07H" xfId="295"/>
    <cellStyle name="R07L" xfId="296"/>
    <cellStyle name="rborder" xfId="297"/>
    <cellStyle name="red" xfId="298"/>
    <cellStyle name="robyn" xfId="1594"/>
    <cellStyle name="s_HardInc " xfId="299"/>
    <cellStyle name="s_HardInc _ITC Great Plains Formula 1-12-09a" xfId="300"/>
    <cellStyle name="scenario" xfId="301"/>
    <cellStyle name="SectionHeaderNormal" xfId="1595"/>
    <cellStyle name="Sheetmult" xfId="302"/>
    <cellStyle name="Short Date" xfId="1596"/>
    <cellStyle name="Short Date 2" xfId="1597"/>
    <cellStyle name="Shtmultx" xfId="303"/>
    <cellStyle name="Smart General" xfId="1598"/>
    <cellStyle name="Style 1" xfId="304"/>
    <cellStyle name="STYLE1" xfId="305"/>
    <cellStyle name="STYLE2" xfId="306"/>
    <cellStyle name="SubScript" xfId="1599"/>
    <cellStyle name="SuperScript" xfId="1600"/>
    <cellStyle name="TableHeading" xfId="307"/>
    <cellStyle name="tb" xfId="308"/>
    <cellStyle name="TextBold" xfId="1601"/>
    <cellStyle name="TextItalic" xfId="1602"/>
    <cellStyle name="TextNormal" xfId="1603"/>
    <cellStyle name="Tickmark" xfId="309"/>
    <cellStyle name="Title" xfId="512" builtinId="15" customBuiltin="1"/>
    <cellStyle name="Title 2" xfId="1604"/>
    <cellStyle name="Title 2 2" xfId="1605"/>
    <cellStyle name="Title 2 3" xfId="1606"/>
    <cellStyle name="Title 3" xfId="1607"/>
    <cellStyle name="Title 4" xfId="1608"/>
    <cellStyle name="Title1" xfId="310"/>
    <cellStyle name="TitleNormal" xfId="1609"/>
    <cellStyle name="top" xfId="311"/>
    <cellStyle name="Total" xfId="527" builtinId="25" customBuiltin="1"/>
    <cellStyle name="Total 2" xfId="1610"/>
    <cellStyle name="Total 2 2" xfId="1611"/>
    <cellStyle name="Total 2 3" xfId="1612"/>
    <cellStyle name="Total 3" xfId="1613"/>
    <cellStyle name="Total 4" xfId="1614"/>
    <cellStyle name="Undefined" xfId="1615"/>
    <cellStyle name="Unprot" xfId="1616"/>
    <cellStyle name="Unprot$" xfId="1617"/>
    <cellStyle name="Unprotect" xfId="1618"/>
    <cellStyle name="w" xfId="312"/>
    <cellStyle name="Warning Text" xfId="525" builtinId="11" customBuiltin="1"/>
    <cellStyle name="Warning Text 2" xfId="1619"/>
    <cellStyle name="Warning Text 2 2" xfId="1620"/>
    <cellStyle name="Warning Text 2 3" xfId="1621"/>
    <cellStyle name="Warning Text 3" xfId="1622"/>
    <cellStyle name="XComma" xfId="313"/>
    <cellStyle name="XComma 0.0" xfId="314"/>
    <cellStyle name="XComma 0.00" xfId="315"/>
    <cellStyle name="XComma 0.000" xfId="316"/>
    <cellStyle name="XCurrency" xfId="317"/>
    <cellStyle name="XCurrency 0.0" xfId="318"/>
    <cellStyle name="XCurrency 0.00" xfId="319"/>
    <cellStyle name="XCurrency 0.000" xfId="320"/>
    <cellStyle name="yra" xfId="321"/>
    <cellStyle name="yrActual" xfId="322"/>
    <cellStyle name="yre" xfId="323"/>
    <cellStyle name="yrExpect" xfId="324"/>
  </cellStyles>
  <dxfs count="0"/>
  <tableStyles count="0" defaultTableStyle="TableStyleMedium9" defaultPivotStyle="PivotStyleLight16"/>
  <colors>
    <mruColors>
      <color rgb="FFFF3399"/>
      <color rgb="FFFFFF99"/>
      <color rgb="FF0000FF"/>
      <color rgb="FF66FFFF"/>
      <color rgb="FF00FF00"/>
      <color rgb="FFFF3300"/>
      <color rgb="FFCCFFFF"/>
      <color rgb="FFFFFFCC"/>
      <color rgb="FF990000"/>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1</xdr:row>
          <xdr:rowOff>19050</xdr:rowOff>
        </xdr:from>
        <xdr:to>
          <xdr:col>8</xdr:col>
          <xdr:colOff>714375</xdr:colOff>
          <xdr:row>5</xdr:row>
          <xdr:rowOff>0</xdr:rowOff>
        </xdr:to>
        <xdr:sp macro="" textlink="">
          <xdr:nvSpPr>
            <xdr:cNvPr id="35841" name="Button 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FF0000"/>
                  </a:solidFill>
                  <a:latin typeface="Arial MT"/>
                </a:rPr>
                <a:t>H-22A </a:t>
              </a:r>
            </a:p>
            <a:p>
              <a:pPr algn="ctr" rtl="0">
                <a:defRPr sz="1000"/>
              </a:pPr>
              <a:r>
                <a:rPr lang="en-US" sz="1200" b="0" i="0" u="none" strike="noStrike" baseline="0">
                  <a:solidFill>
                    <a:srgbClr val="FF0000"/>
                  </a:solidFill>
                  <a:latin typeface="Arial MT"/>
                </a:rPr>
                <a:t>DE OH &amp; KY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1</xdr:row>
          <xdr:rowOff>0</xdr:rowOff>
        </xdr:from>
        <xdr:to>
          <xdr:col>12</xdr:col>
          <xdr:colOff>0</xdr:colOff>
          <xdr:row>4</xdr:row>
          <xdr:rowOff>180975</xdr:rowOff>
        </xdr:to>
        <xdr:sp macro="" textlink="">
          <xdr:nvSpPr>
            <xdr:cNvPr id="35842" name="Button 2" hidden="1">
              <a:extLst>
                <a:ext uri="{63B3BB69-23CF-44E3-9099-C40C66FF867C}">
                  <a14:compatExt spid="_x0000_s35842"/>
                </a:ext>
                <a:ext uri="{FF2B5EF4-FFF2-40B4-BE49-F238E27FC236}">
                  <a16:creationId xmlns:a16="http://schemas.microsoft.com/office/drawing/2014/main" id="{00000000-0008-0000-0000-000002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FF0000"/>
                  </a:solidFill>
                  <a:latin typeface="Arial MT"/>
                </a:rPr>
                <a:t>H-22A </a:t>
              </a:r>
            </a:p>
            <a:p>
              <a:pPr algn="ctr" rtl="0">
                <a:defRPr sz="1000"/>
              </a:pPr>
              <a:r>
                <a:rPr lang="en-US" sz="1200" b="0" i="0" u="none" strike="noStrike" baseline="0">
                  <a:solidFill>
                    <a:srgbClr val="FF0000"/>
                  </a:solidFill>
                  <a:latin typeface="Arial MT"/>
                </a:rPr>
                <a:t>DE Ohio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219075</xdr:colOff>
          <xdr:row>1</xdr:row>
          <xdr:rowOff>9525</xdr:rowOff>
        </xdr:from>
        <xdr:to>
          <xdr:col>14</xdr:col>
          <xdr:colOff>714375</xdr:colOff>
          <xdr:row>5</xdr:row>
          <xdr:rowOff>19050</xdr:rowOff>
        </xdr:to>
        <xdr:sp macro="" textlink="">
          <xdr:nvSpPr>
            <xdr:cNvPr id="35843" name="Button 3" hidden="1">
              <a:extLst>
                <a:ext uri="{63B3BB69-23CF-44E3-9099-C40C66FF867C}">
                  <a14:compatExt spid="_x0000_s35843"/>
                </a:ext>
                <a:ext uri="{FF2B5EF4-FFF2-40B4-BE49-F238E27FC236}">
                  <a16:creationId xmlns:a16="http://schemas.microsoft.com/office/drawing/2014/main" id="{00000000-0008-0000-0000-000003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FF0000"/>
                  </a:solidFill>
                  <a:latin typeface="Arial MT"/>
                </a:rPr>
                <a:t>H-22A</a:t>
              </a:r>
            </a:p>
            <a:p>
              <a:pPr algn="ctr" rtl="0">
                <a:defRPr sz="1000"/>
              </a:pPr>
              <a:r>
                <a:rPr lang="en-US" sz="1200" b="0" i="0" u="none" strike="noStrike" baseline="0">
                  <a:solidFill>
                    <a:srgbClr val="FF0000"/>
                  </a:solidFill>
                  <a:latin typeface="Arial MT"/>
                </a:rPr>
                <a:t>DE Kentucky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xdr:row>
          <xdr:rowOff>19050</xdr:rowOff>
        </xdr:from>
        <xdr:to>
          <xdr:col>5</xdr:col>
          <xdr:colOff>714375</xdr:colOff>
          <xdr:row>5</xdr:row>
          <xdr:rowOff>0</xdr:rowOff>
        </xdr:to>
        <xdr:sp macro="" textlink="">
          <xdr:nvSpPr>
            <xdr:cNvPr id="35844" name="Button 4" hidden="1">
              <a:extLst>
                <a:ext uri="{63B3BB69-23CF-44E3-9099-C40C66FF867C}">
                  <a14:compatExt spid="_x0000_s35844"/>
                </a:ext>
                <a:ext uri="{FF2B5EF4-FFF2-40B4-BE49-F238E27FC236}">
                  <a16:creationId xmlns:a16="http://schemas.microsoft.com/office/drawing/2014/main" id="{00000000-0008-0000-0000-000004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FF0000"/>
                  </a:solidFill>
                  <a:latin typeface="Arial MT"/>
                </a:rPr>
                <a:t>ATTACHMENT </a:t>
              </a:r>
            </a:p>
            <a:p>
              <a:pPr algn="ctr" rtl="0">
                <a:defRPr sz="1000"/>
              </a:pPr>
              <a:r>
                <a:rPr lang="en-US" sz="1200" b="0" i="0" u="none" strike="noStrike" baseline="0">
                  <a:solidFill>
                    <a:srgbClr val="FF0000"/>
                  </a:solidFill>
                  <a:latin typeface="Arial MT"/>
                </a:rPr>
                <a:t>H-22A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6</xdr:row>
          <xdr:rowOff>19050</xdr:rowOff>
        </xdr:from>
        <xdr:to>
          <xdr:col>5</xdr:col>
          <xdr:colOff>714375</xdr:colOff>
          <xdr:row>10</xdr:row>
          <xdr:rowOff>9525</xdr:rowOff>
        </xdr:to>
        <xdr:sp macro="" textlink="">
          <xdr:nvSpPr>
            <xdr:cNvPr id="35845" name="Button 5" hidden="1">
              <a:extLst>
                <a:ext uri="{63B3BB69-23CF-44E3-9099-C40C66FF867C}">
                  <a14:compatExt spid="_x0000_s35845"/>
                </a:ext>
                <a:ext uri="{FF2B5EF4-FFF2-40B4-BE49-F238E27FC236}">
                  <a16:creationId xmlns:a16="http://schemas.microsoft.com/office/drawing/2014/main" id="{00000000-0008-0000-0000-000005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333399"/>
                  </a:solidFill>
                  <a:latin typeface="Arial MT"/>
                </a:rPr>
                <a:t>APPENDIX B</a:t>
              </a:r>
            </a:p>
            <a:p>
              <a:pPr algn="ctr" rtl="0">
                <a:defRPr sz="1000"/>
              </a:pPr>
              <a:r>
                <a:rPr lang="en-US" sz="1200" b="0" i="0" u="none" strike="noStrike" baseline="0">
                  <a:solidFill>
                    <a:srgbClr val="333399"/>
                  </a:solidFill>
                  <a:latin typeface="Arial MT"/>
                </a:rPr>
                <a:t>(RTEP)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6</xdr:row>
          <xdr:rowOff>57150</xdr:rowOff>
        </xdr:from>
        <xdr:to>
          <xdr:col>8</xdr:col>
          <xdr:colOff>714375</xdr:colOff>
          <xdr:row>10</xdr:row>
          <xdr:rowOff>38100</xdr:rowOff>
        </xdr:to>
        <xdr:sp macro="" textlink="">
          <xdr:nvSpPr>
            <xdr:cNvPr id="35846" name="Button 6" hidden="1">
              <a:extLst>
                <a:ext uri="{63B3BB69-23CF-44E3-9099-C40C66FF867C}">
                  <a14:compatExt spid="_x0000_s35846"/>
                </a:ext>
                <a:ext uri="{FF2B5EF4-FFF2-40B4-BE49-F238E27FC236}">
                  <a16:creationId xmlns:a16="http://schemas.microsoft.com/office/drawing/2014/main" id="{00000000-0008-0000-0000-000006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333399"/>
                  </a:solidFill>
                  <a:latin typeface="Arial MT"/>
                </a:rPr>
                <a:t>APPENDIX B</a:t>
              </a:r>
            </a:p>
            <a:p>
              <a:pPr algn="ctr" rtl="0">
                <a:defRPr sz="1000"/>
              </a:pPr>
              <a:r>
                <a:rPr lang="en-US" sz="1200" b="0" i="0" u="none" strike="noStrike" baseline="0">
                  <a:solidFill>
                    <a:srgbClr val="333399"/>
                  </a:solidFill>
                  <a:latin typeface="Arial MT"/>
                </a:rPr>
                <a:t>DE OH &amp; KY</a:t>
              </a:r>
            </a:p>
            <a:p>
              <a:pPr algn="ctr" rtl="0">
                <a:defRPr sz="1000"/>
              </a:pPr>
              <a:r>
                <a:rPr lang="en-US" sz="1200" b="0" i="0" u="none" strike="noStrike" baseline="0">
                  <a:solidFill>
                    <a:srgbClr val="333399"/>
                  </a:solidFill>
                  <a:latin typeface="Arial MT"/>
                </a:rPr>
                <a:t>(RTEP)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6</xdr:row>
          <xdr:rowOff>66675</xdr:rowOff>
        </xdr:from>
        <xdr:to>
          <xdr:col>11</xdr:col>
          <xdr:colOff>714375</xdr:colOff>
          <xdr:row>10</xdr:row>
          <xdr:rowOff>57150</xdr:rowOff>
        </xdr:to>
        <xdr:sp macro="" textlink="">
          <xdr:nvSpPr>
            <xdr:cNvPr id="35847" name="Button 7" hidden="1">
              <a:extLst>
                <a:ext uri="{63B3BB69-23CF-44E3-9099-C40C66FF867C}">
                  <a14:compatExt spid="_x0000_s35847"/>
                </a:ext>
                <a:ext uri="{FF2B5EF4-FFF2-40B4-BE49-F238E27FC236}">
                  <a16:creationId xmlns:a16="http://schemas.microsoft.com/office/drawing/2014/main" id="{00000000-0008-0000-0000-000007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333399"/>
                  </a:solidFill>
                  <a:latin typeface="Arial MT"/>
                </a:rPr>
                <a:t>APPENDIX B</a:t>
              </a:r>
            </a:p>
            <a:p>
              <a:pPr algn="ctr" rtl="0">
                <a:defRPr sz="1000"/>
              </a:pPr>
              <a:r>
                <a:rPr lang="en-US" sz="1200" b="0" i="0" u="none" strike="noStrike" baseline="0">
                  <a:solidFill>
                    <a:srgbClr val="333399"/>
                  </a:solidFill>
                  <a:latin typeface="Arial MT"/>
                </a:rPr>
                <a:t>DE Ohio</a:t>
              </a:r>
            </a:p>
            <a:p>
              <a:pPr algn="ctr" rtl="0">
                <a:defRPr sz="1000"/>
              </a:pPr>
              <a:r>
                <a:rPr lang="en-US" sz="1200" b="0" i="0" u="none" strike="noStrike" baseline="0">
                  <a:solidFill>
                    <a:srgbClr val="333399"/>
                  </a:solidFill>
                  <a:latin typeface="Arial MT"/>
                </a:rPr>
                <a:t>(RTEP)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0</xdr:colOff>
          <xdr:row>6</xdr:row>
          <xdr:rowOff>66675</xdr:rowOff>
        </xdr:from>
        <xdr:to>
          <xdr:col>14</xdr:col>
          <xdr:colOff>714375</xdr:colOff>
          <xdr:row>10</xdr:row>
          <xdr:rowOff>57150</xdr:rowOff>
        </xdr:to>
        <xdr:sp macro="" textlink="">
          <xdr:nvSpPr>
            <xdr:cNvPr id="35848" name="Button 8" hidden="1">
              <a:extLst>
                <a:ext uri="{63B3BB69-23CF-44E3-9099-C40C66FF867C}">
                  <a14:compatExt spid="_x0000_s35848"/>
                </a:ext>
                <a:ext uri="{FF2B5EF4-FFF2-40B4-BE49-F238E27FC236}">
                  <a16:creationId xmlns:a16="http://schemas.microsoft.com/office/drawing/2014/main" id="{00000000-0008-0000-0000-000008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333399"/>
                  </a:solidFill>
                  <a:latin typeface="Arial MT"/>
                </a:rPr>
                <a:t>APPENDIX B</a:t>
              </a:r>
            </a:p>
            <a:p>
              <a:pPr algn="ctr" rtl="0">
                <a:defRPr sz="1000"/>
              </a:pPr>
              <a:r>
                <a:rPr lang="en-US" sz="1200" b="0" i="0" u="none" strike="noStrike" baseline="0">
                  <a:solidFill>
                    <a:srgbClr val="333399"/>
                  </a:solidFill>
                  <a:latin typeface="Arial MT"/>
                </a:rPr>
                <a:t>DE Kentucky</a:t>
              </a:r>
            </a:p>
            <a:p>
              <a:pPr algn="ctr" rtl="0">
                <a:defRPr sz="1000"/>
              </a:pPr>
              <a:r>
                <a:rPr lang="en-US" sz="1200" b="0" i="0" u="none" strike="noStrike" baseline="0">
                  <a:solidFill>
                    <a:srgbClr val="333399"/>
                  </a:solidFill>
                  <a:latin typeface="Arial MT"/>
                </a:rPr>
                <a:t>(RTEP)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11</xdr:row>
          <xdr:rowOff>47625</xdr:rowOff>
        </xdr:from>
        <xdr:to>
          <xdr:col>5</xdr:col>
          <xdr:colOff>714375</xdr:colOff>
          <xdr:row>15</xdr:row>
          <xdr:rowOff>28575</xdr:rowOff>
        </xdr:to>
        <xdr:sp macro="" textlink="">
          <xdr:nvSpPr>
            <xdr:cNvPr id="35849" name="Button 9" hidden="1">
              <a:extLst>
                <a:ext uri="{63B3BB69-23CF-44E3-9099-C40C66FF867C}">
                  <a14:compatExt spid="_x0000_s35849"/>
                </a:ext>
                <a:ext uri="{FF2B5EF4-FFF2-40B4-BE49-F238E27FC236}">
                  <a16:creationId xmlns:a16="http://schemas.microsoft.com/office/drawing/2014/main" id="{00000000-0008-0000-0000-000009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FF6600"/>
                  </a:solidFill>
                  <a:latin typeface="Arial MT"/>
                </a:rPr>
                <a:t>APPENDIX C</a:t>
              </a:r>
            </a:p>
            <a:p>
              <a:pPr algn="ctr" rtl="0">
                <a:defRPr sz="1000"/>
              </a:pPr>
              <a:r>
                <a:rPr lang="en-US" sz="1200" b="0" i="0" u="none" strike="noStrike" baseline="0">
                  <a:solidFill>
                    <a:srgbClr val="FF6600"/>
                  </a:solidFill>
                  <a:latin typeface="Arial MT"/>
                </a:rPr>
                <a:t>(MTEP)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11</xdr:row>
          <xdr:rowOff>57150</xdr:rowOff>
        </xdr:from>
        <xdr:to>
          <xdr:col>8</xdr:col>
          <xdr:colOff>714375</xdr:colOff>
          <xdr:row>15</xdr:row>
          <xdr:rowOff>47625</xdr:rowOff>
        </xdr:to>
        <xdr:sp macro="" textlink="">
          <xdr:nvSpPr>
            <xdr:cNvPr id="35850" name="Button 10" hidden="1">
              <a:extLst>
                <a:ext uri="{63B3BB69-23CF-44E3-9099-C40C66FF867C}">
                  <a14:compatExt spid="_x0000_s35850"/>
                </a:ext>
                <a:ext uri="{FF2B5EF4-FFF2-40B4-BE49-F238E27FC236}">
                  <a16:creationId xmlns:a16="http://schemas.microsoft.com/office/drawing/2014/main" id="{00000000-0008-0000-0000-00000A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FF6600"/>
                  </a:solidFill>
                  <a:latin typeface="Arial MT"/>
                </a:rPr>
                <a:t>APPENDIX C</a:t>
              </a:r>
            </a:p>
            <a:p>
              <a:pPr algn="ctr" rtl="0">
                <a:defRPr sz="1000"/>
              </a:pPr>
              <a:r>
                <a:rPr lang="en-US" sz="1200" b="0" i="0" u="none" strike="noStrike" baseline="0">
                  <a:solidFill>
                    <a:srgbClr val="FF6600"/>
                  </a:solidFill>
                  <a:latin typeface="Arial MT"/>
                </a:rPr>
                <a:t>DE OH &amp; KY</a:t>
              </a:r>
            </a:p>
            <a:p>
              <a:pPr algn="ctr" rtl="0">
                <a:defRPr sz="1000"/>
              </a:pPr>
              <a:r>
                <a:rPr lang="en-US" sz="1200" b="0" i="0" u="none" strike="noStrike" baseline="0">
                  <a:solidFill>
                    <a:srgbClr val="FF6600"/>
                  </a:solidFill>
                  <a:latin typeface="Arial MT"/>
                </a:rPr>
                <a:t>(MTEP)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11</xdr:row>
          <xdr:rowOff>85725</xdr:rowOff>
        </xdr:from>
        <xdr:to>
          <xdr:col>11</xdr:col>
          <xdr:colOff>714375</xdr:colOff>
          <xdr:row>15</xdr:row>
          <xdr:rowOff>66675</xdr:rowOff>
        </xdr:to>
        <xdr:sp macro="" textlink="">
          <xdr:nvSpPr>
            <xdr:cNvPr id="35851" name="Button 11" hidden="1">
              <a:extLst>
                <a:ext uri="{63B3BB69-23CF-44E3-9099-C40C66FF867C}">
                  <a14:compatExt spid="_x0000_s35851"/>
                </a:ext>
                <a:ext uri="{FF2B5EF4-FFF2-40B4-BE49-F238E27FC236}">
                  <a16:creationId xmlns:a16="http://schemas.microsoft.com/office/drawing/2014/main" id="{00000000-0008-0000-0000-00000B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FF6600"/>
                  </a:solidFill>
                  <a:latin typeface="Arial MT"/>
                </a:rPr>
                <a:t>APPENDIX C</a:t>
              </a:r>
            </a:p>
            <a:p>
              <a:pPr algn="ctr" rtl="0">
                <a:defRPr sz="1000"/>
              </a:pPr>
              <a:r>
                <a:rPr lang="en-US" sz="1200" b="0" i="0" u="none" strike="noStrike" baseline="0">
                  <a:solidFill>
                    <a:srgbClr val="FF6600"/>
                  </a:solidFill>
                  <a:latin typeface="Arial MT"/>
                </a:rPr>
                <a:t>DE Ohio</a:t>
              </a:r>
            </a:p>
            <a:p>
              <a:pPr algn="ctr" rtl="0">
                <a:defRPr sz="1000"/>
              </a:pPr>
              <a:r>
                <a:rPr lang="en-US" sz="1200" b="0" i="0" u="none" strike="noStrike" baseline="0">
                  <a:solidFill>
                    <a:srgbClr val="FF6600"/>
                  </a:solidFill>
                  <a:latin typeface="Arial MT"/>
                </a:rPr>
                <a:t>(MTEP)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0</xdr:colOff>
          <xdr:row>11</xdr:row>
          <xdr:rowOff>57150</xdr:rowOff>
        </xdr:from>
        <xdr:to>
          <xdr:col>14</xdr:col>
          <xdr:colOff>714375</xdr:colOff>
          <xdr:row>15</xdr:row>
          <xdr:rowOff>47625</xdr:rowOff>
        </xdr:to>
        <xdr:sp macro="" textlink="">
          <xdr:nvSpPr>
            <xdr:cNvPr id="35852" name="Button 12" hidden="1">
              <a:extLst>
                <a:ext uri="{63B3BB69-23CF-44E3-9099-C40C66FF867C}">
                  <a14:compatExt spid="_x0000_s35852"/>
                </a:ext>
                <a:ext uri="{FF2B5EF4-FFF2-40B4-BE49-F238E27FC236}">
                  <a16:creationId xmlns:a16="http://schemas.microsoft.com/office/drawing/2014/main" id="{00000000-0008-0000-0000-00000C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FF6600"/>
                  </a:solidFill>
                  <a:latin typeface="Arial MT"/>
                </a:rPr>
                <a:t>APPENDIX C</a:t>
              </a:r>
            </a:p>
            <a:p>
              <a:pPr algn="ctr" rtl="0">
                <a:defRPr sz="1000"/>
              </a:pPr>
              <a:r>
                <a:rPr lang="en-US" sz="1200" b="0" i="0" u="none" strike="noStrike" baseline="0">
                  <a:solidFill>
                    <a:srgbClr val="FF6600"/>
                  </a:solidFill>
                  <a:latin typeface="Arial MT"/>
                </a:rPr>
                <a:t>DE Kentucky</a:t>
              </a:r>
            </a:p>
            <a:p>
              <a:pPr algn="ctr" rtl="0">
                <a:defRPr sz="1000"/>
              </a:pPr>
              <a:r>
                <a:rPr lang="en-US" sz="1200" b="0" i="0" u="none" strike="noStrike" baseline="0">
                  <a:solidFill>
                    <a:srgbClr val="FF6600"/>
                  </a:solidFill>
                  <a:latin typeface="Arial MT"/>
                </a:rPr>
                <a:t>(MTEP)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xdr:row>
          <xdr:rowOff>19050</xdr:rowOff>
        </xdr:from>
        <xdr:to>
          <xdr:col>2</xdr:col>
          <xdr:colOff>714375</xdr:colOff>
          <xdr:row>5</xdr:row>
          <xdr:rowOff>0</xdr:rowOff>
        </xdr:to>
        <xdr:sp macro="" textlink="">
          <xdr:nvSpPr>
            <xdr:cNvPr id="35858" name="Button 18" hidden="1">
              <a:extLst>
                <a:ext uri="{63B3BB69-23CF-44E3-9099-C40C66FF867C}">
                  <a14:compatExt spid="_x0000_s35858"/>
                </a:ext>
                <a:ext uri="{FF2B5EF4-FFF2-40B4-BE49-F238E27FC236}">
                  <a16:creationId xmlns:a16="http://schemas.microsoft.com/office/drawing/2014/main" id="{00000000-0008-0000-0000-000012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000000"/>
                  </a:solidFill>
                  <a:latin typeface="Arial MT"/>
                </a:rPr>
                <a:t>PRINT ALL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19050</xdr:rowOff>
        </xdr:from>
        <xdr:to>
          <xdr:col>2</xdr:col>
          <xdr:colOff>714375</xdr:colOff>
          <xdr:row>15</xdr:row>
          <xdr:rowOff>0</xdr:rowOff>
        </xdr:to>
        <xdr:sp macro="" textlink="">
          <xdr:nvSpPr>
            <xdr:cNvPr id="35866" name="Button 26" hidden="1">
              <a:extLst>
                <a:ext uri="{63B3BB69-23CF-44E3-9099-C40C66FF867C}">
                  <a14:compatExt spid="_x0000_s35866"/>
                </a:ext>
                <a:ext uri="{FF2B5EF4-FFF2-40B4-BE49-F238E27FC236}">
                  <a16:creationId xmlns:a16="http://schemas.microsoft.com/office/drawing/2014/main" id="{00000000-0008-0000-0000-00001A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000000"/>
                  </a:solidFill>
                  <a:latin typeface="Arial MT"/>
                </a:rPr>
                <a:t>SUPPORT SCHEDULES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238125</xdr:colOff>
          <xdr:row>6</xdr:row>
          <xdr:rowOff>19050</xdr:rowOff>
        </xdr:from>
        <xdr:to>
          <xdr:col>2</xdr:col>
          <xdr:colOff>714375</xdr:colOff>
          <xdr:row>9</xdr:row>
          <xdr:rowOff>133350</xdr:rowOff>
        </xdr:to>
        <xdr:sp macro="" textlink="">
          <xdr:nvSpPr>
            <xdr:cNvPr id="35868" name="Button 28" hidden="1">
              <a:extLst>
                <a:ext uri="{63B3BB69-23CF-44E3-9099-C40C66FF867C}">
                  <a14:compatExt spid="_x0000_s35868"/>
                </a:ext>
                <a:ext uri="{FF2B5EF4-FFF2-40B4-BE49-F238E27FC236}">
                  <a16:creationId xmlns:a16="http://schemas.microsoft.com/office/drawing/2014/main" id="{00000000-0008-0000-0000-00001C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993300"/>
                  </a:solidFill>
                  <a:latin typeface="Arial MT"/>
                </a:rPr>
                <a:t>APPENDIX A</a:t>
              </a:r>
            </a:p>
            <a:p>
              <a:pPr algn="ctr" rtl="0">
                <a:defRPr sz="1000"/>
              </a:pPr>
              <a:r>
                <a:rPr lang="en-US" sz="1200" b="0" i="0" u="none" strike="noStrike" baseline="0">
                  <a:solidFill>
                    <a:srgbClr val="993300"/>
                  </a:solidFill>
                  <a:latin typeface="Arial MT"/>
                </a:rPr>
                <a:t>SCH 1A</a:t>
              </a:r>
            </a:p>
            <a:p>
              <a:pPr algn="ctr" rtl="0">
                <a:defRPr sz="1000"/>
              </a:pPr>
              <a:endParaRPr lang="en-US" sz="1200" b="0" i="0" u="none" strike="noStrike" baseline="0">
                <a:solidFill>
                  <a:srgbClr val="993300"/>
                </a:solidFill>
                <a:latin typeface="Arial MT"/>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21</xdr:row>
          <xdr:rowOff>19050</xdr:rowOff>
        </xdr:from>
        <xdr:to>
          <xdr:col>8</xdr:col>
          <xdr:colOff>714375</xdr:colOff>
          <xdr:row>25</xdr:row>
          <xdr:rowOff>0</xdr:rowOff>
        </xdr:to>
        <xdr:sp macro="" textlink="">
          <xdr:nvSpPr>
            <xdr:cNvPr id="35877" name="Button 37" hidden="1">
              <a:extLst>
                <a:ext uri="{63B3BB69-23CF-44E3-9099-C40C66FF867C}">
                  <a14:compatExt spid="_x0000_s35877"/>
                </a:ext>
                <a:ext uri="{FF2B5EF4-FFF2-40B4-BE49-F238E27FC236}">
                  <a16:creationId xmlns:a16="http://schemas.microsoft.com/office/drawing/2014/main" id="{00000000-0008-0000-0000-000025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993366"/>
                  </a:solidFill>
                  <a:latin typeface="Arial MT"/>
                </a:rPr>
                <a:t>APPENDIX E</a:t>
              </a:r>
            </a:p>
            <a:p>
              <a:pPr algn="ctr" rtl="0">
                <a:defRPr sz="1000"/>
              </a:pPr>
              <a:r>
                <a:rPr lang="en-US" sz="1200" b="0" i="0" u="none" strike="noStrike" baseline="0">
                  <a:solidFill>
                    <a:srgbClr val="993366"/>
                  </a:solidFill>
                  <a:latin typeface="Arial MT"/>
                </a:rPr>
                <a:t>DE OH &amp; KY</a:t>
              </a:r>
            </a:p>
            <a:p>
              <a:pPr algn="ctr" rtl="0">
                <a:defRPr sz="1000"/>
              </a:pPr>
              <a:r>
                <a:rPr lang="en-US" sz="1200" b="0" i="0" u="none" strike="noStrike" baseline="0">
                  <a:solidFill>
                    <a:srgbClr val="993366"/>
                  </a:solidFill>
                  <a:latin typeface="Arial MT"/>
                </a:rPr>
                <a:t>(Firm PTP Cr. Adj.)</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16</xdr:row>
          <xdr:rowOff>95250</xdr:rowOff>
        </xdr:from>
        <xdr:to>
          <xdr:col>5</xdr:col>
          <xdr:colOff>714375</xdr:colOff>
          <xdr:row>20</xdr:row>
          <xdr:rowOff>85725</xdr:rowOff>
        </xdr:to>
        <xdr:sp macro="" textlink="">
          <xdr:nvSpPr>
            <xdr:cNvPr id="35878" name="Button 38" hidden="1">
              <a:extLst>
                <a:ext uri="{63B3BB69-23CF-44E3-9099-C40C66FF867C}">
                  <a14:compatExt spid="_x0000_s35878"/>
                </a:ext>
                <a:ext uri="{FF2B5EF4-FFF2-40B4-BE49-F238E27FC236}">
                  <a16:creationId xmlns:a16="http://schemas.microsoft.com/office/drawing/2014/main" id="{00000000-0008-0000-0000-000026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008000"/>
                  </a:solidFill>
                  <a:latin typeface="Arial MT"/>
                </a:rPr>
                <a:t>APPENDIX D</a:t>
              </a:r>
            </a:p>
            <a:p>
              <a:pPr algn="ctr" rtl="0">
                <a:defRPr sz="1000"/>
              </a:pPr>
              <a:r>
                <a:rPr lang="en-US" sz="1200" b="0" i="0" u="none" strike="noStrike" baseline="0">
                  <a:solidFill>
                    <a:srgbClr val="008000"/>
                  </a:solidFill>
                  <a:latin typeface="Arial MT"/>
                </a:rPr>
                <a:t>Depreciation Rates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16</xdr:row>
          <xdr:rowOff>104775</xdr:rowOff>
        </xdr:from>
        <xdr:to>
          <xdr:col>8</xdr:col>
          <xdr:colOff>714375</xdr:colOff>
          <xdr:row>20</xdr:row>
          <xdr:rowOff>95250</xdr:rowOff>
        </xdr:to>
        <xdr:sp macro="" textlink="">
          <xdr:nvSpPr>
            <xdr:cNvPr id="35880" name="Button 40" hidden="1">
              <a:extLst>
                <a:ext uri="{63B3BB69-23CF-44E3-9099-C40C66FF867C}">
                  <a14:compatExt spid="_x0000_s35880"/>
                </a:ext>
                <a:ext uri="{FF2B5EF4-FFF2-40B4-BE49-F238E27FC236}">
                  <a16:creationId xmlns:a16="http://schemas.microsoft.com/office/drawing/2014/main" id="{00000000-0008-0000-0000-000028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008000"/>
                  </a:solidFill>
                  <a:latin typeface="Arial MT"/>
                </a:rPr>
                <a:t>APPENDIX D</a:t>
              </a:r>
            </a:p>
            <a:p>
              <a:pPr algn="ctr" rtl="0">
                <a:defRPr sz="1000"/>
              </a:pPr>
              <a:r>
                <a:rPr lang="en-US" sz="1200" b="0" i="0" u="none" strike="noStrike" baseline="0">
                  <a:solidFill>
                    <a:srgbClr val="008000"/>
                  </a:solidFill>
                  <a:latin typeface="Arial MT"/>
                </a:rPr>
                <a:t>DE Ohio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16</xdr:row>
          <xdr:rowOff>104775</xdr:rowOff>
        </xdr:from>
        <xdr:to>
          <xdr:col>11</xdr:col>
          <xdr:colOff>714375</xdr:colOff>
          <xdr:row>20</xdr:row>
          <xdr:rowOff>95250</xdr:rowOff>
        </xdr:to>
        <xdr:sp macro="" textlink="">
          <xdr:nvSpPr>
            <xdr:cNvPr id="35881" name="Button 41" hidden="1">
              <a:extLst>
                <a:ext uri="{63B3BB69-23CF-44E3-9099-C40C66FF867C}">
                  <a14:compatExt spid="_x0000_s35881"/>
                </a:ext>
                <a:ext uri="{FF2B5EF4-FFF2-40B4-BE49-F238E27FC236}">
                  <a16:creationId xmlns:a16="http://schemas.microsoft.com/office/drawing/2014/main" id="{00000000-0008-0000-0000-000029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0" i="0" u="none" strike="noStrike" baseline="0">
                  <a:solidFill>
                    <a:srgbClr val="008000"/>
                  </a:solidFill>
                  <a:latin typeface="Arial MT"/>
                </a:rPr>
                <a:t>APPENDIX D</a:t>
              </a:r>
            </a:p>
            <a:p>
              <a:pPr algn="ctr" rtl="0">
                <a:defRPr sz="1000"/>
              </a:pPr>
              <a:r>
                <a:rPr lang="en-US" sz="1200" b="0" i="0" u="none" strike="noStrike" baseline="0">
                  <a:solidFill>
                    <a:srgbClr val="008000"/>
                  </a:solidFill>
                  <a:latin typeface="Arial MT"/>
                </a:rPr>
                <a:t>DE Kentucky</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TRPT\FinRpt\Needs%20-%20%20Data%20Request\Quarterly%20Data%20Request\Energy%20Services\EnSer_Q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mission%20Rates/Attachment%20H/2017/Attachment%20H-22A%20-%20May%2015,%202017%20AS%20FILED%20CORRECTED.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nergy%20Port%20Strat%20&amp;%20Mgmt\Asset%20Valuation\Market\Models\DOCUME~1\santamej\LOCALS~1\Temp\RatingAgencyBU12-05%20Cin%20Curve%20Base%20Cas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1\NVSiehr\LOCALS~1\Temp\Temporary%20Directory%201%20for%20Pro%20forma%20financials%20-%20March%2031%202011_v2%201_xlsx.zip\Progress_reclassed_financials%203.3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_EQUITY_Field Serv"/>
      <sheetName val="Needs Dates"/>
      <sheetName val="EnSer_QData"/>
    </sheetNames>
    <sheetDataSet>
      <sheetData sheetId="0" refreshError="1">
        <row r="10">
          <cell r="A10" t="str">
            <v>0001</v>
          </cell>
          <cell r="C10" t="str">
            <v>TETCO</v>
          </cell>
          <cell r="D10" t="str">
            <v>Regena Larson/Robert Bugaj</v>
          </cell>
        </row>
        <row r="11">
          <cell r="A11" t="str">
            <v>0008</v>
          </cell>
          <cell r="C11" t="str">
            <v>T.E. Cryogenics</v>
          </cell>
          <cell r="D11" t="str">
            <v>Regena Larson/Robert Bugaj</v>
          </cell>
        </row>
        <row r="12">
          <cell r="A12" t="str">
            <v>0015</v>
          </cell>
          <cell r="C12" t="str">
            <v>T.E. New England</v>
          </cell>
          <cell r="D12" t="str">
            <v>Regena Larson/Robert Bugaj</v>
          </cell>
        </row>
        <row r="13">
          <cell r="A13" t="str">
            <v>0023</v>
          </cell>
          <cell r="C13" t="str">
            <v>Algonquin Energy, Inc</v>
          </cell>
          <cell r="D13" t="str">
            <v>Regena Larson/Sunanda Seval</v>
          </cell>
        </row>
        <row r="14">
          <cell r="A14" t="str">
            <v>0036</v>
          </cell>
          <cell r="C14" t="str">
            <v>Houston Center</v>
          </cell>
          <cell r="D14" t="str">
            <v>Marilyn Charles</v>
          </cell>
        </row>
        <row r="15">
          <cell r="A15" t="str">
            <v>0037</v>
          </cell>
          <cell r="C15" t="str">
            <v>Texas Eastern Communication</v>
          </cell>
          <cell r="D15" t="str">
            <v>Regena Larson/Robert Bugaj</v>
          </cell>
        </row>
        <row r="16">
          <cell r="A16" t="str">
            <v>0046</v>
          </cell>
          <cell r="C16" t="str">
            <v>T.E. Bermuda</v>
          </cell>
          <cell r="D16" t="str">
            <v>Carolyn Tatum</v>
          </cell>
        </row>
        <row r="17">
          <cell r="A17" t="str">
            <v>0050</v>
          </cell>
          <cell r="C17" t="str">
            <v>T.E. Arabian</v>
          </cell>
          <cell r="D17" t="str">
            <v>Carolyn Tatum</v>
          </cell>
        </row>
        <row r="18">
          <cell r="A18" t="str">
            <v>0051</v>
          </cell>
          <cell r="C18" t="str">
            <v>T.E.A. CANADA</v>
          </cell>
          <cell r="D18" t="str">
            <v>Regena Larson/Helena Nguyen</v>
          </cell>
        </row>
        <row r="19">
          <cell r="A19" t="str">
            <v>0063</v>
          </cell>
          <cell r="C19" t="str">
            <v>Texas Eastern Corp</v>
          </cell>
          <cell r="D19" t="str">
            <v>Marilyn Charles</v>
          </cell>
        </row>
        <row r="20">
          <cell r="A20" t="str">
            <v>0078</v>
          </cell>
          <cell r="C20" t="str">
            <v>T.E. Slurry</v>
          </cell>
          <cell r="D20" t="str">
            <v>Marilyn Charles</v>
          </cell>
        </row>
        <row r="21">
          <cell r="A21" t="str">
            <v>0095</v>
          </cell>
          <cell r="C21" t="str">
            <v>T.E. Oil</v>
          </cell>
          <cell r="D21" t="str">
            <v>Marilyn Charles</v>
          </cell>
        </row>
        <row r="22">
          <cell r="A22" t="str">
            <v>0108</v>
          </cell>
          <cell r="C22" t="str">
            <v>Chambers County Land</v>
          </cell>
          <cell r="D22" t="str">
            <v>Regena Larson/Helena Nguyen (for 8/97)</v>
          </cell>
        </row>
        <row r="23">
          <cell r="A23" t="str">
            <v>0110</v>
          </cell>
          <cell r="C23" t="str">
            <v>T.E. Riverside</v>
          </cell>
          <cell r="D23" t="str">
            <v>Regena Larson/Robert Bugaj</v>
          </cell>
        </row>
        <row r="24">
          <cell r="A24" t="str">
            <v>0117</v>
          </cell>
          <cell r="C24" t="str">
            <v>Algonquin Gas Transmission</v>
          </cell>
          <cell r="D24" t="str">
            <v>Regena Larson/Sunanda Seval</v>
          </cell>
        </row>
        <row r="25">
          <cell r="A25" t="str">
            <v>0118</v>
          </cell>
          <cell r="C25" t="str">
            <v>Algonquin LNG</v>
          </cell>
          <cell r="D25" t="str">
            <v>Regena Larson/Sunanda Seval</v>
          </cell>
        </row>
        <row r="26">
          <cell r="A26" t="str">
            <v>0124</v>
          </cell>
          <cell r="C26" t="str">
            <v>AGT Gateway</v>
          </cell>
          <cell r="D26" t="str">
            <v>Regena Larson/Sunanda Seval</v>
          </cell>
        </row>
        <row r="27">
          <cell r="A27" t="str">
            <v>0134</v>
          </cell>
          <cell r="C27" t="str">
            <v>Products Pipeline</v>
          </cell>
          <cell r="D27" t="str">
            <v>Don Barron</v>
          </cell>
        </row>
        <row r="28">
          <cell r="A28" t="str">
            <v>0135</v>
          </cell>
          <cell r="C28" t="str">
            <v>T.E. Liberty</v>
          </cell>
          <cell r="D28" t="str">
            <v>Regena Larson/Robert Bugaj</v>
          </cell>
        </row>
        <row r="29">
          <cell r="A29" t="str">
            <v>0138</v>
          </cell>
          <cell r="C29" t="str">
            <v>TEPPCO Investments</v>
          </cell>
          <cell r="D29" t="str">
            <v xml:space="preserve">Don Barron </v>
          </cell>
        </row>
        <row r="30">
          <cell r="A30" t="str">
            <v>0139</v>
          </cell>
          <cell r="C30" t="str">
            <v>TEPPCO HOLDINGS INC</v>
          </cell>
          <cell r="D30" t="str">
            <v>Don Barron</v>
          </cell>
        </row>
        <row r="31">
          <cell r="A31" t="str">
            <v>0301</v>
          </cell>
          <cell r="C31" t="str">
            <v>Panhandle Eastern Pipeline</v>
          </cell>
          <cell r="D31" t="str">
            <v>Glen McBride/Katherine Ko</v>
          </cell>
        </row>
        <row r="32">
          <cell r="A32" t="str">
            <v>0305</v>
          </cell>
          <cell r="C32" t="str">
            <v>Panhandle Storage</v>
          </cell>
          <cell r="D32" t="str">
            <v>Glen McBride/Katherine Ko</v>
          </cell>
        </row>
        <row r="33">
          <cell r="A33" t="str">
            <v>0306</v>
          </cell>
          <cell r="C33" t="str">
            <v>Panhandle Michigan</v>
          </cell>
          <cell r="D33" t="str">
            <v>Glen McBride/Katherine Ko</v>
          </cell>
        </row>
        <row r="34">
          <cell r="A34" t="str">
            <v>0307</v>
          </cell>
          <cell r="C34" t="str">
            <v>Trunkline Gas Company</v>
          </cell>
          <cell r="D34" t="str">
            <v>Glen McBride/Katherine Ko</v>
          </cell>
        </row>
        <row r="35">
          <cell r="A35" t="str">
            <v>0310</v>
          </cell>
          <cell r="C35" t="str">
            <v>Energy Pipelines Int'l Co.</v>
          </cell>
          <cell r="D35" t="str">
            <v>Regena Larson/Helena Nguyen</v>
          </cell>
        </row>
        <row r="36">
          <cell r="A36" t="str">
            <v>0311</v>
          </cell>
          <cell r="C36" t="str">
            <v>Panhandle Field Services</v>
          </cell>
          <cell r="D36" t="str">
            <v>Petra Drinkwine</v>
          </cell>
        </row>
        <row r="37">
          <cell r="A37" t="str">
            <v>0313</v>
          </cell>
          <cell r="C37" t="str">
            <v>Panhandle Int'l Development</v>
          </cell>
          <cell r="D37" t="str">
            <v>Carolyn Tatum</v>
          </cell>
        </row>
        <row r="38">
          <cell r="A38" t="str">
            <v>0315</v>
          </cell>
          <cell r="C38" t="str">
            <v>Pan National Gas Sales</v>
          </cell>
          <cell r="D38" t="str">
            <v>Carolyn Tatum</v>
          </cell>
        </row>
        <row r="39">
          <cell r="A39" t="str">
            <v>0316</v>
          </cell>
          <cell r="C39" t="str">
            <v>Pan Border</v>
          </cell>
          <cell r="D39" t="str">
            <v>Glen McBride/Katherine Ko</v>
          </cell>
        </row>
        <row r="40">
          <cell r="A40" t="str">
            <v>0319</v>
          </cell>
          <cell r="C40" t="str">
            <v>Panhandle Acquisition Three</v>
          </cell>
          <cell r="D40" t="str">
            <v>Craig Lindberg</v>
          </cell>
        </row>
        <row r="41">
          <cell r="A41" t="str">
            <v>0320</v>
          </cell>
          <cell r="C41" t="str">
            <v xml:space="preserve">Pelmar </v>
          </cell>
          <cell r="D41" t="str">
            <v>Carolyn Tatum</v>
          </cell>
        </row>
        <row r="42">
          <cell r="A42" t="str">
            <v>0321</v>
          </cell>
          <cell r="C42" t="str">
            <v>Panhandle Four</v>
          </cell>
          <cell r="D42" t="str">
            <v>Regena Larson/Helena Nguyen</v>
          </cell>
        </row>
        <row r="43">
          <cell r="A43" t="str">
            <v>0322</v>
          </cell>
          <cell r="C43" t="str">
            <v>PanEnergy Risk Management</v>
          </cell>
          <cell r="D43" t="str">
            <v>Craig Lindberg</v>
          </cell>
        </row>
        <row r="44">
          <cell r="A44" t="str">
            <v>0325</v>
          </cell>
          <cell r="C44" t="str">
            <v>Pan Service Company</v>
          </cell>
          <cell r="D44" t="str">
            <v>Regena Larson/Helena Nguyen</v>
          </cell>
        </row>
        <row r="45">
          <cell r="A45" t="str">
            <v>0326</v>
          </cell>
          <cell r="C45" t="str">
            <v>PE Services Canad, Ltd</v>
          </cell>
          <cell r="D45" t="str">
            <v>Steve Schroeder/Andrew Le</v>
          </cell>
        </row>
        <row r="46">
          <cell r="A46" t="str">
            <v>0327</v>
          </cell>
          <cell r="C46" t="str">
            <v>Dixilyn Field Drilling</v>
          </cell>
          <cell r="D46" t="str">
            <v>Glen McBride/Katherine Ko</v>
          </cell>
        </row>
        <row r="47">
          <cell r="A47" t="str">
            <v>0332</v>
          </cell>
          <cell r="C47" t="str">
            <v>Trunkline LNG</v>
          </cell>
          <cell r="D47" t="str">
            <v>Carolyn Tatum</v>
          </cell>
        </row>
        <row r="48">
          <cell r="A48" t="str">
            <v>0334</v>
          </cell>
          <cell r="C48" t="str">
            <v>Lachmar</v>
          </cell>
          <cell r="D48" t="str">
            <v>Carolyn Tatum</v>
          </cell>
        </row>
        <row r="49">
          <cell r="A49" t="str">
            <v>0337</v>
          </cell>
          <cell r="C49" t="str">
            <v>PanEnergy Development</v>
          </cell>
          <cell r="D49" t="str">
            <v>Regena Larson/Sunanda Seval</v>
          </cell>
        </row>
        <row r="50">
          <cell r="A50" t="str">
            <v>0338</v>
          </cell>
          <cell r="C50" t="str">
            <v>PanEnergy Information Svs</v>
          </cell>
          <cell r="D50" t="str">
            <v>Regena Larson/Helena Nguyen</v>
          </cell>
        </row>
        <row r="51">
          <cell r="A51" t="str">
            <v>0341</v>
          </cell>
          <cell r="C51" t="str">
            <v>Energyplus Marketing Co.</v>
          </cell>
          <cell r="D51" t="str">
            <v>Regena Larson/Sunanda Seval</v>
          </cell>
        </row>
        <row r="52">
          <cell r="A52" t="str">
            <v>0343</v>
          </cell>
          <cell r="C52" t="str">
            <v>EnergyPlus Ventures Comp.</v>
          </cell>
          <cell r="D52" t="str">
            <v>Regena Larson/Sunanda Seval</v>
          </cell>
        </row>
        <row r="53">
          <cell r="A53" t="str">
            <v>0344</v>
          </cell>
          <cell r="C53" t="str">
            <v>M&amp;N Management Company</v>
          </cell>
          <cell r="D53" t="str">
            <v>Regena Larson/Sunanda Seval</v>
          </cell>
        </row>
        <row r="54">
          <cell r="A54" t="str">
            <v>0345</v>
          </cell>
          <cell r="C54" t="str">
            <v>Pan Gas Storage</v>
          </cell>
          <cell r="D54" t="str">
            <v>Glen McBride/Katherine Ko</v>
          </cell>
        </row>
        <row r="55">
          <cell r="A55" t="str">
            <v>0346</v>
          </cell>
          <cell r="C55" t="str">
            <v>M&amp;N Operating Company</v>
          </cell>
          <cell r="D55" t="str">
            <v>Regena Larson/Sunanda Seval</v>
          </cell>
        </row>
        <row r="56">
          <cell r="A56" t="str">
            <v>0348</v>
          </cell>
          <cell r="C56" t="str">
            <v>PIDC Aguaytia</v>
          </cell>
          <cell r="D56" t="str">
            <v>Carolyn Tatum</v>
          </cell>
        </row>
        <row r="57">
          <cell r="A57" t="str">
            <v>0353</v>
          </cell>
          <cell r="C57" t="str">
            <v xml:space="preserve">Texas-Louisiana Pipeline Co. </v>
          </cell>
          <cell r="D57" t="str">
            <v>Regena Larson/Helena Nguyen</v>
          </cell>
        </row>
        <row r="58">
          <cell r="A58" t="str">
            <v>0354</v>
          </cell>
          <cell r="C58" t="str">
            <v>PanEnergy Trading &amp; Mkt.</v>
          </cell>
          <cell r="D58" t="str">
            <v>Craig Lindberg</v>
          </cell>
        </row>
        <row r="59">
          <cell r="A59" t="str">
            <v>0356</v>
          </cell>
          <cell r="C59" t="str">
            <v>Pan Transportation</v>
          </cell>
          <cell r="D59" t="str">
            <v>Carolyn Tatum</v>
          </cell>
        </row>
        <row r="60">
          <cell r="A60" t="str">
            <v>0360</v>
          </cell>
          <cell r="C60" t="str">
            <v>Pantheon</v>
          </cell>
          <cell r="D60" t="str">
            <v>Carolyn Tatum</v>
          </cell>
        </row>
        <row r="61">
          <cell r="A61" t="str">
            <v>0361</v>
          </cell>
          <cell r="C61" t="str">
            <v>Morgas</v>
          </cell>
          <cell r="D61" t="str">
            <v>Carolyn Tatum</v>
          </cell>
        </row>
        <row r="62">
          <cell r="A62" t="str">
            <v>0364</v>
          </cell>
          <cell r="C62" t="str">
            <v>PE Plus Milford Ventures</v>
          </cell>
          <cell r="D62" t="str">
            <v>Regena Larson/Sunanda Seval</v>
          </cell>
        </row>
        <row r="63">
          <cell r="A63" t="str">
            <v>0365</v>
          </cell>
          <cell r="C63" t="str">
            <v>PE Trading &amp; Market Svcs LLC</v>
          </cell>
          <cell r="D63" t="str">
            <v>Steve Schroeder/Andrew Le</v>
          </cell>
        </row>
        <row r="64">
          <cell r="A64" t="str">
            <v>0368</v>
          </cell>
          <cell r="C64" t="str">
            <v>PTMSI Management</v>
          </cell>
          <cell r="D64" t="str">
            <v>Steve Schroeder/Andrew Le</v>
          </cell>
        </row>
        <row r="65">
          <cell r="A65" t="str">
            <v>0369</v>
          </cell>
          <cell r="C65" t="str">
            <v>PTMSI Management, Ltd.</v>
          </cell>
          <cell r="D65" t="str">
            <v>Steve Schroeder/Andrew Le</v>
          </cell>
        </row>
        <row r="66">
          <cell r="A66" t="str">
            <v>0373</v>
          </cell>
          <cell r="C66" t="str">
            <v>TE Resources, Inc.</v>
          </cell>
          <cell r="D66" t="str">
            <v>Regena Larson/Robert Bugaj</v>
          </cell>
        </row>
        <row r="67">
          <cell r="A67" t="str">
            <v>0376</v>
          </cell>
          <cell r="C67" t="str">
            <v>AGT Resource</v>
          </cell>
          <cell r="D67" t="str">
            <v>Regena Larson/Sunanda Seval</v>
          </cell>
        </row>
        <row r="68">
          <cell r="A68" t="str">
            <v>0378</v>
          </cell>
          <cell r="C68" t="str">
            <v>Pan Services L.P.</v>
          </cell>
          <cell r="D68" t="str">
            <v>Regena Larson/Helena Nguyen</v>
          </cell>
        </row>
        <row r="69">
          <cell r="A69" t="str">
            <v>0383</v>
          </cell>
          <cell r="C69" t="str">
            <v>PE Resources Mgmnt Co</v>
          </cell>
          <cell r="D69" t="str">
            <v>Craig Lindberg</v>
          </cell>
        </row>
        <row r="70">
          <cell r="A70" t="str">
            <v>0385</v>
          </cell>
          <cell r="C70" t="str">
            <v>PanEnergy Colorado</v>
          </cell>
          <cell r="D70" t="str">
            <v>Regena Larson/Helena Nguyen</v>
          </cell>
        </row>
        <row r="71">
          <cell r="A71" t="str">
            <v>0386</v>
          </cell>
          <cell r="C71" t="str">
            <v>TEC Aquaytia</v>
          </cell>
          <cell r="D71" t="str">
            <v>Carolyn Tatum</v>
          </cell>
        </row>
        <row r="72">
          <cell r="A72" t="str">
            <v>0387</v>
          </cell>
          <cell r="C72" t="str">
            <v>PanEnergy E&amp;P Peru</v>
          </cell>
          <cell r="D72" t="str">
            <v>Carolyn Tatum</v>
          </cell>
        </row>
        <row r="73">
          <cell r="A73" t="str">
            <v>0388</v>
          </cell>
          <cell r="C73" t="str">
            <v>Spectrum Interstate Pipeline</v>
          </cell>
          <cell r="D73" t="str">
            <v>Regena Larson/Helena Nguyen</v>
          </cell>
        </row>
        <row r="74">
          <cell r="A74" t="str">
            <v>0389</v>
          </cell>
          <cell r="C74" t="str">
            <v>Excelsior Pipeline Corp</v>
          </cell>
          <cell r="D74" t="str">
            <v>Regena Larson/Robert Bugaj</v>
          </cell>
        </row>
        <row r="75">
          <cell r="A75" t="str">
            <v>0398</v>
          </cell>
          <cell r="C75" t="str">
            <v>1 Source Elimininations</v>
          </cell>
          <cell r="D75" t="str">
            <v>Marilyn Charles</v>
          </cell>
        </row>
        <row r="76">
          <cell r="A76" t="str">
            <v>0399</v>
          </cell>
          <cell r="C76" t="str">
            <v>Panhandle Eastern Corp</v>
          </cell>
          <cell r="D76" t="str">
            <v>Marilyn Charles</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INPUT"/>
      <sheetName val="Corrections to May 2016 filing"/>
      <sheetName val="Corrections due FERC Audit"/>
      <sheetName val="Corrections to May 2017 filing"/>
      <sheetName val="DE Ohio &amp; Kentucky"/>
      <sheetName val="DEO"/>
      <sheetName val="DEK"/>
      <sheetName val="Sch 1A - Appx A"/>
      <sheetName val="Appx B - DEOK(RTEP)"/>
      <sheetName val="Appx B - DEO(RTEP)"/>
      <sheetName val="Appx B - DEK(RTEP)"/>
      <sheetName val="Appx C - DEOK(MTEP)"/>
      <sheetName val="Appx C - DEO(MTEP)"/>
      <sheetName val="Appx C - DEK(MTEP)"/>
      <sheetName val="Appx D DEO"/>
      <sheetName val="Appx D DEK"/>
      <sheetName val="Appx E"/>
      <sheetName val="Appx E - Workpaper"/>
      <sheetName val="P1 ADIT 190 &amp; 282"/>
      <sheetName val="P2 Allocate M&amp;S"/>
      <sheetName val="P3 Land Held for Future Use"/>
      <sheetName val="P4 Advertising - EPRI Adj."/>
      <sheetName val="P5 Schedule 1 Charges acct 561"/>
      <sheetName val="P6 Statetax"/>
      <sheetName val="P7 Trans Plant In OATT"/>
      <sheetName val="P8 Rev Cred Support"/>
      <sheetName val="P9 Capital Structure - Confiden"/>
      <sheetName val="P10 Partner KW"/>
      <sheetName val="P11 Salaries and Wages"/>
    </sheetNames>
    <sheetDataSet>
      <sheetData sheetId="0" refreshError="1"/>
      <sheetData sheetId="1">
        <row r="1">
          <cell r="E1">
            <v>11</v>
          </cell>
        </row>
        <row r="147">
          <cell r="C147">
            <v>0.1138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3">
          <cell r="G33">
            <v>3.2500000000000001E-2</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3">
          <cell r="B13">
            <v>4385000</v>
          </cell>
          <cell r="C13">
            <v>4187000</v>
          </cell>
          <cell r="D13">
            <v>3605000</v>
          </cell>
          <cell r="E13">
            <v>3562000</v>
          </cell>
          <cell r="F13">
            <v>4454000</v>
          </cell>
          <cell r="G13">
            <v>4906000</v>
          </cell>
          <cell r="H13">
            <v>5308000</v>
          </cell>
          <cell r="I13">
            <v>5184000</v>
          </cell>
          <cell r="J13">
            <v>5084000</v>
          </cell>
          <cell r="K13">
            <v>3907000</v>
          </cell>
          <cell r="L13">
            <v>3474000</v>
          </cell>
          <cell r="M13">
            <v>4392000</v>
          </cell>
        </row>
        <row r="16">
          <cell r="B16">
            <v>712000</v>
          </cell>
          <cell r="C16">
            <v>679000</v>
          </cell>
          <cell r="D16">
            <v>621000</v>
          </cell>
          <cell r="E16">
            <v>599000</v>
          </cell>
          <cell r="F16">
            <v>717000</v>
          </cell>
          <cell r="G16">
            <v>787000</v>
          </cell>
          <cell r="H16">
            <v>847000</v>
          </cell>
          <cell r="I16">
            <v>844000</v>
          </cell>
          <cell r="J16">
            <v>816000</v>
          </cell>
          <cell r="K16">
            <v>637000</v>
          </cell>
          <cell r="L16">
            <v>557000</v>
          </cell>
          <cell r="M16">
            <v>705000</v>
          </cell>
        </row>
        <row r="18">
          <cell r="B18">
            <v>3673000</v>
          </cell>
          <cell r="C18">
            <v>3508000</v>
          </cell>
          <cell r="D18">
            <v>2984000</v>
          </cell>
          <cell r="E18">
            <v>2963000</v>
          </cell>
          <cell r="F18">
            <v>3737000</v>
          </cell>
          <cell r="G18">
            <v>4119000</v>
          </cell>
          <cell r="H18">
            <v>4461000</v>
          </cell>
          <cell r="I18">
            <v>4340000</v>
          </cell>
          <cell r="J18">
            <v>4268000</v>
          </cell>
          <cell r="K18">
            <v>3270000</v>
          </cell>
          <cell r="L18">
            <v>2917000</v>
          </cell>
          <cell r="M18">
            <v>3687000</v>
          </cell>
        </row>
      </sheetData>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11"/>
      <sheetName val="CIN-13"/>
      <sheetName val="CIN-14"/>
      <sheetName val="CIN-16"/>
      <sheetName val="CIN-17"/>
      <sheetName val="CIN-18"/>
      <sheetName val="Energy Merchant - 2"/>
      <sheetName val="Energy Merchant - 3"/>
      <sheetName val="Energy Merchant - 4"/>
      <sheetName val="Energy Merchant - 5"/>
      <sheetName val="Energy Merchant - 6"/>
      <sheetName val="Energy Merchant - 7"/>
      <sheetName val="Regulated Business - 2"/>
      <sheetName val="Regulated Business - 3"/>
      <sheetName val="Regulated Business - 4"/>
      <sheetName val="Regulated Business - 5"/>
      <sheetName val="Regulated Business - 6"/>
      <sheetName val="Regulated Business - 7"/>
      <sheetName val="Power Tech &amp; Infra Serv - 2"/>
      <sheetName val="Power Tech &amp; Infra Serv - 3"/>
      <sheetName val="Power Tech &amp; Infra Serv - 4"/>
      <sheetName val="Power Tech &amp; Infra Serv - 5"/>
      <sheetName val="Power Tech &amp; Infra Serv - 6"/>
      <sheetName val="Power Tech &amp; Infra Serv - 7"/>
      <sheetName val="CGR - 2"/>
      <sheetName val="CGR - 3"/>
      <sheetName val="CGR - 4"/>
      <sheetName val="CGR - 5"/>
      <sheetName val="CGR - 6"/>
      <sheetName val="CGR - 7"/>
      <sheetName val="ULHP-2"/>
      <sheetName val="ULHP-3"/>
      <sheetName val="ULHP-4"/>
      <sheetName val="ULHP-5"/>
      <sheetName val="ULHP-6"/>
      <sheetName val="ULHP-7"/>
      <sheetName val="NREC-2"/>
      <sheetName val="NREC-3"/>
      <sheetName val="NREC-4"/>
      <sheetName val="NREC-5"/>
      <sheetName val="NREC-6"/>
      <sheetName val="NREC-7"/>
      <sheetName val="HLM-2"/>
      <sheetName val="HLM-3"/>
      <sheetName val="HLM-4"/>
      <sheetName val="Ratios Summary"/>
      <sheetName val="Sheet1"/>
      <sheetName val="Cinergy Ratios"/>
      <sheetName val="ULHP Financial Ratios"/>
      <sheetName val="NREC Financial Ratios"/>
      <sheetName val="Energy Merchant - Ratios"/>
      <sheetName val="Regulated Business - Ratios"/>
      <sheetName val="Power Tech - Ratios"/>
      <sheetName val="CGR - Ratios"/>
      <sheetName val="CIN-IS"/>
      <sheetName val="CIN-BS"/>
      <sheetName val="CIN-CF"/>
      <sheetName val="Energy Merchant - IS"/>
      <sheetName val="Energy Merchant - BS"/>
      <sheetName val="Energy Merchant - CF"/>
      <sheetName val="ULHP-IS"/>
      <sheetName val="ULHP-BS"/>
      <sheetName val="ULHP-CS"/>
      <sheetName val="NREC-IS"/>
      <sheetName val="NREC-BS"/>
      <sheetName val="NREC-CS"/>
      <sheetName val="Regulated Business - IS"/>
      <sheetName val="Regulated Business - BS"/>
      <sheetName val="Regulated Business - CF"/>
      <sheetName val="Power Tech &amp; Infra Serv - IS"/>
      <sheetName val="Power Tech &amp; Infra Serv - BS"/>
      <sheetName val="Power Tech &amp; Infra Serv - CF"/>
      <sheetName val="CGR - IS"/>
      <sheetName val="CGR - BS"/>
      <sheetName val="CGR - CF"/>
      <sheetName val="Sheet2"/>
      <sheetName val="ULHP-3 Other"/>
      <sheetName val="NREC-3 Oth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tmt"/>
      <sheetName val="bal sheet"/>
      <sheetName val="IS Adj"/>
      <sheetName val="Bal sheet adj"/>
      <sheetName val="Property Adendum"/>
      <sheetName val="Adj. Income Statement"/>
      <sheetName val="Revised Adj. Income Statement"/>
      <sheetName val="Revenue by Categ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249977111117893"/>
  </sheetPr>
  <dimension ref="A1"/>
  <sheetViews>
    <sheetView zoomScaleNormal="100" workbookViewId="0"/>
  </sheetViews>
  <sheetFormatPr defaultColWidth="8.77734375" defaultRowHeight="15"/>
  <cols>
    <col min="1" max="1" width="3.109375" style="358" customWidth="1"/>
    <col min="2" max="3" width="8.77734375" style="358"/>
    <col min="4" max="4" width="4.21875" style="358" customWidth="1"/>
    <col min="5" max="6" width="8.77734375" style="358"/>
    <col min="7" max="7" width="4" style="358" customWidth="1"/>
    <col min="8" max="9" width="8.77734375" style="358"/>
    <col min="10" max="10" width="3.21875" style="358" customWidth="1"/>
    <col min="11" max="12" width="8.77734375" style="358"/>
    <col min="13" max="13" width="3.33203125" style="358" customWidth="1"/>
    <col min="14" max="16384" width="8.77734375" style="358"/>
  </cols>
  <sheetData>
    <row r="1" ht="7.9" customHeight="1"/>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utton 1">
              <controlPr defaultSize="0" print="0" autoFill="0" autoPict="0" macro="[0]!ThisWorkbook.PRINT_DEOK">
                <anchor moveWithCells="1" sizeWithCells="1">
                  <from>
                    <xdr:col>7</xdr:col>
                    <xdr:colOff>0</xdr:colOff>
                    <xdr:row>1</xdr:row>
                    <xdr:rowOff>19050</xdr:rowOff>
                  </from>
                  <to>
                    <xdr:col>8</xdr:col>
                    <xdr:colOff>714375</xdr:colOff>
                    <xdr:row>5</xdr:row>
                    <xdr:rowOff>0</xdr:rowOff>
                  </to>
                </anchor>
              </controlPr>
            </control>
          </mc:Choice>
        </mc:AlternateContent>
        <mc:AlternateContent xmlns:mc="http://schemas.openxmlformats.org/markup-compatibility/2006">
          <mc:Choice Requires="x14">
            <control shapeId="35842" r:id="rId5" name="Button 2">
              <controlPr defaultSize="0" print="0" autoFill="0" autoPict="0" macro="[0]!ThisWorkbook.PRINT_DEO">
                <anchor moveWithCells="1" sizeWithCells="1">
                  <from>
                    <xdr:col>10</xdr:col>
                    <xdr:colOff>0</xdr:colOff>
                    <xdr:row>1</xdr:row>
                    <xdr:rowOff>0</xdr:rowOff>
                  </from>
                  <to>
                    <xdr:col>12</xdr:col>
                    <xdr:colOff>0</xdr:colOff>
                    <xdr:row>4</xdr:row>
                    <xdr:rowOff>180975</xdr:rowOff>
                  </to>
                </anchor>
              </controlPr>
            </control>
          </mc:Choice>
        </mc:AlternateContent>
        <mc:AlternateContent xmlns:mc="http://schemas.openxmlformats.org/markup-compatibility/2006">
          <mc:Choice Requires="x14">
            <control shapeId="35843" r:id="rId6" name="Button 3">
              <controlPr defaultSize="0" print="0" autoFill="0" autoPict="0" macro="[0]!ThisWorkbook.PRINT_DEK">
                <anchor moveWithCells="1" sizeWithCells="1">
                  <from>
                    <xdr:col>12</xdr:col>
                    <xdr:colOff>219075</xdr:colOff>
                    <xdr:row>1</xdr:row>
                    <xdr:rowOff>9525</xdr:rowOff>
                  </from>
                  <to>
                    <xdr:col>14</xdr:col>
                    <xdr:colOff>714375</xdr:colOff>
                    <xdr:row>5</xdr:row>
                    <xdr:rowOff>19050</xdr:rowOff>
                  </to>
                </anchor>
              </controlPr>
            </control>
          </mc:Choice>
        </mc:AlternateContent>
        <mc:AlternateContent xmlns:mc="http://schemas.openxmlformats.org/markup-compatibility/2006">
          <mc:Choice Requires="x14">
            <control shapeId="35844" r:id="rId7" name="Button 4">
              <controlPr defaultSize="0" print="0" autoFill="0" autoPict="0" macro="[0]!ThisWorkbook.PRINT_ATTACHMENT_H22A">
                <anchor moveWithCells="1" sizeWithCells="1">
                  <from>
                    <xdr:col>4</xdr:col>
                    <xdr:colOff>0</xdr:colOff>
                    <xdr:row>1</xdr:row>
                    <xdr:rowOff>19050</xdr:rowOff>
                  </from>
                  <to>
                    <xdr:col>5</xdr:col>
                    <xdr:colOff>714375</xdr:colOff>
                    <xdr:row>5</xdr:row>
                    <xdr:rowOff>0</xdr:rowOff>
                  </to>
                </anchor>
              </controlPr>
            </control>
          </mc:Choice>
        </mc:AlternateContent>
        <mc:AlternateContent xmlns:mc="http://schemas.openxmlformats.org/markup-compatibility/2006">
          <mc:Choice Requires="x14">
            <control shapeId="35845" r:id="rId8" name="Button 5">
              <controlPr defaultSize="0" print="0" autoFill="0" autoPict="0" macro="[0]!ThisWorkbook.PRINT_AppxB_RTEP">
                <anchor moveWithCells="1" sizeWithCells="1">
                  <from>
                    <xdr:col>4</xdr:col>
                    <xdr:colOff>0</xdr:colOff>
                    <xdr:row>6</xdr:row>
                    <xdr:rowOff>19050</xdr:rowOff>
                  </from>
                  <to>
                    <xdr:col>5</xdr:col>
                    <xdr:colOff>714375</xdr:colOff>
                    <xdr:row>10</xdr:row>
                    <xdr:rowOff>9525</xdr:rowOff>
                  </to>
                </anchor>
              </controlPr>
            </control>
          </mc:Choice>
        </mc:AlternateContent>
        <mc:AlternateContent xmlns:mc="http://schemas.openxmlformats.org/markup-compatibility/2006">
          <mc:Choice Requires="x14">
            <control shapeId="35846" r:id="rId9" name="Button 6">
              <controlPr defaultSize="0" print="0" autoFill="0" autoPict="0" macro="[0]!ThisWorkbook.PRINT_AppxB_DEM_RTEP">
                <anchor moveWithCells="1" sizeWithCells="1">
                  <from>
                    <xdr:col>7</xdr:col>
                    <xdr:colOff>0</xdr:colOff>
                    <xdr:row>6</xdr:row>
                    <xdr:rowOff>57150</xdr:rowOff>
                  </from>
                  <to>
                    <xdr:col>8</xdr:col>
                    <xdr:colOff>714375</xdr:colOff>
                    <xdr:row>10</xdr:row>
                    <xdr:rowOff>38100</xdr:rowOff>
                  </to>
                </anchor>
              </controlPr>
            </control>
          </mc:Choice>
        </mc:AlternateContent>
        <mc:AlternateContent xmlns:mc="http://schemas.openxmlformats.org/markup-compatibility/2006">
          <mc:Choice Requires="x14">
            <control shapeId="35847" r:id="rId10" name="Button 7">
              <controlPr defaultSize="0" print="0" autoFill="0" autoPict="0" macro="[0]!ThisWorkbook.PRINT_AppxB_DEO_RTEP">
                <anchor moveWithCells="1" sizeWithCells="1">
                  <from>
                    <xdr:col>10</xdr:col>
                    <xdr:colOff>0</xdr:colOff>
                    <xdr:row>6</xdr:row>
                    <xdr:rowOff>66675</xdr:rowOff>
                  </from>
                  <to>
                    <xdr:col>11</xdr:col>
                    <xdr:colOff>714375</xdr:colOff>
                    <xdr:row>10</xdr:row>
                    <xdr:rowOff>57150</xdr:rowOff>
                  </to>
                </anchor>
              </controlPr>
            </control>
          </mc:Choice>
        </mc:AlternateContent>
        <mc:AlternateContent xmlns:mc="http://schemas.openxmlformats.org/markup-compatibility/2006">
          <mc:Choice Requires="x14">
            <control shapeId="35848" r:id="rId11" name="Button 8">
              <controlPr defaultSize="0" print="0" autoFill="0" autoPict="0" macro="[0]!ThisWorkbook.PRINT_AppxB_DEK_RTEP">
                <anchor moveWithCells="1" sizeWithCells="1">
                  <from>
                    <xdr:col>13</xdr:col>
                    <xdr:colOff>0</xdr:colOff>
                    <xdr:row>6</xdr:row>
                    <xdr:rowOff>66675</xdr:rowOff>
                  </from>
                  <to>
                    <xdr:col>14</xdr:col>
                    <xdr:colOff>714375</xdr:colOff>
                    <xdr:row>10</xdr:row>
                    <xdr:rowOff>57150</xdr:rowOff>
                  </to>
                </anchor>
              </controlPr>
            </control>
          </mc:Choice>
        </mc:AlternateContent>
        <mc:AlternateContent xmlns:mc="http://schemas.openxmlformats.org/markup-compatibility/2006">
          <mc:Choice Requires="x14">
            <control shapeId="35849" r:id="rId12" name="Button 9">
              <controlPr defaultSize="0" print="0" autoFill="0" autoPict="0" macro="[0]!ThisWorkbook.PRINT_AppxC_MTEP">
                <anchor moveWithCells="1" sizeWithCells="1">
                  <from>
                    <xdr:col>4</xdr:col>
                    <xdr:colOff>0</xdr:colOff>
                    <xdr:row>11</xdr:row>
                    <xdr:rowOff>47625</xdr:rowOff>
                  </from>
                  <to>
                    <xdr:col>5</xdr:col>
                    <xdr:colOff>714375</xdr:colOff>
                    <xdr:row>15</xdr:row>
                    <xdr:rowOff>28575</xdr:rowOff>
                  </to>
                </anchor>
              </controlPr>
            </control>
          </mc:Choice>
        </mc:AlternateContent>
        <mc:AlternateContent xmlns:mc="http://schemas.openxmlformats.org/markup-compatibility/2006">
          <mc:Choice Requires="x14">
            <control shapeId="35850" r:id="rId13" name="Button 10">
              <controlPr defaultSize="0" print="0" autoFill="0" autoPict="0" macro="[0]!ThisWorkbook.PRINT_AppxC_DEM_MTEP">
                <anchor moveWithCells="1" sizeWithCells="1">
                  <from>
                    <xdr:col>7</xdr:col>
                    <xdr:colOff>0</xdr:colOff>
                    <xdr:row>11</xdr:row>
                    <xdr:rowOff>57150</xdr:rowOff>
                  </from>
                  <to>
                    <xdr:col>8</xdr:col>
                    <xdr:colOff>714375</xdr:colOff>
                    <xdr:row>15</xdr:row>
                    <xdr:rowOff>47625</xdr:rowOff>
                  </to>
                </anchor>
              </controlPr>
            </control>
          </mc:Choice>
        </mc:AlternateContent>
        <mc:AlternateContent xmlns:mc="http://schemas.openxmlformats.org/markup-compatibility/2006">
          <mc:Choice Requires="x14">
            <control shapeId="35851" r:id="rId14" name="Button 11">
              <controlPr defaultSize="0" print="0" autoFill="0" autoPict="0" macro="[0]!ThisWorkbook.PRINT_AppxC_DEO_MTEP">
                <anchor moveWithCells="1" sizeWithCells="1">
                  <from>
                    <xdr:col>10</xdr:col>
                    <xdr:colOff>0</xdr:colOff>
                    <xdr:row>11</xdr:row>
                    <xdr:rowOff>85725</xdr:rowOff>
                  </from>
                  <to>
                    <xdr:col>11</xdr:col>
                    <xdr:colOff>714375</xdr:colOff>
                    <xdr:row>15</xdr:row>
                    <xdr:rowOff>66675</xdr:rowOff>
                  </to>
                </anchor>
              </controlPr>
            </control>
          </mc:Choice>
        </mc:AlternateContent>
        <mc:AlternateContent xmlns:mc="http://schemas.openxmlformats.org/markup-compatibility/2006">
          <mc:Choice Requires="x14">
            <control shapeId="35852" r:id="rId15" name="Button 12">
              <controlPr defaultSize="0" print="0" autoFill="0" autoPict="0" macro="[0]!ThisWorkbook.PRINT_AppxC_DEK_MTEP">
                <anchor moveWithCells="1" sizeWithCells="1">
                  <from>
                    <xdr:col>13</xdr:col>
                    <xdr:colOff>0</xdr:colOff>
                    <xdr:row>11</xdr:row>
                    <xdr:rowOff>57150</xdr:rowOff>
                  </from>
                  <to>
                    <xdr:col>14</xdr:col>
                    <xdr:colOff>714375</xdr:colOff>
                    <xdr:row>15</xdr:row>
                    <xdr:rowOff>47625</xdr:rowOff>
                  </to>
                </anchor>
              </controlPr>
            </control>
          </mc:Choice>
        </mc:AlternateContent>
        <mc:AlternateContent xmlns:mc="http://schemas.openxmlformats.org/markup-compatibility/2006">
          <mc:Choice Requires="x14">
            <control shapeId="35858" r:id="rId16" name="Button 18">
              <controlPr defaultSize="0" print="0" autoFill="0" autoPict="0" macro="[0]!ThisWorkbook.PRINT_ALL">
                <anchor moveWithCells="1" sizeWithCells="1">
                  <from>
                    <xdr:col>1</xdr:col>
                    <xdr:colOff>0</xdr:colOff>
                    <xdr:row>1</xdr:row>
                    <xdr:rowOff>19050</xdr:rowOff>
                  </from>
                  <to>
                    <xdr:col>2</xdr:col>
                    <xdr:colOff>714375</xdr:colOff>
                    <xdr:row>5</xdr:row>
                    <xdr:rowOff>0</xdr:rowOff>
                  </to>
                </anchor>
              </controlPr>
            </control>
          </mc:Choice>
        </mc:AlternateContent>
        <mc:AlternateContent xmlns:mc="http://schemas.openxmlformats.org/markup-compatibility/2006">
          <mc:Choice Requires="x14">
            <control shapeId="35866" r:id="rId17" name="Button 26">
              <controlPr defaultSize="0" print="0" autoFill="0" autoPict="0" macro="[0]!ThisWorkbook.PRINT_SUPPORT">
                <anchor moveWithCells="1" sizeWithCells="1">
                  <from>
                    <xdr:col>1</xdr:col>
                    <xdr:colOff>0</xdr:colOff>
                    <xdr:row>11</xdr:row>
                    <xdr:rowOff>19050</xdr:rowOff>
                  </from>
                  <to>
                    <xdr:col>2</xdr:col>
                    <xdr:colOff>714375</xdr:colOff>
                    <xdr:row>15</xdr:row>
                    <xdr:rowOff>0</xdr:rowOff>
                  </to>
                </anchor>
              </controlPr>
            </control>
          </mc:Choice>
        </mc:AlternateContent>
        <mc:AlternateContent xmlns:mc="http://schemas.openxmlformats.org/markup-compatibility/2006">
          <mc:Choice Requires="x14">
            <control shapeId="35868" r:id="rId18" name="Button 28">
              <controlPr defaultSize="0" print="0" autoFill="0" autoPict="0" macro="[0]!ThisWorkbook.PRINT_Appendix_A">
                <anchor moveWithCells="1" sizeWithCells="1">
                  <from>
                    <xdr:col>0</xdr:col>
                    <xdr:colOff>238125</xdr:colOff>
                    <xdr:row>6</xdr:row>
                    <xdr:rowOff>19050</xdr:rowOff>
                  </from>
                  <to>
                    <xdr:col>2</xdr:col>
                    <xdr:colOff>714375</xdr:colOff>
                    <xdr:row>9</xdr:row>
                    <xdr:rowOff>133350</xdr:rowOff>
                  </to>
                </anchor>
              </controlPr>
            </control>
          </mc:Choice>
        </mc:AlternateContent>
        <mc:AlternateContent xmlns:mc="http://schemas.openxmlformats.org/markup-compatibility/2006">
          <mc:Choice Requires="x14">
            <control shapeId="35877" r:id="rId19" name="Button 37">
              <controlPr defaultSize="0" print="0" autoFill="0" autoPict="0" macro="[0]!ThisWorkbook.PRINT_AppxE_DEOK">
                <anchor moveWithCells="1" sizeWithCells="1">
                  <from>
                    <xdr:col>7</xdr:col>
                    <xdr:colOff>0</xdr:colOff>
                    <xdr:row>21</xdr:row>
                    <xdr:rowOff>19050</xdr:rowOff>
                  </from>
                  <to>
                    <xdr:col>8</xdr:col>
                    <xdr:colOff>714375</xdr:colOff>
                    <xdr:row>25</xdr:row>
                    <xdr:rowOff>0</xdr:rowOff>
                  </to>
                </anchor>
              </controlPr>
            </control>
          </mc:Choice>
        </mc:AlternateContent>
        <mc:AlternateContent xmlns:mc="http://schemas.openxmlformats.org/markup-compatibility/2006">
          <mc:Choice Requires="x14">
            <control shapeId="35878" r:id="rId20" name="Button 38">
              <controlPr defaultSize="0" print="0" autoFill="0" autoPict="0" macro="[0]!ThisWorkbook.PRINT_AppxD">
                <anchor moveWithCells="1" sizeWithCells="1">
                  <from>
                    <xdr:col>4</xdr:col>
                    <xdr:colOff>0</xdr:colOff>
                    <xdr:row>16</xdr:row>
                    <xdr:rowOff>95250</xdr:rowOff>
                  </from>
                  <to>
                    <xdr:col>5</xdr:col>
                    <xdr:colOff>714375</xdr:colOff>
                    <xdr:row>20</xdr:row>
                    <xdr:rowOff>85725</xdr:rowOff>
                  </to>
                </anchor>
              </controlPr>
            </control>
          </mc:Choice>
        </mc:AlternateContent>
        <mc:AlternateContent xmlns:mc="http://schemas.openxmlformats.org/markup-compatibility/2006">
          <mc:Choice Requires="x14">
            <control shapeId="35880" r:id="rId21" name="Button 40">
              <controlPr defaultSize="0" print="0" autoFill="0" autoPict="0" macro="[0]!ThisWorkbook.PRINT_AppxD_DEO">
                <anchor moveWithCells="1" sizeWithCells="1">
                  <from>
                    <xdr:col>7</xdr:col>
                    <xdr:colOff>0</xdr:colOff>
                    <xdr:row>16</xdr:row>
                    <xdr:rowOff>104775</xdr:rowOff>
                  </from>
                  <to>
                    <xdr:col>8</xdr:col>
                    <xdr:colOff>714375</xdr:colOff>
                    <xdr:row>20</xdr:row>
                    <xdr:rowOff>95250</xdr:rowOff>
                  </to>
                </anchor>
              </controlPr>
            </control>
          </mc:Choice>
        </mc:AlternateContent>
        <mc:AlternateContent xmlns:mc="http://schemas.openxmlformats.org/markup-compatibility/2006">
          <mc:Choice Requires="x14">
            <control shapeId="35881" r:id="rId22" name="Button 41">
              <controlPr defaultSize="0" print="0" autoFill="0" autoPict="0" macro="[0]!ThisWorkbook.PRINT_AppxD_DEK">
                <anchor moveWithCells="1" sizeWithCells="1">
                  <from>
                    <xdr:col>10</xdr:col>
                    <xdr:colOff>0</xdr:colOff>
                    <xdr:row>16</xdr:row>
                    <xdr:rowOff>104775</xdr:rowOff>
                  </from>
                  <to>
                    <xdr:col>11</xdr:col>
                    <xdr:colOff>714375</xdr:colOff>
                    <xdr:row>20</xdr:row>
                    <xdr:rowOff>95250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pageSetUpPr fitToPage="1"/>
  </sheetPr>
  <dimension ref="A1:BG298"/>
  <sheetViews>
    <sheetView zoomScale="75" zoomScaleNormal="75" workbookViewId="0"/>
  </sheetViews>
  <sheetFormatPr defaultRowHeight="15"/>
  <cols>
    <col min="1" max="1" width="6" style="127" customWidth="1"/>
    <col min="2" max="2" width="1.44140625" style="127" customWidth="1"/>
    <col min="3" max="3" width="49.88671875" style="127" customWidth="1"/>
    <col min="4" max="4" width="1" style="127" customWidth="1"/>
    <col min="5" max="5" width="37.109375" style="127" customWidth="1"/>
    <col min="6" max="6" width="1.33203125" style="127" customWidth="1"/>
    <col min="7" max="7" width="14.109375" style="127" customWidth="1"/>
    <col min="8" max="8" width="1.5546875" style="127" customWidth="1"/>
    <col min="9" max="10" width="12.77734375" style="127" customWidth="1"/>
    <col min="11" max="11" width="5.21875" style="127" customWidth="1"/>
    <col min="12" max="12" width="1.6640625" style="127" customWidth="1"/>
    <col min="13" max="13" width="26.5546875" style="127" customWidth="1"/>
    <col min="14" max="14" width="8.6640625" style="127" customWidth="1"/>
    <col min="15" max="15" width="11.77734375" style="127" customWidth="1"/>
    <col min="16" max="16" width="15.6640625" style="127" bestFit="1" customWidth="1"/>
    <col min="17" max="17" width="12.77734375" style="127" customWidth="1"/>
    <col min="18" max="18" width="8.88671875" style="127"/>
    <col min="19" max="19" width="14.21875" style="127" customWidth="1"/>
    <col min="20" max="20" width="12.21875" style="127" customWidth="1"/>
    <col min="21" max="21" width="12.5546875" style="127" customWidth="1"/>
    <col min="22" max="22" width="16.77734375" style="127" customWidth="1"/>
    <col min="23" max="23" width="11.88671875" style="127" customWidth="1"/>
    <col min="24" max="24" width="16.6640625" style="127" customWidth="1"/>
    <col min="25" max="240" width="8.88671875" style="127"/>
    <col min="241" max="241" width="6" style="127" customWidth="1"/>
    <col min="242" max="242" width="1.44140625" style="127" customWidth="1"/>
    <col min="243" max="243" width="39.109375" style="127" customWidth="1"/>
    <col min="244" max="244" width="12" style="127" customWidth="1"/>
    <col min="245" max="245" width="14.44140625" style="127" customWidth="1"/>
    <col min="246" max="246" width="11.88671875" style="127" customWidth="1"/>
    <col min="247" max="247" width="14.109375" style="127" customWidth="1"/>
    <col min="248" max="248" width="13.88671875" style="127" customWidth="1"/>
    <col min="249" max="250" width="12.77734375" style="127" customWidth="1"/>
    <col min="251" max="251" width="13.5546875" style="127" customWidth="1"/>
    <col min="252" max="252" width="15.33203125" style="127" customWidth="1"/>
    <col min="253" max="253" width="12.77734375" style="127" customWidth="1"/>
    <col min="254" max="254" width="13.88671875" style="127" customWidth="1"/>
    <col min="255" max="255" width="1.88671875" style="127" customWidth="1"/>
    <col min="256" max="256" width="13" style="127" customWidth="1"/>
    <col min="257" max="496" width="8.88671875" style="127"/>
    <col min="497" max="497" width="6" style="127" customWidth="1"/>
    <col min="498" max="498" width="1.44140625" style="127" customWidth="1"/>
    <col min="499" max="499" width="39.109375" style="127" customWidth="1"/>
    <col min="500" max="500" width="12" style="127" customWidth="1"/>
    <col min="501" max="501" width="14.44140625" style="127" customWidth="1"/>
    <col min="502" max="502" width="11.88671875" style="127" customWidth="1"/>
    <col min="503" max="503" width="14.109375" style="127" customWidth="1"/>
    <col min="504" max="504" width="13.88671875" style="127" customWidth="1"/>
    <col min="505" max="506" width="12.77734375" style="127" customWidth="1"/>
    <col min="507" max="507" width="13.5546875" style="127" customWidth="1"/>
    <col min="508" max="508" width="15.33203125" style="127" customWidth="1"/>
    <col min="509" max="509" width="12.77734375" style="127" customWidth="1"/>
    <col min="510" max="510" width="13.88671875" style="127" customWidth="1"/>
    <col min="511" max="511" width="1.88671875" style="127" customWidth="1"/>
    <col min="512" max="512" width="13" style="127" customWidth="1"/>
    <col min="513" max="752" width="8.88671875" style="127"/>
    <col min="753" max="753" width="6" style="127" customWidth="1"/>
    <col min="754" max="754" width="1.44140625" style="127" customWidth="1"/>
    <col min="755" max="755" width="39.109375" style="127" customWidth="1"/>
    <col min="756" max="756" width="12" style="127" customWidth="1"/>
    <col min="757" max="757" width="14.44140625" style="127" customWidth="1"/>
    <col min="758" max="758" width="11.88671875" style="127" customWidth="1"/>
    <col min="759" max="759" width="14.109375" style="127" customWidth="1"/>
    <col min="760" max="760" width="13.88671875" style="127" customWidth="1"/>
    <col min="761" max="762" width="12.77734375" style="127" customWidth="1"/>
    <col min="763" max="763" width="13.5546875" style="127" customWidth="1"/>
    <col min="764" max="764" width="15.33203125" style="127" customWidth="1"/>
    <col min="765" max="765" width="12.77734375" style="127" customWidth="1"/>
    <col min="766" max="766" width="13.88671875" style="127" customWidth="1"/>
    <col min="767" max="767" width="1.88671875" style="127" customWidth="1"/>
    <col min="768" max="768" width="13" style="127" customWidth="1"/>
    <col min="769" max="1008" width="8.88671875" style="127"/>
    <col min="1009" max="1009" width="6" style="127" customWidth="1"/>
    <col min="1010" max="1010" width="1.44140625" style="127" customWidth="1"/>
    <col min="1011" max="1011" width="39.109375" style="127" customWidth="1"/>
    <col min="1012" max="1012" width="12" style="127" customWidth="1"/>
    <col min="1013" max="1013" width="14.44140625" style="127" customWidth="1"/>
    <col min="1014" max="1014" width="11.88671875" style="127" customWidth="1"/>
    <col min="1015" max="1015" width="14.109375" style="127" customWidth="1"/>
    <col min="1016" max="1016" width="13.88671875" style="127" customWidth="1"/>
    <col min="1017" max="1018" width="12.77734375" style="127" customWidth="1"/>
    <col min="1019" max="1019" width="13.5546875" style="127" customWidth="1"/>
    <col min="1020" max="1020" width="15.33203125" style="127" customWidth="1"/>
    <col min="1021" max="1021" width="12.77734375" style="127" customWidth="1"/>
    <col min="1022" max="1022" width="13.88671875" style="127" customWidth="1"/>
    <col min="1023" max="1023" width="1.88671875" style="127" customWidth="1"/>
    <col min="1024" max="1024" width="13" style="127" customWidth="1"/>
    <col min="1025" max="1264" width="8.88671875" style="127"/>
    <col min="1265" max="1265" width="6" style="127" customWidth="1"/>
    <col min="1266" max="1266" width="1.44140625" style="127" customWidth="1"/>
    <col min="1267" max="1267" width="39.109375" style="127" customWidth="1"/>
    <col min="1268" max="1268" width="12" style="127" customWidth="1"/>
    <col min="1269" max="1269" width="14.44140625" style="127" customWidth="1"/>
    <col min="1270" max="1270" width="11.88671875" style="127" customWidth="1"/>
    <col min="1271" max="1271" width="14.109375" style="127" customWidth="1"/>
    <col min="1272" max="1272" width="13.88671875" style="127" customWidth="1"/>
    <col min="1273" max="1274" width="12.77734375" style="127" customWidth="1"/>
    <col min="1275" max="1275" width="13.5546875" style="127" customWidth="1"/>
    <col min="1276" max="1276" width="15.33203125" style="127" customWidth="1"/>
    <col min="1277" max="1277" width="12.77734375" style="127" customWidth="1"/>
    <col min="1278" max="1278" width="13.88671875" style="127" customWidth="1"/>
    <col min="1279" max="1279" width="1.88671875" style="127" customWidth="1"/>
    <col min="1280" max="1280" width="13" style="127" customWidth="1"/>
    <col min="1281" max="1520" width="8.88671875" style="127"/>
    <col min="1521" max="1521" width="6" style="127" customWidth="1"/>
    <col min="1522" max="1522" width="1.44140625" style="127" customWidth="1"/>
    <col min="1523" max="1523" width="39.109375" style="127" customWidth="1"/>
    <col min="1524" max="1524" width="12" style="127" customWidth="1"/>
    <col min="1525" max="1525" width="14.44140625" style="127" customWidth="1"/>
    <col min="1526" max="1526" width="11.88671875" style="127" customWidth="1"/>
    <col min="1527" max="1527" width="14.109375" style="127" customWidth="1"/>
    <col min="1528" max="1528" width="13.88671875" style="127" customWidth="1"/>
    <col min="1529" max="1530" width="12.77734375" style="127" customWidth="1"/>
    <col min="1531" max="1531" width="13.5546875" style="127" customWidth="1"/>
    <col min="1532" max="1532" width="15.33203125" style="127" customWidth="1"/>
    <col min="1533" max="1533" width="12.77734375" style="127" customWidth="1"/>
    <col min="1534" max="1534" width="13.88671875" style="127" customWidth="1"/>
    <col min="1535" max="1535" width="1.88671875" style="127" customWidth="1"/>
    <col min="1536" max="1536" width="13" style="127" customWidth="1"/>
    <col min="1537" max="1776" width="8.88671875" style="127"/>
    <col min="1777" max="1777" width="6" style="127" customWidth="1"/>
    <col min="1778" max="1778" width="1.44140625" style="127" customWidth="1"/>
    <col min="1779" max="1779" width="39.109375" style="127" customWidth="1"/>
    <col min="1780" max="1780" width="12" style="127" customWidth="1"/>
    <col min="1781" max="1781" width="14.44140625" style="127" customWidth="1"/>
    <col min="1782" max="1782" width="11.88671875" style="127" customWidth="1"/>
    <col min="1783" max="1783" width="14.109375" style="127" customWidth="1"/>
    <col min="1784" max="1784" width="13.88671875" style="127" customWidth="1"/>
    <col min="1785" max="1786" width="12.77734375" style="127" customWidth="1"/>
    <col min="1787" max="1787" width="13.5546875" style="127" customWidth="1"/>
    <col min="1788" max="1788" width="15.33203125" style="127" customWidth="1"/>
    <col min="1789" max="1789" width="12.77734375" style="127" customWidth="1"/>
    <col min="1790" max="1790" width="13.88671875" style="127" customWidth="1"/>
    <col min="1791" max="1791" width="1.88671875" style="127" customWidth="1"/>
    <col min="1792" max="1792" width="13" style="127" customWidth="1"/>
    <col min="1793" max="2032" width="8.88671875" style="127"/>
    <col min="2033" max="2033" width="6" style="127" customWidth="1"/>
    <col min="2034" max="2034" width="1.44140625" style="127" customWidth="1"/>
    <col min="2035" max="2035" width="39.109375" style="127" customWidth="1"/>
    <col min="2036" max="2036" width="12" style="127" customWidth="1"/>
    <col min="2037" max="2037" width="14.44140625" style="127" customWidth="1"/>
    <col min="2038" max="2038" width="11.88671875" style="127" customWidth="1"/>
    <col min="2039" max="2039" width="14.109375" style="127" customWidth="1"/>
    <col min="2040" max="2040" width="13.88671875" style="127" customWidth="1"/>
    <col min="2041" max="2042" width="12.77734375" style="127" customWidth="1"/>
    <col min="2043" max="2043" width="13.5546875" style="127" customWidth="1"/>
    <col min="2044" max="2044" width="15.33203125" style="127" customWidth="1"/>
    <col min="2045" max="2045" width="12.77734375" style="127" customWidth="1"/>
    <col min="2046" max="2046" width="13.88671875" style="127" customWidth="1"/>
    <col min="2047" max="2047" width="1.88671875" style="127" customWidth="1"/>
    <col min="2048" max="2048" width="13" style="127" customWidth="1"/>
    <col min="2049" max="2288" width="8.88671875" style="127"/>
    <col min="2289" max="2289" width="6" style="127" customWidth="1"/>
    <col min="2290" max="2290" width="1.44140625" style="127" customWidth="1"/>
    <col min="2291" max="2291" width="39.109375" style="127" customWidth="1"/>
    <col min="2292" max="2292" width="12" style="127" customWidth="1"/>
    <col min="2293" max="2293" width="14.44140625" style="127" customWidth="1"/>
    <col min="2294" max="2294" width="11.88671875" style="127" customWidth="1"/>
    <col min="2295" max="2295" width="14.109375" style="127" customWidth="1"/>
    <col min="2296" max="2296" width="13.88671875" style="127" customWidth="1"/>
    <col min="2297" max="2298" width="12.77734375" style="127" customWidth="1"/>
    <col min="2299" max="2299" width="13.5546875" style="127" customWidth="1"/>
    <col min="2300" max="2300" width="15.33203125" style="127" customWidth="1"/>
    <col min="2301" max="2301" width="12.77734375" style="127" customWidth="1"/>
    <col min="2302" max="2302" width="13.88671875" style="127" customWidth="1"/>
    <col min="2303" max="2303" width="1.88671875" style="127" customWidth="1"/>
    <col min="2304" max="2304" width="13" style="127" customWidth="1"/>
    <col min="2305" max="2544" width="8.88671875" style="127"/>
    <col min="2545" max="2545" width="6" style="127" customWidth="1"/>
    <col min="2546" max="2546" width="1.44140625" style="127" customWidth="1"/>
    <col min="2547" max="2547" width="39.109375" style="127" customWidth="1"/>
    <col min="2548" max="2548" width="12" style="127" customWidth="1"/>
    <col min="2549" max="2549" width="14.44140625" style="127" customWidth="1"/>
    <col min="2550" max="2550" width="11.88671875" style="127" customWidth="1"/>
    <col min="2551" max="2551" width="14.109375" style="127" customWidth="1"/>
    <col min="2552" max="2552" width="13.88671875" style="127" customWidth="1"/>
    <col min="2553" max="2554" width="12.77734375" style="127" customWidth="1"/>
    <col min="2555" max="2555" width="13.5546875" style="127" customWidth="1"/>
    <col min="2556" max="2556" width="15.33203125" style="127" customWidth="1"/>
    <col min="2557" max="2557" width="12.77734375" style="127" customWidth="1"/>
    <col min="2558" max="2558" width="13.88671875" style="127" customWidth="1"/>
    <col min="2559" max="2559" width="1.88671875" style="127" customWidth="1"/>
    <col min="2560" max="2560" width="13" style="127" customWidth="1"/>
    <col min="2561" max="2800" width="8.88671875" style="127"/>
    <col min="2801" max="2801" width="6" style="127" customWidth="1"/>
    <col min="2802" max="2802" width="1.44140625" style="127" customWidth="1"/>
    <col min="2803" max="2803" width="39.109375" style="127" customWidth="1"/>
    <col min="2804" max="2804" width="12" style="127" customWidth="1"/>
    <col min="2805" max="2805" width="14.44140625" style="127" customWidth="1"/>
    <col min="2806" max="2806" width="11.88671875" style="127" customWidth="1"/>
    <col min="2807" max="2807" width="14.109375" style="127" customWidth="1"/>
    <col min="2808" max="2808" width="13.88671875" style="127" customWidth="1"/>
    <col min="2809" max="2810" width="12.77734375" style="127" customWidth="1"/>
    <col min="2811" max="2811" width="13.5546875" style="127" customWidth="1"/>
    <col min="2812" max="2812" width="15.33203125" style="127" customWidth="1"/>
    <col min="2813" max="2813" width="12.77734375" style="127" customWidth="1"/>
    <col min="2814" max="2814" width="13.88671875" style="127" customWidth="1"/>
    <col min="2815" max="2815" width="1.88671875" style="127" customWidth="1"/>
    <col min="2816" max="2816" width="13" style="127" customWidth="1"/>
    <col min="2817" max="3056" width="8.88671875" style="127"/>
    <col min="3057" max="3057" width="6" style="127" customWidth="1"/>
    <col min="3058" max="3058" width="1.44140625" style="127" customWidth="1"/>
    <col min="3059" max="3059" width="39.109375" style="127" customWidth="1"/>
    <col min="3060" max="3060" width="12" style="127" customWidth="1"/>
    <col min="3061" max="3061" width="14.44140625" style="127" customWidth="1"/>
    <col min="3062" max="3062" width="11.88671875" style="127" customWidth="1"/>
    <col min="3063" max="3063" width="14.109375" style="127" customWidth="1"/>
    <col min="3064" max="3064" width="13.88671875" style="127" customWidth="1"/>
    <col min="3065" max="3066" width="12.77734375" style="127" customWidth="1"/>
    <col min="3067" max="3067" width="13.5546875" style="127" customWidth="1"/>
    <col min="3068" max="3068" width="15.33203125" style="127" customWidth="1"/>
    <col min="3069" max="3069" width="12.77734375" style="127" customWidth="1"/>
    <col min="3070" max="3070" width="13.88671875" style="127" customWidth="1"/>
    <col min="3071" max="3071" width="1.88671875" style="127" customWidth="1"/>
    <col min="3072" max="3072" width="13" style="127" customWidth="1"/>
    <col min="3073" max="3312" width="8.88671875" style="127"/>
    <col min="3313" max="3313" width="6" style="127" customWidth="1"/>
    <col min="3314" max="3314" width="1.44140625" style="127" customWidth="1"/>
    <col min="3315" max="3315" width="39.109375" style="127" customWidth="1"/>
    <col min="3316" max="3316" width="12" style="127" customWidth="1"/>
    <col min="3317" max="3317" width="14.44140625" style="127" customWidth="1"/>
    <col min="3318" max="3318" width="11.88671875" style="127" customWidth="1"/>
    <col min="3319" max="3319" width="14.109375" style="127" customWidth="1"/>
    <col min="3320" max="3320" width="13.88671875" style="127" customWidth="1"/>
    <col min="3321" max="3322" width="12.77734375" style="127" customWidth="1"/>
    <col min="3323" max="3323" width="13.5546875" style="127" customWidth="1"/>
    <col min="3324" max="3324" width="15.33203125" style="127" customWidth="1"/>
    <col min="3325" max="3325" width="12.77734375" style="127" customWidth="1"/>
    <col min="3326" max="3326" width="13.88671875" style="127" customWidth="1"/>
    <col min="3327" max="3327" width="1.88671875" style="127" customWidth="1"/>
    <col min="3328" max="3328" width="13" style="127" customWidth="1"/>
    <col min="3329" max="3568" width="8.88671875" style="127"/>
    <col min="3569" max="3569" width="6" style="127" customWidth="1"/>
    <col min="3570" max="3570" width="1.44140625" style="127" customWidth="1"/>
    <col min="3571" max="3571" width="39.109375" style="127" customWidth="1"/>
    <col min="3572" max="3572" width="12" style="127" customWidth="1"/>
    <col min="3573" max="3573" width="14.44140625" style="127" customWidth="1"/>
    <col min="3574" max="3574" width="11.88671875" style="127" customWidth="1"/>
    <col min="3575" max="3575" width="14.109375" style="127" customWidth="1"/>
    <col min="3576" max="3576" width="13.88671875" style="127" customWidth="1"/>
    <col min="3577" max="3578" width="12.77734375" style="127" customWidth="1"/>
    <col min="3579" max="3579" width="13.5546875" style="127" customWidth="1"/>
    <col min="3580" max="3580" width="15.33203125" style="127" customWidth="1"/>
    <col min="3581" max="3581" width="12.77734375" style="127" customWidth="1"/>
    <col min="3582" max="3582" width="13.88671875" style="127" customWidth="1"/>
    <col min="3583" max="3583" width="1.88671875" style="127" customWidth="1"/>
    <col min="3584" max="3584" width="13" style="127" customWidth="1"/>
    <col min="3585" max="3824" width="8.88671875" style="127"/>
    <col min="3825" max="3825" width="6" style="127" customWidth="1"/>
    <col min="3826" max="3826" width="1.44140625" style="127" customWidth="1"/>
    <col min="3827" max="3827" width="39.109375" style="127" customWidth="1"/>
    <col min="3828" max="3828" width="12" style="127" customWidth="1"/>
    <col min="3829" max="3829" width="14.44140625" style="127" customWidth="1"/>
    <col min="3830" max="3830" width="11.88671875" style="127" customWidth="1"/>
    <col min="3831" max="3831" width="14.109375" style="127" customWidth="1"/>
    <col min="3832" max="3832" width="13.88671875" style="127" customWidth="1"/>
    <col min="3833" max="3834" width="12.77734375" style="127" customWidth="1"/>
    <col min="3835" max="3835" width="13.5546875" style="127" customWidth="1"/>
    <col min="3836" max="3836" width="15.33203125" style="127" customWidth="1"/>
    <col min="3837" max="3837" width="12.77734375" style="127" customWidth="1"/>
    <col min="3838" max="3838" width="13.88671875" style="127" customWidth="1"/>
    <col min="3839" max="3839" width="1.88671875" style="127" customWidth="1"/>
    <col min="3840" max="3840" width="13" style="127" customWidth="1"/>
    <col min="3841" max="4080" width="8.88671875" style="127"/>
    <col min="4081" max="4081" width="6" style="127" customWidth="1"/>
    <col min="4082" max="4082" width="1.44140625" style="127" customWidth="1"/>
    <col min="4083" max="4083" width="39.109375" style="127" customWidth="1"/>
    <col min="4084" max="4084" width="12" style="127" customWidth="1"/>
    <col min="4085" max="4085" width="14.44140625" style="127" customWidth="1"/>
    <col min="4086" max="4086" width="11.88671875" style="127" customWidth="1"/>
    <col min="4087" max="4087" width="14.109375" style="127" customWidth="1"/>
    <col min="4088" max="4088" width="13.88671875" style="127" customWidth="1"/>
    <col min="4089" max="4090" width="12.77734375" style="127" customWidth="1"/>
    <col min="4091" max="4091" width="13.5546875" style="127" customWidth="1"/>
    <col min="4092" max="4092" width="15.33203125" style="127" customWidth="1"/>
    <col min="4093" max="4093" width="12.77734375" style="127" customWidth="1"/>
    <col min="4094" max="4094" width="13.88671875" style="127" customWidth="1"/>
    <col min="4095" max="4095" width="1.88671875" style="127" customWidth="1"/>
    <col min="4096" max="4096" width="13" style="127" customWidth="1"/>
    <col min="4097" max="4336" width="8.88671875" style="127"/>
    <col min="4337" max="4337" width="6" style="127" customWidth="1"/>
    <col min="4338" max="4338" width="1.44140625" style="127" customWidth="1"/>
    <col min="4339" max="4339" width="39.109375" style="127" customWidth="1"/>
    <col min="4340" max="4340" width="12" style="127" customWidth="1"/>
    <col min="4341" max="4341" width="14.44140625" style="127" customWidth="1"/>
    <col min="4342" max="4342" width="11.88671875" style="127" customWidth="1"/>
    <col min="4343" max="4343" width="14.109375" style="127" customWidth="1"/>
    <col min="4344" max="4344" width="13.88671875" style="127" customWidth="1"/>
    <col min="4345" max="4346" width="12.77734375" style="127" customWidth="1"/>
    <col min="4347" max="4347" width="13.5546875" style="127" customWidth="1"/>
    <col min="4348" max="4348" width="15.33203125" style="127" customWidth="1"/>
    <col min="4349" max="4349" width="12.77734375" style="127" customWidth="1"/>
    <col min="4350" max="4350" width="13.88671875" style="127" customWidth="1"/>
    <col min="4351" max="4351" width="1.88671875" style="127" customWidth="1"/>
    <col min="4352" max="4352" width="13" style="127" customWidth="1"/>
    <col min="4353" max="4592" width="8.88671875" style="127"/>
    <col min="4593" max="4593" width="6" style="127" customWidth="1"/>
    <col min="4594" max="4594" width="1.44140625" style="127" customWidth="1"/>
    <col min="4595" max="4595" width="39.109375" style="127" customWidth="1"/>
    <col min="4596" max="4596" width="12" style="127" customWidth="1"/>
    <col min="4597" max="4597" width="14.44140625" style="127" customWidth="1"/>
    <col min="4598" max="4598" width="11.88671875" style="127" customWidth="1"/>
    <col min="4599" max="4599" width="14.109375" style="127" customWidth="1"/>
    <col min="4600" max="4600" width="13.88671875" style="127" customWidth="1"/>
    <col min="4601" max="4602" width="12.77734375" style="127" customWidth="1"/>
    <col min="4603" max="4603" width="13.5546875" style="127" customWidth="1"/>
    <col min="4604" max="4604" width="15.33203125" style="127" customWidth="1"/>
    <col min="4605" max="4605" width="12.77734375" style="127" customWidth="1"/>
    <col min="4606" max="4606" width="13.88671875" style="127" customWidth="1"/>
    <col min="4607" max="4607" width="1.88671875" style="127" customWidth="1"/>
    <col min="4608" max="4608" width="13" style="127" customWidth="1"/>
    <col min="4609" max="4848" width="8.88671875" style="127"/>
    <col min="4849" max="4849" width="6" style="127" customWidth="1"/>
    <col min="4850" max="4850" width="1.44140625" style="127" customWidth="1"/>
    <col min="4851" max="4851" width="39.109375" style="127" customWidth="1"/>
    <col min="4852" max="4852" width="12" style="127" customWidth="1"/>
    <col min="4853" max="4853" width="14.44140625" style="127" customWidth="1"/>
    <col min="4854" max="4854" width="11.88671875" style="127" customWidth="1"/>
    <col min="4855" max="4855" width="14.109375" style="127" customWidth="1"/>
    <col min="4856" max="4856" width="13.88671875" style="127" customWidth="1"/>
    <col min="4857" max="4858" width="12.77734375" style="127" customWidth="1"/>
    <col min="4859" max="4859" width="13.5546875" style="127" customWidth="1"/>
    <col min="4860" max="4860" width="15.33203125" style="127" customWidth="1"/>
    <col min="4861" max="4861" width="12.77734375" style="127" customWidth="1"/>
    <col min="4862" max="4862" width="13.88671875" style="127" customWidth="1"/>
    <col min="4863" max="4863" width="1.88671875" style="127" customWidth="1"/>
    <col min="4864" max="4864" width="13" style="127" customWidth="1"/>
    <col min="4865" max="5104" width="8.88671875" style="127"/>
    <col min="5105" max="5105" width="6" style="127" customWidth="1"/>
    <col min="5106" max="5106" width="1.44140625" style="127" customWidth="1"/>
    <col min="5107" max="5107" width="39.109375" style="127" customWidth="1"/>
    <col min="5108" max="5108" width="12" style="127" customWidth="1"/>
    <col min="5109" max="5109" width="14.44140625" style="127" customWidth="1"/>
    <col min="5110" max="5110" width="11.88671875" style="127" customWidth="1"/>
    <col min="5111" max="5111" width="14.109375" style="127" customWidth="1"/>
    <col min="5112" max="5112" width="13.88671875" style="127" customWidth="1"/>
    <col min="5113" max="5114" width="12.77734375" style="127" customWidth="1"/>
    <col min="5115" max="5115" width="13.5546875" style="127" customWidth="1"/>
    <col min="5116" max="5116" width="15.33203125" style="127" customWidth="1"/>
    <col min="5117" max="5117" width="12.77734375" style="127" customWidth="1"/>
    <col min="5118" max="5118" width="13.88671875" style="127" customWidth="1"/>
    <col min="5119" max="5119" width="1.88671875" style="127" customWidth="1"/>
    <col min="5120" max="5120" width="13" style="127" customWidth="1"/>
    <col min="5121" max="5360" width="8.88671875" style="127"/>
    <col min="5361" max="5361" width="6" style="127" customWidth="1"/>
    <col min="5362" max="5362" width="1.44140625" style="127" customWidth="1"/>
    <col min="5363" max="5363" width="39.109375" style="127" customWidth="1"/>
    <col min="5364" max="5364" width="12" style="127" customWidth="1"/>
    <col min="5365" max="5365" width="14.44140625" style="127" customWidth="1"/>
    <col min="5366" max="5366" width="11.88671875" style="127" customWidth="1"/>
    <col min="5367" max="5367" width="14.109375" style="127" customWidth="1"/>
    <col min="5368" max="5368" width="13.88671875" style="127" customWidth="1"/>
    <col min="5369" max="5370" width="12.77734375" style="127" customWidth="1"/>
    <col min="5371" max="5371" width="13.5546875" style="127" customWidth="1"/>
    <col min="5372" max="5372" width="15.33203125" style="127" customWidth="1"/>
    <col min="5373" max="5373" width="12.77734375" style="127" customWidth="1"/>
    <col min="5374" max="5374" width="13.88671875" style="127" customWidth="1"/>
    <col min="5375" max="5375" width="1.88671875" style="127" customWidth="1"/>
    <col min="5376" max="5376" width="13" style="127" customWidth="1"/>
    <col min="5377" max="5616" width="8.88671875" style="127"/>
    <col min="5617" max="5617" width="6" style="127" customWidth="1"/>
    <col min="5618" max="5618" width="1.44140625" style="127" customWidth="1"/>
    <col min="5619" max="5619" width="39.109375" style="127" customWidth="1"/>
    <col min="5620" max="5620" width="12" style="127" customWidth="1"/>
    <col min="5621" max="5621" width="14.44140625" style="127" customWidth="1"/>
    <col min="5622" max="5622" width="11.88671875" style="127" customWidth="1"/>
    <col min="5623" max="5623" width="14.109375" style="127" customWidth="1"/>
    <col min="5624" max="5624" width="13.88671875" style="127" customWidth="1"/>
    <col min="5625" max="5626" width="12.77734375" style="127" customWidth="1"/>
    <col min="5627" max="5627" width="13.5546875" style="127" customWidth="1"/>
    <col min="5628" max="5628" width="15.33203125" style="127" customWidth="1"/>
    <col min="5629" max="5629" width="12.77734375" style="127" customWidth="1"/>
    <col min="5630" max="5630" width="13.88671875" style="127" customWidth="1"/>
    <col min="5631" max="5631" width="1.88671875" style="127" customWidth="1"/>
    <col min="5632" max="5632" width="13" style="127" customWidth="1"/>
    <col min="5633" max="5872" width="8.88671875" style="127"/>
    <col min="5873" max="5873" width="6" style="127" customWidth="1"/>
    <col min="5874" max="5874" width="1.44140625" style="127" customWidth="1"/>
    <col min="5875" max="5875" width="39.109375" style="127" customWidth="1"/>
    <col min="5876" max="5876" width="12" style="127" customWidth="1"/>
    <col min="5877" max="5877" width="14.44140625" style="127" customWidth="1"/>
    <col min="5878" max="5878" width="11.88671875" style="127" customWidth="1"/>
    <col min="5879" max="5879" width="14.109375" style="127" customWidth="1"/>
    <col min="5880" max="5880" width="13.88671875" style="127" customWidth="1"/>
    <col min="5881" max="5882" width="12.77734375" style="127" customWidth="1"/>
    <col min="5883" max="5883" width="13.5546875" style="127" customWidth="1"/>
    <col min="5884" max="5884" width="15.33203125" style="127" customWidth="1"/>
    <col min="5885" max="5885" width="12.77734375" style="127" customWidth="1"/>
    <col min="5886" max="5886" width="13.88671875" style="127" customWidth="1"/>
    <col min="5887" max="5887" width="1.88671875" style="127" customWidth="1"/>
    <col min="5888" max="5888" width="13" style="127" customWidth="1"/>
    <col min="5889" max="6128" width="8.88671875" style="127"/>
    <col min="6129" max="6129" width="6" style="127" customWidth="1"/>
    <col min="6130" max="6130" width="1.44140625" style="127" customWidth="1"/>
    <col min="6131" max="6131" width="39.109375" style="127" customWidth="1"/>
    <col min="6132" max="6132" width="12" style="127" customWidth="1"/>
    <col min="6133" max="6133" width="14.44140625" style="127" customWidth="1"/>
    <col min="6134" max="6134" width="11.88671875" style="127" customWidth="1"/>
    <col min="6135" max="6135" width="14.109375" style="127" customWidth="1"/>
    <col min="6136" max="6136" width="13.88671875" style="127" customWidth="1"/>
    <col min="6137" max="6138" width="12.77734375" style="127" customWidth="1"/>
    <col min="6139" max="6139" width="13.5546875" style="127" customWidth="1"/>
    <col min="6140" max="6140" width="15.33203125" style="127" customWidth="1"/>
    <col min="6141" max="6141" width="12.77734375" style="127" customWidth="1"/>
    <col min="6142" max="6142" width="13.88671875" style="127" customWidth="1"/>
    <col min="6143" max="6143" width="1.88671875" style="127" customWidth="1"/>
    <col min="6144" max="6144" width="13" style="127" customWidth="1"/>
    <col min="6145" max="6384" width="8.88671875" style="127"/>
    <col min="6385" max="6385" width="6" style="127" customWidth="1"/>
    <col min="6386" max="6386" width="1.44140625" style="127" customWidth="1"/>
    <col min="6387" max="6387" width="39.109375" style="127" customWidth="1"/>
    <col min="6388" max="6388" width="12" style="127" customWidth="1"/>
    <col min="6389" max="6389" width="14.44140625" style="127" customWidth="1"/>
    <col min="6390" max="6390" width="11.88671875" style="127" customWidth="1"/>
    <col min="6391" max="6391" width="14.109375" style="127" customWidth="1"/>
    <col min="6392" max="6392" width="13.88671875" style="127" customWidth="1"/>
    <col min="6393" max="6394" width="12.77734375" style="127" customWidth="1"/>
    <col min="6395" max="6395" width="13.5546875" style="127" customWidth="1"/>
    <col min="6396" max="6396" width="15.33203125" style="127" customWidth="1"/>
    <col min="6397" max="6397" width="12.77734375" style="127" customWidth="1"/>
    <col min="6398" max="6398" width="13.88671875" style="127" customWidth="1"/>
    <col min="6399" max="6399" width="1.88671875" style="127" customWidth="1"/>
    <col min="6400" max="6400" width="13" style="127" customWidth="1"/>
    <col min="6401" max="6640" width="8.88671875" style="127"/>
    <col min="6641" max="6641" width="6" style="127" customWidth="1"/>
    <col min="6642" max="6642" width="1.44140625" style="127" customWidth="1"/>
    <col min="6643" max="6643" width="39.109375" style="127" customWidth="1"/>
    <col min="6644" max="6644" width="12" style="127" customWidth="1"/>
    <col min="6645" max="6645" width="14.44140625" style="127" customWidth="1"/>
    <col min="6646" max="6646" width="11.88671875" style="127" customWidth="1"/>
    <col min="6647" max="6647" width="14.109375" style="127" customWidth="1"/>
    <col min="6648" max="6648" width="13.88671875" style="127" customWidth="1"/>
    <col min="6649" max="6650" width="12.77734375" style="127" customWidth="1"/>
    <col min="6651" max="6651" width="13.5546875" style="127" customWidth="1"/>
    <col min="6652" max="6652" width="15.33203125" style="127" customWidth="1"/>
    <col min="6653" max="6653" width="12.77734375" style="127" customWidth="1"/>
    <col min="6654" max="6654" width="13.88671875" style="127" customWidth="1"/>
    <col min="6655" max="6655" width="1.88671875" style="127" customWidth="1"/>
    <col min="6656" max="6656" width="13" style="127" customWidth="1"/>
    <col min="6657" max="6896" width="8.88671875" style="127"/>
    <col min="6897" max="6897" width="6" style="127" customWidth="1"/>
    <col min="6898" max="6898" width="1.44140625" style="127" customWidth="1"/>
    <col min="6899" max="6899" width="39.109375" style="127" customWidth="1"/>
    <col min="6900" max="6900" width="12" style="127" customWidth="1"/>
    <col min="6901" max="6901" width="14.44140625" style="127" customWidth="1"/>
    <col min="6902" max="6902" width="11.88671875" style="127" customWidth="1"/>
    <col min="6903" max="6903" width="14.109375" style="127" customWidth="1"/>
    <col min="6904" max="6904" width="13.88671875" style="127" customWidth="1"/>
    <col min="6905" max="6906" width="12.77734375" style="127" customWidth="1"/>
    <col min="6907" max="6907" width="13.5546875" style="127" customWidth="1"/>
    <col min="6908" max="6908" width="15.33203125" style="127" customWidth="1"/>
    <col min="6909" max="6909" width="12.77734375" style="127" customWidth="1"/>
    <col min="6910" max="6910" width="13.88671875" style="127" customWidth="1"/>
    <col min="6911" max="6911" width="1.88671875" style="127" customWidth="1"/>
    <col min="6912" max="6912" width="13" style="127" customWidth="1"/>
    <col min="6913" max="7152" width="8.88671875" style="127"/>
    <col min="7153" max="7153" width="6" style="127" customWidth="1"/>
    <col min="7154" max="7154" width="1.44140625" style="127" customWidth="1"/>
    <col min="7155" max="7155" width="39.109375" style="127" customWidth="1"/>
    <col min="7156" max="7156" width="12" style="127" customWidth="1"/>
    <col min="7157" max="7157" width="14.44140625" style="127" customWidth="1"/>
    <col min="7158" max="7158" width="11.88671875" style="127" customWidth="1"/>
    <col min="7159" max="7159" width="14.109375" style="127" customWidth="1"/>
    <col min="7160" max="7160" width="13.88671875" style="127" customWidth="1"/>
    <col min="7161" max="7162" width="12.77734375" style="127" customWidth="1"/>
    <col min="7163" max="7163" width="13.5546875" style="127" customWidth="1"/>
    <col min="7164" max="7164" width="15.33203125" style="127" customWidth="1"/>
    <col min="7165" max="7165" width="12.77734375" style="127" customWidth="1"/>
    <col min="7166" max="7166" width="13.88671875" style="127" customWidth="1"/>
    <col min="7167" max="7167" width="1.88671875" style="127" customWidth="1"/>
    <col min="7168" max="7168" width="13" style="127" customWidth="1"/>
    <col min="7169" max="7408" width="8.88671875" style="127"/>
    <col min="7409" max="7409" width="6" style="127" customWidth="1"/>
    <col min="7410" max="7410" width="1.44140625" style="127" customWidth="1"/>
    <col min="7411" max="7411" width="39.109375" style="127" customWidth="1"/>
    <col min="7412" max="7412" width="12" style="127" customWidth="1"/>
    <col min="7413" max="7413" width="14.44140625" style="127" customWidth="1"/>
    <col min="7414" max="7414" width="11.88671875" style="127" customWidth="1"/>
    <col min="7415" max="7415" width="14.109375" style="127" customWidth="1"/>
    <col min="7416" max="7416" width="13.88671875" style="127" customWidth="1"/>
    <col min="7417" max="7418" width="12.77734375" style="127" customWidth="1"/>
    <col min="7419" max="7419" width="13.5546875" style="127" customWidth="1"/>
    <col min="7420" max="7420" width="15.33203125" style="127" customWidth="1"/>
    <col min="7421" max="7421" width="12.77734375" style="127" customWidth="1"/>
    <col min="7422" max="7422" width="13.88671875" style="127" customWidth="1"/>
    <col min="7423" max="7423" width="1.88671875" style="127" customWidth="1"/>
    <col min="7424" max="7424" width="13" style="127" customWidth="1"/>
    <col min="7425" max="7664" width="8.88671875" style="127"/>
    <col min="7665" max="7665" width="6" style="127" customWidth="1"/>
    <col min="7666" max="7666" width="1.44140625" style="127" customWidth="1"/>
    <col min="7667" max="7667" width="39.109375" style="127" customWidth="1"/>
    <col min="7668" max="7668" width="12" style="127" customWidth="1"/>
    <col min="7669" max="7669" width="14.44140625" style="127" customWidth="1"/>
    <col min="7670" max="7670" width="11.88671875" style="127" customWidth="1"/>
    <col min="7671" max="7671" width="14.109375" style="127" customWidth="1"/>
    <col min="7672" max="7672" width="13.88671875" style="127" customWidth="1"/>
    <col min="7673" max="7674" width="12.77734375" style="127" customWidth="1"/>
    <col min="7675" max="7675" width="13.5546875" style="127" customWidth="1"/>
    <col min="7676" max="7676" width="15.33203125" style="127" customWidth="1"/>
    <col min="7677" max="7677" width="12.77734375" style="127" customWidth="1"/>
    <col min="7678" max="7678" width="13.88671875" style="127" customWidth="1"/>
    <col min="7679" max="7679" width="1.88671875" style="127" customWidth="1"/>
    <col min="7680" max="7680" width="13" style="127" customWidth="1"/>
    <col min="7681" max="7920" width="8.88671875" style="127"/>
    <col min="7921" max="7921" width="6" style="127" customWidth="1"/>
    <col min="7922" max="7922" width="1.44140625" style="127" customWidth="1"/>
    <col min="7923" max="7923" width="39.109375" style="127" customWidth="1"/>
    <col min="7924" max="7924" width="12" style="127" customWidth="1"/>
    <col min="7925" max="7925" width="14.44140625" style="127" customWidth="1"/>
    <col min="7926" max="7926" width="11.88671875" style="127" customWidth="1"/>
    <col min="7927" max="7927" width="14.109375" style="127" customWidth="1"/>
    <col min="7928" max="7928" width="13.88671875" style="127" customWidth="1"/>
    <col min="7929" max="7930" width="12.77734375" style="127" customWidth="1"/>
    <col min="7931" max="7931" width="13.5546875" style="127" customWidth="1"/>
    <col min="7932" max="7932" width="15.33203125" style="127" customWidth="1"/>
    <col min="7933" max="7933" width="12.77734375" style="127" customWidth="1"/>
    <col min="7934" max="7934" width="13.88671875" style="127" customWidth="1"/>
    <col min="7935" max="7935" width="1.88671875" style="127" customWidth="1"/>
    <col min="7936" max="7936" width="13" style="127" customWidth="1"/>
    <col min="7937" max="8176" width="8.88671875" style="127"/>
    <col min="8177" max="8177" width="6" style="127" customWidth="1"/>
    <col min="8178" max="8178" width="1.44140625" style="127" customWidth="1"/>
    <col min="8179" max="8179" width="39.109375" style="127" customWidth="1"/>
    <col min="8180" max="8180" width="12" style="127" customWidth="1"/>
    <col min="8181" max="8181" width="14.44140625" style="127" customWidth="1"/>
    <col min="8182" max="8182" width="11.88671875" style="127" customWidth="1"/>
    <col min="8183" max="8183" width="14.109375" style="127" customWidth="1"/>
    <col min="8184" max="8184" width="13.88671875" style="127" customWidth="1"/>
    <col min="8185" max="8186" width="12.77734375" style="127" customWidth="1"/>
    <col min="8187" max="8187" width="13.5546875" style="127" customWidth="1"/>
    <col min="8188" max="8188" width="15.33203125" style="127" customWidth="1"/>
    <col min="8189" max="8189" width="12.77734375" style="127" customWidth="1"/>
    <col min="8190" max="8190" width="13.88671875" style="127" customWidth="1"/>
    <col min="8191" max="8191" width="1.88671875" style="127" customWidth="1"/>
    <col min="8192" max="8192" width="13" style="127" customWidth="1"/>
    <col min="8193" max="8432" width="8.88671875" style="127"/>
    <col min="8433" max="8433" width="6" style="127" customWidth="1"/>
    <col min="8434" max="8434" width="1.44140625" style="127" customWidth="1"/>
    <col min="8435" max="8435" width="39.109375" style="127" customWidth="1"/>
    <col min="8436" max="8436" width="12" style="127" customWidth="1"/>
    <col min="8437" max="8437" width="14.44140625" style="127" customWidth="1"/>
    <col min="8438" max="8438" width="11.88671875" style="127" customWidth="1"/>
    <col min="8439" max="8439" width="14.109375" style="127" customWidth="1"/>
    <col min="8440" max="8440" width="13.88671875" style="127" customWidth="1"/>
    <col min="8441" max="8442" width="12.77734375" style="127" customWidth="1"/>
    <col min="8443" max="8443" width="13.5546875" style="127" customWidth="1"/>
    <col min="8444" max="8444" width="15.33203125" style="127" customWidth="1"/>
    <col min="8445" max="8445" width="12.77734375" style="127" customWidth="1"/>
    <col min="8446" max="8446" width="13.88671875" style="127" customWidth="1"/>
    <col min="8447" max="8447" width="1.88671875" style="127" customWidth="1"/>
    <col min="8448" max="8448" width="13" style="127" customWidth="1"/>
    <col min="8449" max="8688" width="8.88671875" style="127"/>
    <col min="8689" max="8689" width="6" style="127" customWidth="1"/>
    <col min="8690" max="8690" width="1.44140625" style="127" customWidth="1"/>
    <col min="8691" max="8691" width="39.109375" style="127" customWidth="1"/>
    <col min="8692" max="8692" width="12" style="127" customWidth="1"/>
    <col min="8693" max="8693" width="14.44140625" style="127" customWidth="1"/>
    <col min="8694" max="8694" width="11.88671875" style="127" customWidth="1"/>
    <col min="8695" max="8695" width="14.109375" style="127" customWidth="1"/>
    <col min="8696" max="8696" width="13.88671875" style="127" customWidth="1"/>
    <col min="8697" max="8698" width="12.77734375" style="127" customWidth="1"/>
    <col min="8699" max="8699" width="13.5546875" style="127" customWidth="1"/>
    <col min="8700" max="8700" width="15.33203125" style="127" customWidth="1"/>
    <col min="8701" max="8701" width="12.77734375" style="127" customWidth="1"/>
    <col min="8702" max="8702" width="13.88671875" style="127" customWidth="1"/>
    <col min="8703" max="8703" width="1.88671875" style="127" customWidth="1"/>
    <col min="8704" max="8704" width="13" style="127" customWidth="1"/>
    <col min="8705" max="8944" width="8.88671875" style="127"/>
    <col min="8945" max="8945" width="6" style="127" customWidth="1"/>
    <col min="8946" max="8946" width="1.44140625" style="127" customWidth="1"/>
    <col min="8947" max="8947" width="39.109375" style="127" customWidth="1"/>
    <col min="8948" max="8948" width="12" style="127" customWidth="1"/>
    <col min="8949" max="8949" width="14.44140625" style="127" customWidth="1"/>
    <col min="8950" max="8950" width="11.88671875" style="127" customWidth="1"/>
    <col min="8951" max="8951" width="14.109375" style="127" customWidth="1"/>
    <col min="8952" max="8952" width="13.88671875" style="127" customWidth="1"/>
    <col min="8953" max="8954" width="12.77734375" style="127" customWidth="1"/>
    <col min="8955" max="8955" width="13.5546875" style="127" customWidth="1"/>
    <col min="8956" max="8956" width="15.33203125" style="127" customWidth="1"/>
    <col min="8957" max="8957" width="12.77734375" style="127" customWidth="1"/>
    <col min="8958" max="8958" width="13.88671875" style="127" customWidth="1"/>
    <col min="8959" max="8959" width="1.88671875" style="127" customWidth="1"/>
    <col min="8960" max="8960" width="13" style="127" customWidth="1"/>
    <col min="8961" max="9200" width="8.88671875" style="127"/>
    <col min="9201" max="9201" width="6" style="127" customWidth="1"/>
    <col min="9202" max="9202" width="1.44140625" style="127" customWidth="1"/>
    <col min="9203" max="9203" width="39.109375" style="127" customWidth="1"/>
    <col min="9204" max="9204" width="12" style="127" customWidth="1"/>
    <col min="9205" max="9205" width="14.44140625" style="127" customWidth="1"/>
    <col min="9206" max="9206" width="11.88671875" style="127" customWidth="1"/>
    <col min="9207" max="9207" width="14.109375" style="127" customWidth="1"/>
    <col min="9208" max="9208" width="13.88671875" style="127" customWidth="1"/>
    <col min="9209" max="9210" width="12.77734375" style="127" customWidth="1"/>
    <col min="9211" max="9211" width="13.5546875" style="127" customWidth="1"/>
    <col min="9212" max="9212" width="15.33203125" style="127" customWidth="1"/>
    <col min="9213" max="9213" width="12.77734375" style="127" customWidth="1"/>
    <col min="9214" max="9214" width="13.88671875" style="127" customWidth="1"/>
    <col min="9215" max="9215" width="1.88671875" style="127" customWidth="1"/>
    <col min="9216" max="9216" width="13" style="127" customWidth="1"/>
    <col min="9217" max="9456" width="8.88671875" style="127"/>
    <col min="9457" max="9457" width="6" style="127" customWidth="1"/>
    <col min="9458" max="9458" width="1.44140625" style="127" customWidth="1"/>
    <col min="9459" max="9459" width="39.109375" style="127" customWidth="1"/>
    <col min="9460" max="9460" width="12" style="127" customWidth="1"/>
    <col min="9461" max="9461" width="14.44140625" style="127" customWidth="1"/>
    <col min="9462" max="9462" width="11.88671875" style="127" customWidth="1"/>
    <col min="9463" max="9463" width="14.109375" style="127" customWidth="1"/>
    <col min="9464" max="9464" width="13.88671875" style="127" customWidth="1"/>
    <col min="9465" max="9466" width="12.77734375" style="127" customWidth="1"/>
    <col min="9467" max="9467" width="13.5546875" style="127" customWidth="1"/>
    <col min="9468" max="9468" width="15.33203125" style="127" customWidth="1"/>
    <col min="9469" max="9469" width="12.77734375" style="127" customWidth="1"/>
    <col min="9470" max="9470" width="13.88671875" style="127" customWidth="1"/>
    <col min="9471" max="9471" width="1.88671875" style="127" customWidth="1"/>
    <col min="9472" max="9472" width="13" style="127" customWidth="1"/>
    <col min="9473" max="9712" width="8.88671875" style="127"/>
    <col min="9713" max="9713" width="6" style="127" customWidth="1"/>
    <col min="9714" max="9714" width="1.44140625" style="127" customWidth="1"/>
    <col min="9715" max="9715" width="39.109375" style="127" customWidth="1"/>
    <col min="9716" max="9716" width="12" style="127" customWidth="1"/>
    <col min="9717" max="9717" width="14.44140625" style="127" customWidth="1"/>
    <col min="9718" max="9718" width="11.88671875" style="127" customWidth="1"/>
    <col min="9719" max="9719" width="14.109375" style="127" customWidth="1"/>
    <col min="9720" max="9720" width="13.88671875" style="127" customWidth="1"/>
    <col min="9721" max="9722" width="12.77734375" style="127" customWidth="1"/>
    <col min="9723" max="9723" width="13.5546875" style="127" customWidth="1"/>
    <col min="9724" max="9724" width="15.33203125" style="127" customWidth="1"/>
    <col min="9725" max="9725" width="12.77734375" style="127" customWidth="1"/>
    <col min="9726" max="9726" width="13.88671875" style="127" customWidth="1"/>
    <col min="9727" max="9727" width="1.88671875" style="127" customWidth="1"/>
    <col min="9728" max="9728" width="13" style="127" customWidth="1"/>
    <col min="9729" max="9968" width="8.88671875" style="127"/>
    <col min="9969" max="9969" width="6" style="127" customWidth="1"/>
    <col min="9970" max="9970" width="1.44140625" style="127" customWidth="1"/>
    <col min="9971" max="9971" width="39.109375" style="127" customWidth="1"/>
    <col min="9972" max="9972" width="12" style="127" customWidth="1"/>
    <col min="9973" max="9973" width="14.44140625" style="127" customWidth="1"/>
    <col min="9974" max="9974" width="11.88671875" style="127" customWidth="1"/>
    <col min="9975" max="9975" width="14.109375" style="127" customWidth="1"/>
    <col min="9976" max="9976" width="13.88671875" style="127" customWidth="1"/>
    <col min="9977" max="9978" width="12.77734375" style="127" customWidth="1"/>
    <col min="9979" max="9979" width="13.5546875" style="127" customWidth="1"/>
    <col min="9980" max="9980" width="15.33203125" style="127" customWidth="1"/>
    <col min="9981" max="9981" width="12.77734375" style="127" customWidth="1"/>
    <col min="9982" max="9982" width="13.88671875" style="127" customWidth="1"/>
    <col min="9983" max="9983" width="1.88671875" style="127" customWidth="1"/>
    <col min="9984" max="9984" width="13" style="127" customWidth="1"/>
    <col min="9985" max="10224" width="8.88671875" style="127"/>
    <col min="10225" max="10225" width="6" style="127" customWidth="1"/>
    <col min="10226" max="10226" width="1.44140625" style="127" customWidth="1"/>
    <col min="10227" max="10227" width="39.109375" style="127" customWidth="1"/>
    <col min="10228" max="10228" width="12" style="127" customWidth="1"/>
    <col min="10229" max="10229" width="14.44140625" style="127" customWidth="1"/>
    <col min="10230" max="10230" width="11.88671875" style="127" customWidth="1"/>
    <col min="10231" max="10231" width="14.109375" style="127" customWidth="1"/>
    <col min="10232" max="10232" width="13.88671875" style="127" customWidth="1"/>
    <col min="10233" max="10234" width="12.77734375" style="127" customWidth="1"/>
    <col min="10235" max="10235" width="13.5546875" style="127" customWidth="1"/>
    <col min="10236" max="10236" width="15.33203125" style="127" customWidth="1"/>
    <col min="10237" max="10237" width="12.77734375" style="127" customWidth="1"/>
    <col min="10238" max="10238" width="13.88671875" style="127" customWidth="1"/>
    <col min="10239" max="10239" width="1.88671875" style="127" customWidth="1"/>
    <col min="10240" max="10240" width="13" style="127" customWidth="1"/>
    <col min="10241" max="10480" width="8.88671875" style="127"/>
    <col min="10481" max="10481" width="6" style="127" customWidth="1"/>
    <col min="10482" max="10482" width="1.44140625" style="127" customWidth="1"/>
    <col min="10483" max="10483" width="39.109375" style="127" customWidth="1"/>
    <col min="10484" max="10484" width="12" style="127" customWidth="1"/>
    <col min="10485" max="10485" width="14.44140625" style="127" customWidth="1"/>
    <col min="10486" max="10486" width="11.88671875" style="127" customWidth="1"/>
    <col min="10487" max="10487" width="14.109375" style="127" customWidth="1"/>
    <col min="10488" max="10488" width="13.88671875" style="127" customWidth="1"/>
    <col min="10489" max="10490" width="12.77734375" style="127" customWidth="1"/>
    <col min="10491" max="10491" width="13.5546875" style="127" customWidth="1"/>
    <col min="10492" max="10492" width="15.33203125" style="127" customWidth="1"/>
    <col min="10493" max="10493" width="12.77734375" style="127" customWidth="1"/>
    <col min="10494" max="10494" width="13.88671875" style="127" customWidth="1"/>
    <col min="10495" max="10495" width="1.88671875" style="127" customWidth="1"/>
    <col min="10496" max="10496" width="13" style="127" customWidth="1"/>
    <col min="10497" max="10736" width="8.88671875" style="127"/>
    <col min="10737" max="10737" width="6" style="127" customWidth="1"/>
    <col min="10738" max="10738" width="1.44140625" style="127" customWidth="1"/>
    <col min="10739" max="10739" width="39.109375" style="127" customWidth="1"/>
    <col min="10740" max="10740" width="12" style="127" customWidth="1"/>
    <col min="10741" max="10741" width="14.44140625" style="127" customWidth="1"/>
    <col min="10742" max="10742" width="11.88671875" style="127" customWidth="1"/>
    <col min="10743" max="10743" width="14.109375" style="127" customWidth="1"/>
    <col min="10744" max="10744" width="13.88671875" style="127" customWidth="1"/>
    <col min="10745" max="10746" width="12.77734375" style="127" customWidth="1"/>
    <col min="10747" max="10747" width="13.5546875" style="127" customWidth="1"/>
    <col min="10748" max="10748" width="15.33203125" style="127" customWidth="1"/>
    <col min="10749" max="10749" width="12.77734375" style="127" customWidth="1"/>
    <col min="10750" max="10750" width="13.88671875" style="127" customWidth="1"/>
    <col min="10751" max="10751" width="1.88671875" style="127" customWidth="1"/>
    <col min="10752" max="10752" width="13" style="127" customWidth="1"/>
    <col min="10753" max="10992" width="8.88671875" style="127"/>
    <col min="10993" max="10993" width="6" style="127" customWidth="1"/>
    <col min="10994" max="10994" width="1.44140625" style="127" customWidth="1"/>
    <col min="10995" max="10995" width="39.109375" style="127" customWidth="1"/>
    <col min="10996" max="10996" width="12" style="127" customWidth="1"/>
    <col min="10997" max="10997" width="14.44140625" style="127" customWidth="1"/>
    <col min="10998" max="10998" width="11.88671875" style="127" customWidth="1"/>
    <col min="10999" max="10999" width="14.109375" style="127" customWidth="1"/>
    <col min="11000" max="11000" width="13.88671875" style="127" customWidth="1"/>
    <col min="11001" max="11002" width="12.77734375" style="127" customWidth="1"/>
    <col min="11003" max="11003" width="13.5546875" style="127" customWidth="1"/>
    <col min="11004" max="11004" width="15.33203125" style="127" customWidth="1"/>
    <col min="11005" max="11005" width="12.77734375" style="127" customWidth="1"/>
    <col min="11006" max="11006" width="13.88671875" style="127" customWidth="1"/>
    <col min="11007" max="11007" width="1.88671875" style="127" customWidth="1"/>
    <col min="11008" max="11008" width="13" style="127" customWidth="1"/>
    <col min="11009" max="11248" width="8.88671875" style="127"/>
    <col min="11249" max="11249" width="6" style="127" customWidth="1"/>
    <col min="11250" max="11250" width="1.44140625" style="127" customWidth="1"/>
    <col min="11251" max="11251" width="39.109375" style="127" customWidth="1"/>
    <col min="11252" max="11252" width="12" style="127" customWidth="1"/>
    <col min="11253" max="11253" width="14.44140625" style="127" customWidth="1"/>
    <col min="11254" max="11254" width="11.88671875" style="127" customWidth="1"/>
    <col min="11255" max="11255" width="14.109375" style="127" customWidth="1"/>
    <col min="11256" max="11256" width="13.88671875" style="127" customWidth="1"/>
    <col min="11257" max="11258" width="12.77734375" style="127" customWidth="1"/>
    <col min="11259" max="11259" width="13.5546875" style="127" customWidth="1"/>
    <col min="11260" max="11260" width="15.33203125" style="127" customWidth="1"/>
    <col min="11261" max="11261" width="12.77734375" style="127" customWidth="1"/>
    <col min="11262" max="11262" width="13.88671875" style="127" customWidth="1"/>
    <col min="11263" max="11263" width="1.88671875" style="127" customWidth="1"/>
    <col min="11264" max="11264" width="13" style="127" customWidth="1"/>
    <col min="11265" max="11504" width="8.88671875" style="127"/>
    <col min="11505" max="11505" width="6" style="127" customWidth="1"/>
    <col min="11506" max="11506" width="1.44140625" style="127" customWidth="1"/>
    <col min="11507" max="11507" width="39.109375" style="127" customWidth="1"/>
    <col min="11508" max="11508" width="12" style="127" customWidth="1"/>
    <col min="11509" max="11509" width="14.44140625" style="127" customWidth="1"/>
    <col min="11510" max="11510" width="11.88671875" style="127" customWidth="1"/>
    <col min="11511" max="11511" width="14.109375" style="127" customWidth="1"/>
    <col min="11512" max="11512" width="13.88671875" style="127" customWidth="1"/>
    <col min="11513" max="11514" width="12.77734375" style="127" customWidth="1"/>
    <col min="11515" max="11515" width="13.5546875" style="127" customWidth="1"/>
    <col min="11516" max="11516" width="15.33203125" style="127" customWidth="1"/>
    <col min="11517" max="11517" width="12.77734375" style="127" customWidth="1"/>
    <col min="11518" max="11518" width="13.88671875" style="127" customWidth="1"/>
    <col min="11519" max="11519" width="1.88671875" style="127" customWidth="1"/>
    <col min="11520" max="11520" width="13" style="127" customWidth="1"/>
    <col min="11521" max="11760" width="8.88671875" style="127"/>
    <col min="11761" max="11761" width="6" style="127" customWidth="1"/>
    <col min="11762" max="11762" width="1.44140625" style="127" customWidth="1"/>
    <col min="11763" max="11763" width="39.109375" style="127" customWidth="1"/>
    <col min="11764" max="11764" width="12" style="127" customWidth="1"/>
    <col min="11765" max="11765" width="14.44140625" style="127" customWidth="1"/>
    <col min="11766" max="11766" width="11.88671875" style="127" customWidth="1"/>
    <col min="11767" max="11767" width="14.109375" style="127" customWidth="1"/>
    <col min="11768" max="11768" width="13.88671875" style="127" customWidth="1"/>
    <col min="11769" max="11770" width="12.77734375" style="127" customWidth="1"/>
    <col min="11771" max="11771" width="13.5546875" style="127" customWidth="1"/>
    <col min="11772" max="11772" width="15.33203125" style="127" customWidth="1"/>
    <col min="11773" max="11773" width="12.77734375" style="127" customWidth="1"/>
    <col min="11774" max="11774" width="13.88671875" style="127" customWidth="1"/>
    <col min="11775" max="11775" width="1.88671875" style="127" customWidth="1"/>
    <col min="11776" max="11776" width="13" style="127" customWidth="1"/>
    <col min="11777" max="12016" width="8.88671875" style="127"/>
    <col min="12017" max="12017" width="6" style="127" customWidth="1"/>
    <col min="12018" max="12018" width="1.44140625" style="127" customWidth="1"/>
    <col min="12019" max="12019" width="39.109375" style="127" customWidth="1"/>
    <col min="12020" max="12020" width="12" style="127" customWidth="1"/>
    <col min="12021" max="12021" width="14.44140625" style="127" customWidth="1"/>
    <col min="12022" max="12022" width="11.88671875" style="127" customWidth="1"/>
    <col min="12023" max="12023" width="14.109375" style="127" customWidth="1"/>
    <col min="12024" max="12024" width="13.88671875" style="127" customWidth="1"/>
    <col min="12025" max="12026" width="12.77734375" style="127" customWidth="1"/>
    <col min="12027" max="12027" width="13.5546875" style="127" customWidth="1"/>
    <col min="12028" max="12028" width="15.33203125" style="127" customWidth="1"/>
    <col min="12029" max="12029" width="12.77734375" style="127" customWidth="1"/>
    <col min="12030" max="12030" width="13.88671875" style="127" customWidth="1"/>
    <col min="12031" max="12031" width="1.88671875" style="127" customWidth="1"/>
    <col min="12032" max="12032" width="13" style="127" customWidth="1"/>
    <col min="12033" max="12272" width="8.88671875" style="127"/>
    <col min="12273" max="12273" width="6" style="127" customWidth="1"/>
    <col min="12274" max="12274" width="1.44140625" style="127" customWidth="1"/>
    <col min="12275" max="12275" width="39.109375" style="127" customWidth="1"/>
    <col min="12276" max="12276" width="12" style="127" customWidth="1"/>
    <col min="12277" max="12277" width="14.44140625" style="127" customWidth="1"/>
    <col min="12278" max="12278" width="11.88671875" style="127" customWidth="1"/>
    <col min="12279" max="12279" width="14.109375" style="127" customWidth="1"/>
    <col min="12280" max="12280" width="13.88671875" style="127" customWidth="1"/>
    <col min="12281" max="12282" width="12.77734375" style="127" customWidth="1"/>
    <col min="12283" max="12283" width="13.5546875" style="127" customWidth="1"/>
    <col min="12284" max="12284" width="15.33203125" style="127" customWidth="1"/>
    <col min="12285" max="12285" width="12.77734375" style="127" customWidth="1"/>
    <col min="12286" max="12286" width="13.88671875" style="127" customWidth="1"/>
    <col min="12287" max="12287" width="1.88671875" style="127" customWidth="1"/>
    <col min="12288" max="12288" width="13" style="127" customWidth="1"/>
    <col min="12289" max="12528" width="8.88671875" style="127"/>
    <col min="12529" max="12529" width="6" style="127" customWidth="1"/>
    <col min="12530" max="12530" width="1.44140625" style="127" customWidth="1"/>
    <col min="12531" max="12531" width="39.109375" style="127" customWidth="1"/>
    <col min="12532" max="12532" width="12" style="127" customWidth="1"/>
    <col min="12533" max="12533" width="14.44140625" style="127" customWidth="1"/>
    <col min="12534" max="12534" width="11.88671875" style="127" customWidth="1"/>
    <col min="12535" max="12535" width="14.109375" style="127" customWidth="1"/>
    <col min="12536" max="12536" width="13.88671875" style="127" customWidth="1"/>
    <col min="12537" max="12538" width="12.77734375" style="127" customWidth="1"/>
    <col min="12539" max="12539" width="13.5546875" style="127" customWidth="1"/>
    <col min="12540" max="12540" width="15.33203125" style="127" customWidth="1"/>
    <col min="12541" max="12541" width="12.77734375" style="127" customWidth="1"/>
    <col min="12542" max="12542" width="13.88671875" style="127" customWidth="1"/>
    <col min="12543" max="12543" width="1.88671875" style="127" customWidth="1"/>
    <col min="12544" max="12544" width="13" style="127" customWidth="1"/>
    <col min="12545" max="12784" width="8.88671875" style="127"/>
    <col min="12785" max="12785" width="6" style="127" customWidth="1"/>
    <col min="12786" max="12786" width="1.44140625" style="127" customWidth="1"/>
    <col min="12787" max="12787" width="39.109375" style="127" customWidth="1"/>
    <col min="12788" max="12788" width="12" style="127" customWidth="1"/>
    <col min="12789" max="12789" width="14.44140625" style="127" customWidth="1"/>
    <col min="12790" max="12790" width="11.88671875" style="127" customWidth="1"/>
    <col min="12791" max="12791" width="14.109375" style="127" customWidth="1"/>
    <col min="12792" max="12792" width="13.88671875" style="127" customWidth="1"/>
    <col min="12793" max="12794" width="12.77734375" style="127" customWidth="1"/>
    <col min="12795" max="12795" width="13.5546875" style="127" customWidth="1"/>
    <col min="12796" max="12796" width="15.33203125" style="127" customWidth="1"/>
    <col min="12797" max="12797" width="12.77734375" style="127" customWidth="1"/>
    <col min="12798" max="12798" width="13.88671875" style="127" customWidth="1"/>
    <col min="12799" max="12799" width="1.88671875" style="127" customWidth="1"/>
    <col min="12800" max="12800" width="13" style="127" customWidth="1"/>
    <col min="12801" max="13040" width="8.88671875" style="127"/>
    <col min="13041" max="13041" width="6" style="127" customWidth="1"/>
    <col min="13042" max="13042" width="1.44140625" style="127" customWidth="1"/>
    <col min="13043" max="13043" width="39.109375" style="127" customWidth="1"/>
    <col min="13044" max="13044" width="12" style="127" customWidth="1"/>
    <col min="13045" max="13045" width="14.44140625" style="127" customWidth="1"/>
    <col min="13046" max="13046" width="11.88671875" style="127" customWidth="1"/>
    <col min="13047" max="13047" width="14.109375" style="127" customWidth="1"/>
    <col min="13048" max="13048" width="13.88671875" style="127" customWidth="1"/>
    <col min="13049" max="13050" width="12.77734375" style="127" customWidth="1"/>
    <col min="13051" max="13051" width="13.5546875" style="127" customWidth="1"/>
    <col min="13052" max="13052" width="15.33203125" style="127" customWidth="1"/>
    <col min="13053" max="13053" width="12.77734375" style="127" customWidth="1"/>
    <col min="13054" max="13054" width="13.88671875" style="127" customWidth="1"/>
    <col min="13055" max="13055" width="1.88671875" style="127" customWidth="1"/>
    <col min="13056" max="13056" width="13" style="127" customWidth="1"/>
    <col min="13057" max="13296" width="8.88671875" style="127"/>
    <col min="13297" max="13297" width="6" style="127" customWidth="1"/>
    <col min="13298" max="13298" width="1.44140625" style="127" customWidth="1"/>
    <col min="13299" max="13299" width="39.109375" style="127" customWidth="1"/>
    <col min="13300" max="13300" width="12" style="127" customWidth="1"/>
    <col min="13301" max="13301" width="14.44140625" style="127" customWidth="1"/>
    <col min="13302" max="13302" width="11.88671875" style="127" customWidth="1"/>
    <col min="13303" max="13303" width="14.109375" style="127" customWidth="1"/>
    <col min="13304" max="13304" width="13.88671875" style="127" customWidth="1"/>
    <col min="13305" max="13306" width="12.77734375" style="127" customWidth="1"/>
    <col min="13307" max="13307" width="13.5546875" style="127" customWidth="1"/>
    <col min="13308" max="13308" width="15.33203125" style="127" customWidth="1"/>
    <col min="13309" max="13309" width="12.77734375" style="127" customWidth="1"/>
    <col min="13310" max="13310" width="13.88671875" style="127" customWidth="1"/>
    <col min="13311" max="13311" width="1.88671875" style="127" customWidth="1"/>
    <col min="13312" max="13312" width="13" style="127" customWidth="1"/>
    <col min="13313" max="13552" width="8.88671875" style="127"/>
    <col min="13553" max="13553" width="6" style="127" customWidth="1"/>
    <col min="13554" max="13554" width="1.44140625" style="127" customWidth="1"/>
    <col min="13555" max="13555" width="39.109375" style="127" customWidth="1"/>
    <col min="13556" max="13556" width="12" style="127" customWidth="1"/>
    <col min="13557" max="13557" width="14.44140625" style="127" customWidth="1"/>
    <col min="13558" max="13558" width="11.88671875" style="127" customWidth="1"/>
    <col min="13559" max="13559" width="14.109375" style="127" customWidth="1"/>
    <col min="13560" max="13560" width="13.88671875" style="127" customWidth="1"/>
    <col min="13561" max="13562" width="12.77734375" style="127" customWidth="1"/>
    <col min="13563" max="13563" width="13.5546875" style="127" customWidth="1"/>
    <col min="13564" max="13564" width="15.33203125" style="127" customWidth="1"/>
    <col min="13565" max="13565" width="12.77734375" style="127" customWidth="1"/>
    <col min="13566" max="13566" width="13.88671875" style="127" customWidth="1"/>
    <col min="13567" max="13567" width="1.88671875" style="127" customWidth="1"/>
    <col min="13568" max="13568" width="13" style="127" customWidth="1"/>
    <col min="13569" max="13808" width="8.88671875" style="127"/>
    <col min="13809" max="13809" width="6" style="127" customWidth="1"/>
    <col min="13810" max="13810" width="1.44140625" style="127" customWidth="1"/>
    <col min="13811" max="13811" width="39.109375" style="127" customWidth="1"/>
    <col min="13812" max="13812" width="12" style="127" customWidth="1"/>
    <col min="13813" max="13813" width="14.44140625" style="127" customWidth="1"/>
    <col min="13814" max="13814" width="11.88671875" style="127" customWidth="1"/>
    <col min="13815" max="13815" width="14.109375" style="127" customWidth="1"/>
    <col min="13816" max="13816" width="13.88671875" style="127" customWidth="1"/>
    <col min="13817" max="13818" width="12.77734375" style="127" customWidth="1"/>
    <col min="13819" max="13819" width="13.5546875" style="127" customWidth="1"/>
    <col min="13820" max="13820" width="15.33203125" style="127" customWidth="1"/>
    <col min="13821" max="13821" width="12.77734375" style="127" customWidth="1"/>
    <col min="13822" max="13822" width="13.88671875" style="127" customWidth="1"/>
    <col min="13823" max="13823" width="1.88671875" style="127" customWidth="1"/>
    <col min="13824" max="13824" width="13" style="127" customWidth="1"/>
    <col min="13825" max="14064" width="8.88671875" style="127"/>
    <col min="14065" max="14065" width="6" style="127" customWidth="1"/>
    <col min="14066" max="14066" width="1.44140625" style="127" customWidth="1"/>
    <col min="14067" max="14067" width="39.109375" style="127" customWidth="1"/>
    <col min="14068" max="14068" width="12" style="127" customWidth="1"/>
    <col min="14069" max="14069" width="14.44140625" style="127" customWidth="1"/>
    <col min="14070" max="14070" width="11.88671875" style="127" customWidth="1"/>
    <col min="14071" max="14071" width="14.109375" style="127" customWidth="1"/>
    <col min="14072" max="14072" width="13.88671875" style="127" customWidth="1"/>
    <col min="14073" max="14074" width="12.77734375" style="127" customWidth="1"/>
    <col min="14075" max="14075" width="13.5546875" style="127" customWidth="1"/>
    <col min="14076" max="14076" width="15.33203125" style="127" customWidth="1"/>
    <col min="14077" max="14077" width="12.77734375" style="127" customWidth="1"/>
    <col min="14078" max="14078" width="13.88671875" style="127" customWidth="1"/>
    <col min="14079" max="14079" width="1.88671875" style="127" customWidth="1"/>
    <col min="14080" max="14080" width="13" style="127" customWidth="1"/>
    <col min="14081" max="14320" width="8.88671875" style="127"/>
    <col min="14321" max="14321" width="6" style="127" customWidth="1"/>
    <col min="14322" max="14322" width="1.44140625" style="127" customWidth="1"/>
    <col min="14323" max="14323" width="39.109375" style="127" customWidth="1"/>
    <col min="14324" max="14324" width="12" style="127" customWidth="1"/>
    <col min="14325" max="14325" width="14.44140625" style="127" customWidth="1"/>
    <col min="14326" max="14326" width="11.88671875" style="127" customWidth="1"/>
    <col min="14327" max="14327" width="14.109375" style="127" customWidth="1"/>
    <col min="14328" max="14328" width="13.88671875" style="127" customWidth="1"/>
    <col min="14329" max="14330" width="12.77734375" style="127" customWidth="1"/>
    <col min="14331" max="14331" width="13.5546875" style="127" customWidth="1"/>
    <col min="14332" max="14332" width="15.33203125" style="127" customWidth="1"/>
    <col min="14333" max="14333" width="12.77734375" style="127" customWidth="1"/>
    <col min="14334" max="14334" width="13.88671875" style="127" customWidth="1"/>
    <col min="14335" max="14335" width="1.88671875" style="127" customWidth="1"/>
    <col min="14336" max="14336" width="13" style="127" customWidth="1"/>
    <col min="14337" max="14576" width="8.88671875" style="127"/>
    <col min="14577" max="14577" width="6" style="127" customWidth="1"/>
    <col min="14578" max="14578" width="1.44140625" style="127" customWidth="1"/>
    <col min="14579" max="14579" width="39.109375" style="127" customWidth="1"/>
    <col min="14580" max="14580" width="12" style="127" customWidth="1"/>
    <col min="14581" max="14581" width="14.44140625" style="127" customWidth="1"/>
    <col min="14582" max="14582" width="11.88671875" style="127" customWidth="1"/>
    <col min="14583" max="14583" width="14.109375" style="127" customWidth="1"/>
    <col min="14584" max="14584" width="13.88671875" style="127" customWidth="1"/>
    <col min="14585" max="14586" width="12.77734375" style="127" customWidth="1"/>
    <col min="14587" max="14587" width="13.5546875" style="127" customWidth="1"/>
    <col min="14588" max="14588" width="15.33203125" style="127" customWidth="1"/>
    <col min="14589" max="14589" width="12.77734375" style="127" customWidth="1"/>
    <col min="14590" max="14590" width="13.88671875" style="127" customWidth="1"/>
    <col min="14591" max="14591" width="1.88671875" style="127" customWidth="1"/>
    <col min="14592" max="14592" width="13" style="127" customWidth="1"/>
    <col min="14593" max="14832" width="8.88671875" style="127"/>
    <col min="14833" max="14833" width="6" style="127" customWidth="1"/>
    <col min="14834" max="14834" width="1.44140625" style="127" customWidth="1"/>
    <col min="14835" max="14835" width="39.109375" style="127" customWidth="1"/>
    <col min="14836" max="14836" width="12" style="127" customWidth="1"/>
    <col min="14837" max="14837" width="14.44140625" style="127" customWidth="1"/>
    <col min="14838" max="14838" width="11.88671875" style="127" customWidth="1"/>
    <col min="14839" max="14839" width="14.109375" style="127" customWidth="1"/>
    <col min="14840" max="14840" width="13.88671875" style="127" customWidth="1"/>
    <col min="14841" max="14842" width="12.77734375" style="127" customWidth="1"/>
    <col min="14843" max="14843" width="13.5546875" style="127" customWidth="1"/>
    <col min="14844" max="14844" width="15.33203125" style="127" customWidth="1"/>
    <col min="14845" max="14845" width="12.77734375" style="127" customWidth="1"/>
    <col min="14846" max="14846" width="13.88671875" style="127" customWidth="1"/>
    <col min="14847" max="14847" width="1.88671875" style="127" customWidth="1"/>
    <col min="14848" max="14848" width="13" style="127" customWidth="1"/>
    <col min="14849" max="15088" width="8.88671875" style="127"/>
    <col min="15089" max="15089" width="6" style="127" customWidth="1"/>
    <col min="15090" max="15090" width="1.44140625" style="127" customWidth="1"/>
    <col min="15091" max="15091" width="39.109375" style="127" customWidth="1"/>
    <col min="15092" max="15092" width="12" style="127" customWidth="1"/>
    <col min="15093" max="15093" width="14.44140625" style="127" customWidth="1"/>
    <col min="15094" max="15094" width="11.88671875" style="127" customWidth="1"/>
    <col min="15095" max="15095" width="14.109375" style="127" customWidth="1"/>
    <col min="15096" max="15096" width="13.88671875" style="127" customWidth="1"/>
    <col min="15097" max="15098" width="12.77734375" style="127" customWidth="1"/>
    <col min="15099" max="15099" width="13.5546875" style="127" customWidth="1"/>
    <col min="15100" max="15100" width="15.33203125" style="127" customWidth="1"/>
    <col min="15101" max="15101" width="12.77734375" style="127" customWidth="1"/>
    <col min="15102" max="15102" width="13.88671875" style="127" customWidth="1"/>
    <col min="15103" max="15103" width="1.88671875" style="127" customWidth="1"/>
    <col min="15104" max="15104" width="13" style="127" customWidth="1"/>
    <col min="15105" max="15344" width="8.88671875" style="127"/>
    <col min="15345" max="15345" width="6" style="127" customWidth="1"/>
    <col min="15346" max="15346" width="1.44140625" style="127" customWidth="1"/>
    <col min="15347" max="15347" width="39.109375" style="127" customWidth="1"/>
    <col min="15348" max="15348" width="12" style="127" customWidth="1"/>
    <col min="15349" max="15349" width="14.44140625" style="127" customWidth="1"/>
    <col min="15350" max="15350" width="11.88671875" style="127" customWidth="1"/>
    <col min="15351" max="15351" width="14.109375" style="127" customWidth="1"/>
    <col min="15352" max="15352" width="13.88671875" style="127" customWidth="1"/>
    <col min="15353" max="15354" width="12.77734375" style="127" customWidth="1"/>
    <col min="15355" max="15355" width="13.5546875" style="127" customWidth="1"/>
    <col min="15356" max="15356" width="15.33203125" style="127" customWidth="1"/>
    <col min="15357" max="15357" width="12.77734375" style="127" customWidth="1"/>
    <col min="15358" max="15358" width="13.88671875" style="127" customWidth="1"/>
    <col min="15359" max="15359" width="1.88671875" style="127" customWidth="1"/>
    <col min="15360" max="15360" width="13" style="127" customWidth="1"/>
    <col min="15361" max="15600" width="8.88671875" style="127"/>
    <col min="15601" max="15601" width="6" style="127" customWidth="1"/>
    <col min="15602" max="15602" width="1.44140625" style="127" customWidth="1"/>
    <col min="15603" max="15603" width="39.109375" style="127" customWidth="1"/>
    <col min="15604" max="15604" width="12" style="127" customWidth="1"/>
    <col min="15605" max="15605" width="14.44140625" style="127" customWidth="1"/>
    <col min="15606" max="15606" width="11.88671875" style="127" customWidth="1"/>
    <col min="15607" max="15607" width="14.109375" style="127" customWidth="1"/>
    <col min="15608" max="15608" width="13.88671875" style="127" customWidth="1"/>
    <col min="15609" max="15610" width="12.77734375" style="127" customWidth="1"/>
    <col min="15611" max="15611" width="13.5546875" style="127" customWidth="1"/>
    <col min="15612" max="15612" width="15.33203125" style="127" customWidth="1"/>
    <col min="15613" max="15613" width="12.77734375" style="127" customWidth="1"/>
    <col min="15614" max="15614" width="13.88671875" style="127" customWidth="1"/>
    <col min="15615" max="15615" width="1.88671875" style="127" customWidth="1"/>
    <col min="15616" max="15616" width="13" style="127" customWidth="1"/>
    <col min="15617" max="15856" width="8.88671875" style="127"/>
    <col min="15857" max="15857" width="6" style="127" customWidth="1"/>
    <col min="15858" max="15858" width="1.44140625" style="127" customWidth="1"/>
    <col min="15859" max="15859" width="39.109375" style="127" customWidth="1"/>
    <col min="15860" max="15860" width="12" style="127" customWidth="1"/>
    <col min="15861" max="15861" width="14.44140625" style="127" customWidth="1"/>
    <col min="15862" max="15862" width="11.88671875" style="127" customWidth="1"/>
    <col min="15863" max="15863" width="14.109375" style="127" customWidth="1"/>
    <col min="15864" max="15864" width="13.88671875" style="127" customWidth="1"/>
    <col min="15865" max="15866" width="12.77734375" style="127" customWidth="1"/>
    <col min="15867" max="15867" width="13.5546875" style="127" customWidth="1"/>
    <col min="15868" max="15868" width="15.33203125" style="127" customWidth="1"/>
    <col min="15869" max="15869" width="12.77734375" style="127" customWidth="1"/>
    <col min="15870" max="15870" width="13.88671875" style="127" customWidth="1"/>
    <col min="15871" max="15871" width="1.88671875" style="127" customWidth="1"/>
    <col min="15872" max="15872" width="13" style="127" customWidth="1"/>
    <col min="15873" max="16112" width="8.88671875" style="127"/>
    <col min="16113" max="16113" width="6" style="127" customWidth="1"/>
    <col min="16114" max="16114" width="1.44140625" style="127" customWidth="1"/>
    <col min="16115" max="16115" width="39.109375" style="127" customWidth="1"/>
    <col min="16116" max="16116" width="12" style="127" customWidth="1"/>
    <col min="16117" max="16117" width="14.44140625" style="127" customWidth="1"/>
    <col min="16118" max="16118" width="11.88671875" style="127" customWidth="1"/>
    <col min="16119" max="16119" width="14.109375" style="127" customWidth="1"/>
    <col min="16120" max="16120" width="13.88671875" style="127" customWidth="1"/>
    <col min="16121" max="16122" width="12.77734375" style="127" customWidth="1"/>
    <col min="16123" max="16123" width="13.5546875" style="127" customWidth="1"/>
    <col min="16124" max="16124" width="15.33203125" style="127" customWidth="1"/>
    <col min="16125" max="16125" width="12.77734375" style="127" customWidth="1"/>
    <col min="16126" max="16126" width="13.88671875" style="127" customWidth="1"/>
    <col min="16127" max="16127" width="1.88671875" style="127" customWidth="1"/>
    <col min="16128" max="16128" width="13" style="127" customWidth="1"/>
    <col min="16129" max="16368" width="8.88671875" style="127"/>
    <col min="16369" max="16384" width="8.88671875" style="127" customWidth="1"/>
  </cols>
  <sheetData>
    <row r="1" spans="1:49">
      <c r="I1" s="74" t="s">
        <v>318</v>
      </c>
    </row>
    <row r="2" spans="1:49">
      <c r="I2" s="74" t="s">
        <v>362</v>
      </c>
    </row>
    <row r="3" spans="1:49">
      <c r="I3" s="389" t="s">
        <v>204</v>
      </c>
    </row>
    <row r="4" spans="1:49">
      <c r="I4" s="275" t="str">
        <f>"For the 12 months ended: "&amp;TEXT(INPUT!B1,"mm/dd/yyyy")</f>
        <v>For the 12 months ended: 12/31/2017</v>
      </c>
    </row>
    <row r="5" spans="1:49">
      <c r="C5" s="104"/>
    </row>
    <row r="6" spans="1:49">
      <c r="A6" s="206" t="s">
        <v>275</v>
      </c>
      <c r="B6" s="263"/>
      <c r="C6" s="263"/>
      <c r="D6" s="206"/>
      <c r="E6" s="206"/>
      <c r="F6" s="206"/>
      <c r="G6" s="263"/>
      <c r="H6" s="206"/>
      <c r="I6" s="206"/>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row>
    <row r="7" spans="1:49">
      <c r="A7" s="207" t="s">
        <v>319</v>
      </c>
      <c r="B7" s="263"/>
      <c r="C7" s="263"/>
      <c r="D7" s="206"/>
      <c r="E7" s="206"/>
      <c r="F7" s="206"/>
      <c r="G7" s="263"/>
      <c r="H7" s="206"/>
      <c r="I7" s="206"/>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row>
    <row r="8" spans="1:49">
      <c r="A8" s="208"/>
      <c r="B8" s="263"/>
      <c r="C8" s="263"/>
      <c r="D8" s="208"/>
      <c r="E8" s="208"/>
      <c r="F8" s="208"/>
      <c r="G8" s="263"/>
      <c r="H8" s="208"/>
      <c r="I8" s="208"/>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row>
    <row r="9" spans="1:49">
      <c r="A9" s="399" t="str">
        <f>DEK!A11</f>
        <v>DUKE ENERGY KENTUCKY (DEK)</v>
      </c>
      <c r="B9" s="263"/>
      <c r="C9" s="263"/>
      <c r="D9" s="208"/>
      <c r="E9" s="208"/>
      <c r="F9" s="208"/>
      <c r="G9" s="263"/>
      <c r="H9" s="266"/>
      <c r="I9" s="208"/>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row>
    <row r="10" spans="1:49">
      <c r="A10" s="337" t="s">
        <v>317</v>
      </c>
      <c r="B10" s="263"/>
      <c r="C10" s="263"/>
      <c r="D10" s="208"/>
      <c r="E10" s="208"/>
      <c r="F10" s="208"/>
      <c r="G10" s="263"/>
      <c r="H10" s="266"/>
      <c r="I10" s="208"/>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row>
    <row r="11" spans="1:49">
      <c r="A11" s="388"/>
      <c r="B11" s="263"/>
      <c r="C11" s="208"/>
      <c r="D11" s="208"/>
      <c r="E11" s="208"/>
      <c r="F11" s="208"/>
      <c r="G11" s="266"/>
      <c r="H11" s="208"/>
      <c r="I11" s="208"/>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row>
    <row r="12" spans="1:49">
      <c r="A12" s="208" t="s">
        <v>543</v>
      </c>
      <c r="B12" s="263"/>
      <c r="C12" s="263"/>
      <c r="D12" s="208"/>
      <c r="E12" s="208"/>
      <c r="F12" s="208"/>
      <c r="G12" s="266"/>
      <c r="H12" s="208"/>
      <c r="I12" s="208"/>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row>
    <row r="13" spans="1:49">
      <c r="A13" s="131"/>
      <c r="C13" s="102"/>
      <c r="D13" s="102"/>
      <c r="E13" s="102"/>
      <c r="F13" s="102"/>
      <c r="G13" s="132"/>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row>
    <row r="14" spans="1:49">
      <c r="A14" s="131"/>
      <c r="C14" s="102"/>
      <c r="D14" s="102"/>
      <c r="E14" s="102"/>
      <c r="F14" s="102"/>
      <c r="G14" s="102"/>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row>
    <row r="15" spans="1:49">
      <c r="C15" s="100" t="s">
        <v>19</v>
      </c>
      <c r="D15" s="100"/>
      <c r="E15" s="100" t="s">
        <v>20</v>
      </c>
      <c r="F15" s="100"/>
      <c r="G15" s="100" t="s">
        <v>21</v>
      </c>
      <c r="I15" s="133" t="s">
        <v>22</v>
      </c>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row>
    <row r="16" spans="1:49">
      <c r="C16" s="99"/>
      <c r="D16" s="99"/>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row>
    <row r="17" spans="1:59">
      <c r="A17" s="347" t="s">
        <v>9</v>
      </c>
      <c r="B17" s="130"/>
      <c r="C17" s="99"/>
      <c r="D17" s="99"/>
      <c r="E17" s="142" t="s">
        <v>318</v>
      </c>
      <c r="F17" s="142"/>
      <c r="G17" s="103"/>
      <c r="H17" s="130"/>
      <c r="I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row>
    <row r="18" spans="1:59">
      <c r="A18" s="384" t="s">
        <v>11</v>
      </c>
      <c r="B18" s="385"/>
      <c r="C18" s="386"/>
      <c r="D18" s="386"/>
      <c r="E18" s="387" t="s">
        <v>26</v>
      </c>
      <c r="F18" s="387"/>
      <c r="G18" s="384" t="s">
        <v>25</v>
      </c>
      <c r="H18" s="385"/>
      <c r="I18" s="384" t="s">
        <v>14</v>
      </c>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row>
    <row r="19" spans="1:59" ht="15.75">
      <c r="A19" s="140"/>
      <c r="C19" s="99" t="s">
        <v>359</v>
      </c>
      <c r="D19" s="99"/>
      <c r="E19" s="103"/>
      <c r="F19" s="103"/>
      <c r="G19" s="103"/>
      <c r="I19" s="103"/>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row>
    <row r="20" spans="1:59">
      <c r="A20" s="141">
        <v>1</v>
      </c>
      <c r="C20" s="99" t="s">
        <v>232</v>
      </c>
      <c r="D20" s="99"/>
      <c r="E20" s="608" t="s">
        <v>797</v>
      </c>
      <c r="F20" s="142"/>
      <c r="G20" s="143">
        <f>DEK!J63</f>
        <v>41462660</v>
      </c>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row>
    <row r="21" spans="1:59">
      <c r="A21" s="141">
        <v>2</v>
      </c>
      <c r="C21" s="99" t="s">
        <v>233</v>
      </c>
      <c r="D21" s="99"/>
      <c r="E21" s="608" t="s">
        <v>798</v>
      </c>
      <c r="F21" s="142"/>
      <c r="G21" s="143">
        <f>DEK!J79</f>
        <v>27718301</v>
      </c>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row>
    <row r="22" spans="1:59">
      <c r="A22" s="141"/>
      <c r="E22" s="608"/>
      <c r="F22" s="142"/>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row>
    <row r="23" spans="1:59">
      <c r="A23" s="141"/>
      <c r="C23" s="99" t="s">
        <v>205</v>
      </c>
      <c r="D23" s="99"/>
      <c r="E23" s="608"/>
      <c r="F23" s="142"/>
      <c r="G23" s="103"/>
      <c r="I23" s="103"/>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row>
    <row r="24" spans="1:59">
      <c r="A24" s="141">
        <v>3</v>
      </c>
      <c r="C24" s="99" t="s">
        <v>234</v>
      </c>
      <c r="D24" s="99"/>
      <c r="E24" s="608" t="s">
        <v>796</v>
      </c>
      <c r="F24" s="142"/>
      <c r="G24" s="143">
        <f>DEK!J135</f>
        <v>1757453</v>
      </c>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row>
    <row r="25" spans="1:59">
      <c r="A25" s="141">
        <v>4</v>
      </c>
      <c r="C25" s="99" t="s">
        <v>235</v>
      </c>
      <c r="D25" s="99"/>
      <c r="E25" s="608" t="s">
        <v>803</v>
      </c>
      <c r="F25" s="142"/>
      <c r="G25" s="144">
        <f>IF(G24=0,0,G24/G20)</f>
        <v>4.2386402608998071E-2</v>
      </c>
      <c r="I25" s="145">
        <f>G25</f>
        <v>4.2386402608998071E-2</v>
      </c>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row>
    <row r="26" spans="1:59">
      <c r="A26" s="141"/>
      <c r="E26" s="608"/>
      <c r="F26" s="142"/>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row>
    <row r="27" spans="1:59" ht="30">
      <c r="A27" s="141"/>
      <c r="C27" s="721" t="s">
        <v>663</v>
      </c>
      <c r="D27" s="99"/>
      <c r="E27" s="606"/>
      <c r="F27" s="142"/>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row>
    <row r="28" spans="1:59">
      <c r="A28" s="154" t="s">
        <v>236</v>
      </c>
      <c r="C28" s="99" t="s">
        <v>664</v>
      </c>
      <c r="D28" s="99"/>
      <c r="E28" s="608" t="s">
        <v>607</v>
      </c>
      <c r="F28" s="142"/>
      <c r="G28" s="143">
        <f>DEK!J139+DEK!J140</f>
        <v>103946</v>
      </c>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row>
    <row r="29" spans="1:59" ht="30">
      <c r="A29" s="722" t="s">
        <v>237</v>
      </c>
      <c r="C29" s="721" t="s">
        <v>665</v>
      </c>
      <c r="D29" s="99"/>
      <c r="E29" s="723" t="s">
        <v>800</v>
      </c>
      <c r="F29" s="723"/>
      <c r="G29" s="724">
        <f>IF(G28=0,0,G28/G20)</f>
        <v>2.5069785681864115E-3</v>
      </c>
      <c r="H29" s="725"/>
      <c r="I29" s="726">
        <f>G29</f>
        <v>2.5069785681864115E-3</v>
      </c>
      <c r="K29" s="134"/>
      <c r="L29" s="135"/>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row>
    <row r="30" spans="1:59">
      <c r="A30" s="141"/>
      <c r="E30" s="608"/>
      <c r="F30" s="142"/>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row>
    <row r="31" spans="1:59">
      <c r="A31" s="148"/>
      <c r="C31" s="99" t="s">
        <v>208</v>
      </c>
      <c r="D31" s="99"/>
      <c r="E31" s="606"/>
      <c r="F31" s="105"/>
      <c r="G31" s="103"/>
      <c r="I31" s="103"/>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row>
    <row r="32" spans="1:59">
      <c r="A32" s="148" t="s">
        <v>239</v>
      </c>
      <c r="C32" s="99" t="s">
        <v>210</v>
      </c>
      <c r="D32" s="99"/>
      <c r="E32" s="608" t="s">
        <v>795</v>
      </c>
      <c r="F32" s="142"/>
      <c r="G32" s="143">
        <f>DEK!J152</f>
        <v>292661</v>
      </c>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row>
    <row r="33" spans="1:49">
      <c r="A33" s="148" t="s">
        <v>241</v>
      </c>
      <c r="C33" s="99" t="s">
        <v>238</v>
      </c>
      <c r="D33" s="99"/>
      <c r="E33" s="608" t="s">
        <v>801</v>
      </c>
      <c r="F33" s="142"/>
      <c r="G33" s="144">
        <f>IF(G32=0,0,G32/G20)</f>
        <v>7.0584231691840317E-3</v>
      </c>
      <c r="I33" s="145">
        <f>G33</f>
        <v>7.0584231691840317E-3</v>
      </c>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row>
    <row r="34" spans="1:49">
      <c r="A34" s="148"/>
      <c r="C34" s="99"/>
      <c r="D34" s="99"/>
      <c r="E34" s="608"/>
      <c r="F34" s="142"/>
      <c r="G34" s="103"/>
      <c r="I34" s="103"/>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row>
    <row r="35" spans="1:49" ht="15.75">
      <c r="A35" s="150" t="s">
        <v>206</v>
      </c>
      <c r="B35" s="151"/>
      <c r="C35" s="139" t="s">
        <v>240</v>
      </c>
      <c r="D35" s="139"/>
      <c r="E35" s="607" t="s">
        <v>438</v>
      </c>
      <c r="F35" s="136"/>
      <c r="G35" s="152"/>
      <c r="I35" s="153">
        <f>I25+I29+I33</f>
        <v>5.1951804346368514E-2</v>
      </c>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row>
    <row r="36" spans="1:49">
      <c r="A36" s="343"/>
      <c r="C36" s="99"/>
      <c r="D36" s="99"/>
      <c r="E36" s="608"/>
      <c r="F36" s="142"/>
      <c r="G36" s="103"/>
      <c r="I36" s="103"/>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row>
    <row r="37" spans="1:49">
      <c r="A37" s="154"/>
      <c r="B37" s="155"/>
      <c r="C37" s="103" t="s">
        <v>212</v>
      </c>
      <c r="D37" s="103"/>
      <c r="E37" s="608"/>
      <c r="F37" s="142"/>
      <c r="G37" s="103"/>
      <c r="I37" s="103"/>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row>
    <row r="38" spans="1:49">
      <c r="A38" s="148" t="s">
        <v>207</v>
      </c>
      <c r="B38" s="155"/>
      <c r="C38" s="103" t="s">
        <v>133</v>
      </c>
      <c r="D38" s="103"/>
      <c r="E38" s="608" t="s">
        <v>794</v>
      </c>
      <c r="F38" s="142"/>
      <c r="G38" s="143">
        <f>DEK!J165</f>
        <v>412905</v>
      </c>
      <c r="I38" s="103"/>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row>
    <row r="39" spans="1:49">
      <c r="A39" s="148" t="s">
        <v>209</v>
      </c>
      <c r="B39" s="155"/>
      <c r="C39" s="103" t="s">
        <v>242</v>
      </c>
      <c r="D39" s="103"/>
      <c r="E39" s="608" t="s">
        <v>802</v>
      </c>
      <c r="F39" s="142"/>
      <c r="G39" s="144">
        <f>IF(G38=0,0,G38/G21)</f>
        <v>1.4896475797704917E-2</v>
      </c>
      <c r="I39" s="145">
        <f>G39</f>
        <v>1.4896475797704917E-2</v>
      </c>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row>
    <row r="40" spans="1:49">
      <c r="A40" s="148"/>
      <c r="C40" s="103"/>
      <c r="D40" s="103"/>
      <c r="E40" s="608"/>
      <c r="F40" s="142"/>
      <c r="G40" s="103"/>
      <c r="I40" s="103"/>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row>
    <row r="41" spans="1:49">
      <c r="A41" s="148"/>
      <c r="C41" s="99" t="s">
        <v>63</v>
      </c>
      <c r="D41" s="99"/>
      <c r="E41" s="609"/>
      <c r="F41" s="156"/>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row>
    <row r="42" spans="1:49">
      <c r="A42" s="148" t="s">
        <v>211</v>
      </c>
      <c r="C42" s="99" t="s">
        <v>213</v>
      </c>
      <c r="D42" s="99"/>
      <c r="E42" s="608" t="s">
        <v>793</v>
      </c>
      <c r="F42" s="142"/>
      <c r="G42" s="143">
        <f>DEK!J167</f>
        <v>1577096</v>
      </c>
      <c r="I42" s="103"/>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row>
    <row r="43" spans="1:49">
      <c r="A43" s="148" t="s">
        <v>282</v>
      </c>
      <c r="B43" s="155"/>
      <c r="C43" s="103" t="s">
        <v>243</v>
      </c>
      <c r="D43" s="103"/>
      <c r="E43" s="608" t="s">
        <v>799</v>
      </c>
      <c r="F43" s="142"/>
      <c r="G43" s="157">
        <f>IF(G42=0,0,G42/G21)</f>
        <v>5.6897282412800121E-2</v>
      </c>
      <c r="I43" s="145">
        <f>G43</f>
        <v>5.6897282412800121E-2</v>
      </c>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row>
    <row r="44" spans="1:49">
      <c r="A44" s="148"/>
      <c r="C44" s="99"/>
      <c r="D44" s="99"/>
      <c r="E44" s="608"/>
      <c r="F44" s="142"/>
      <c r="G44" s="103"/>
      <c r="I44" s="103"/>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row>
    <row r="45" spans="1:49" ht="15.75">
      <c r="A45" s="150" t="s">
        <v>283</v>
      </c>
      <c r="B45" s="151"/>
      <c r="C45" s="139" t="s">
        <v>244</v>
      </c>
      <c r="D45" s="139"/>
      <c r="E45" s="607" t="s">
        <v>361</v>
      </c>
      <c r="F45" s="136"/>
      <c r="G45" s="152"/>
      <c r="I45" s="153">
        <f>I39+I43</f>
        <v>7.1793758210505043E-2</v>
      </c>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row>
    <row r="46" spans="1:49">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row>
    <row r="47" spans="1:49">
      <c r="A47" s="160"/>
      <c r="B47" s="130"/>
      <c r="C47" s="154"/>
      <c r="D47" s="154"/>
      <c r="E47" s="105"/>
      <c r="F47" s="105"/>
      <c r="G47" s="103"/>
      <c r="H47" s="98"/>
      <c r="I47" s="98"/>
      <c r="J47" s="144"/>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row>
    <row r="48" spans="1:49">
      <c r="A48" s="131"/>
      <c r="C48" s="98"/>
      <c r="D48" s="98"/>
      <c r="E48" s="98"/>
      <c r="F48" s="98"/>
      <c r="G48" s="103"/>
      <c r="H48" s="98"/>
      <c r="I48" s="98"/>
      <c r="J48" s="98"/>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row>
    <row r="49" spans="11:49">
      <c r="X49" s="74" t="s">
        <v>318</v>
      </c>
    </row>
    <row r="50" spans="11:49">
      <c r="X50" s="74" t="s">
        <v>362</v>
      </c>
    </row>
    <row r="51" spans="11:49">
      <c r="X51" s="161" t="s">
        <v>214</v>
      </c>
    </row>
    <row r="52" spans="11:49">
      <c r="K52" s="131"/>
      <c r="M52" s="98"/>
      <c r="N52" s="98"/>
      <c r="O52" s="98"/>
      <c r="P52" s="98"/>
      <c r="Q52" s="103"/>
      <c r="R52" s="98"/>
      <c r="S52" s="98"/>
      <c r="T52" s="98"/>
      <c r="U52" s="98"/>
      <c r="W52" s="103"/>
      <c r="X52" s="161" t="str">
        <f>I4</f>
        <v>For the 12 months ended: 12/31/2017</v>
      </c>
      <c r="Y52" s="134"/>
      <c r="Z52" s="128"/>
      <c r="AA52" s="134"/>
      <c r="AB52" s="135"/>
      <c r="AC52" s="130"/>
      <c r="AD52" s="130"/>
      <c r="AE52" s="130"/>
      <c r="AF52" s="130"/>
      <c r="AG52" s="130"/>
      <c r="AH52" s="130"/>
      <c r="AI52" s="130"/>
      <c r="AJ52" s="130"/>
      <c r="AK52" s="130"/>
      <c r="AL52" s="130"/>
      <c r="AM52" s="130"/>
      <c r="AN52" s="130"/>
      <c r="AO52" s="130"/>
      <c r="AP52" s="130"/>
      <c r="AQ52" s="130"/>
      <c r="AR52" s="130"/>
      <c r="AS52" s="130"/>
      <c r="AT52" s="130"/>
      <c r="AU52" s="130"/>
      <c r="AV52" s="130"/>
      <c r="AW52" s="130"/>
    </row>
    <row r="53" spans="11:49">
      <c r="K53" s="131"/>
      <c r="M53" s="99"/>
      <c r="N53" s="98"/>
      <c r="O53" s="98"/>
      <c r="P53" s="98"/>
      <c r="Q53" s="103"/>
      <c r="R53" s="98"/>
      <c r="S53" s="98"/>
      <c r="T53" s="98"/>
      <c r="U53" s="98"/>
      <c r="W53" s="103"/>
      <c r="Y53" s="134"/>
      <c r="Z53" s="128"/>
      <c r="AA53" s="134"/>
      <c r="AB53" s="135"/>
      <c r="AC53" s="130"/>
      <c r="AD53" s="130"/>
      <c r="AE53" s="130"/>
      <c r="AF53" s="130"/>
      <c r="AG53" s="130"/>
      <c r="AH53" s="130"/>
      <c r="AI53" s="130"/>
      <c r="AJ53" s="130"/>
      <c r="AK53" s="130"/>
      <c r="AL53" s="130"/>
      <c r="AM53" s="130"/>
      <c r="AN53" s="130"/>
      <c r="AO53" s="130"/>
      <c r="AP53" s="130"/>
      <c r="AQ53" s="130"/>
      <c r="AR53" s="130"/>
      <c r="AS53" s="130"/>
      <c r="AT53" s="130"/>
      <c r="AU53" s="130"/>
      <c r="AV53" s="130"/>
      <c r="AW53" s="130"/>
    </row>
    <row r="54" spans="11:49">
      <c r="K54" s="209" t="str">
        <f>A6</f>
        <v>Rate Formula Template</v>
      </c>
      <c r="L54" s="263"/>
      <c r="M54" s="263"/>
      <c r="N54" s="208"/>
      <c r="O54" s="209"/>
      <c r="P54" s="209"/>
      <c r="Q54" s="263"/>
      <c r="R54" s="209"/>
      <c r="S54" s="209"/>
      <c r="T54" s="209"/>
      <c r="U54" s="209"/>
      <c r="V54" s="263"/>
      <c r="W54" s="207"/>
      <c r="X54" s="263"/>
      <c r="Y54" s="134"/>
      <c r="Z54" s="128"/>
      <c r="AA54" s="134"/>
      <c r="AB54" s="135"/>
      <c r="AC54" s="130"/>
      <c r="AD54" s="130"/>
      <c r="AE54" s="130"/>
      <c r="AF54" s="130"/>
      <c r="AG54" s="130"/>
      <c r="AH54" s="130"/>
      <c r="AI54" s="130"/>
      <c r="AJ54" s="130"/>
      <c r="AK54" s="130"/>
      <c r="AL54" s="130"/>
      <c r="AM54" s="130"/>
      <c r="AN54" s="130"/>
      <c r="AO54" s="130"/>
      <c r="AP54" s="130"/>
      <c r="AQ54" s="130"/>
      <c r="AR54" s="130"/>
      <c r="AS54" s="130"/>
      <c r="AT54" s="130"/>
      <c r="AU54" s="130"/>
      <c r="AV54" s="130"/>
      <c r="AW54" s="130"/>
    </row>
    <row r="55" spans="11:49">
      <c r="K55" s="209" t="str">
        <f>A7</f>
        <v>Utilizing Attachment H-22A Data</v>
      </c>
      <c r="L55" s="263"/>
      <c r="M55" s="208"/>
      <c r="N55" s="208"/>
      <c r="O55" s="209"/>
      <c r="P55" s="209"/>
      <c r="Q55" s="263"/>
      <c r="R55" s="209"/>
      <c r="S55" s="209"/>
      <c r="T55" s="209"/>
      <c r="U55" s="209"/>
      <c r="V55" s="207"/>
      <c r="W55" s="207"/>
      <c r="X55" s="263"/>
      <c r="Y55" s="134"/>
      <c r="Z55" s="128"/>
      <c r="AA55" s="134"/>
      <c r="AB55" s="135"/>
      <c r="AC55" s="130"/>
      <c r="AD55" s="130"/>
      <c r="AE55" s="130"/>
      <c r="AF55" s="130"/>
      <c r="AG55" s="130"/>
      <c r="AH55" s="130"/>
      <c r="AI55" s="130"/>
      <c r="AJ55" s="130"/>
      <c r="AK55" s="130"/>
      <c r="AL55" s="130"/>
      <c r="AM55" s="130"/>
      <c r="AN55" s="130"/>
      <c r="AO55" s="130"/>
      <c r="AP55" s="130"/>
      <c r="AQ55" s="130"/>
      <c r="AR55" s="130"/>
      <c r="AS55" s="130"/>
      <c r="AT55" s="130"/>
      <c r="AU55" s="130"/>
      <c r="AV55" s="130"/>
      <c r="AW55" s="130"/>
    </row>
    <row r="56" spans="11:49" ht="14.25" customHeight="1">
      <c r="K56" s="262"/>
      <c r="M56" s="98"/>
      <c r="N56" s="98"/>
      <c r="O56" s="98"/>
      <c r="P56" s="98"/>
      <c r="R56" s="209"/>
      <c r="S56" s="98"/>
      <c r="T56" s="98"/>
      <c r="U56" s="98"/>
      <c r="W56" s="103"/>
      <c r="X56" s="98"/>
      <c r="Y56" s="134"/>
      <c r="Z56" s="128"/>
      <c r="AA56" s="134"/>
      <c r="AB56" s="135"/>
      <c r="AC56" s="130"/>
      <c r="AD56" s="130"/>
      <c r="AE56" s="130"/>
      <c r="AF56" s="130"/>
      <c r="AG56" s="130"/>
      <c r="AH56" s="130"/>
      <c r="AI56" s="130"/>
      <c r="AJ56" s="130"/>
      <c r="AK56" s="130"/>
      <c r="AL56" s="130"/>
      <c r="AM56" s="130"/>
      <c r="AN56" s="130"/>
      <c r="AO56" s="130"/>
      <c r="AP56" s="130"/>
      <c r="AQ56" s="130"/>
      <c r="AR56" s="130"/>
      <c r="AS56" s="130"/>
      <c r="AT56" s="130"/>
      <c r="AU56" s="130"/>
      <c r="AV56" s="130"/>
      <c r="AW56" s="130"/>
    </row>
    <row r="57" spans="11:49">
      <c r="K57" s="209" t="str">
        <f>A9</f>
        <v>DUKE ENERGY KENTUCKY (DEK)</v>
      </c>
      <c r="L57" s="263"/>
      <c r="M57" s="263"/>
      <c r="N57" s="263"/>
      <c r="O57" s="209"/>
      <c r="P57" s="209"/>
      <c r="Q57" s="263"/>
      <c r="R57" s="209"/>
      <c r="S57" s="209"/>
      <c r="T57" s="209"/>
      <c r="U57" s="209"/>
      <c r="V57" s="209"/>
      <c r="W57" s="207"/>
      <c r="X57" s="207"/>
      <c r="Y57" s="134"/>
      <c r="Z57" s="128"/>
      <c r="AA57" s="134"/>
      <c r="AB57" s="135"/>
      <c r="AC57" s="130"/>
      <c r="AD57" s="130"/>
      <c r="AE57" s="130"/>
      <c r="AF57" s="130"/>
      <c r="AG57" s="130"/>
      <c r="AH57" s="130"/>
      <c r="AI57" s="130"/>
      <c r="AJ57" s="130"/>
      <c r="AK57" s="130"/>
      <c r="AL57" s="130"/>
      <c r="AM57" s="130"/>
      <c r="AN57" s="130"/>
      <c r="AO57" s="130"/>
      <c r="AP57" s="130"/>
      <c r="AQ57" s="130"/>
      <c r="AR57" s="130"/>
      <c r="AS57" s="130"/>
      <c r="AT57" s="130"/>
      <c r="AU57" s="130"/>
      <c r="AV57" s="130"/>
      <c r="AW57" s="130"/>
    </row>
    <row r="58" spans="11:49">
      <c r="K58" s="209" t="str">
        <f>A10</f>
        <v>RTEP - Transmission Enhancement Charges</v>
      </c>
      <c r="L58" s="263"/>
      <c r="M58" s="263"/>
      <c r="N58" s="263"/>
      <c r="O58" s="208"/>
      <c r="P58" s="208"/>
      <c r="Q58" s="208"/>
      <c r="R58" s="208"/>
      <c r="S58" s="208"/>
      <c r="T58" s="208"/>
      <c r="U58" s="208"/>
      <c r="V58" s="208"/>
      <c r="W58" s="208"/>
      <c r="X58" s="208"/>
      <c r="Y58" s="134"/>
      <c r="Z58" s="128"/>
      <c r="AA58" s="134"/>
      <c r="AB58" s="135"/>
      <c r="AC58" s="130"/>
      <c r="AD58" s="130"/>
      <c r="AE58" s="130"/>
      <c r="AF58" s="130"/>
      <c r="AG58" s="130"/>
      <c r="AH58" s="130"/>
      <c r="AI58" s="130"/>
      <c r="AJ58" s="130"/>
      <c r="AK58" s="130"/>
      <c r="AL58" s="130"/>
      <c r="AM58" s="130"/>
      <c r="AN58" s="130"/>
      <c r="AO58" s="130"/>
      <c r="AP58" s="130"/>
      <c r="AQ58" s="130"/>
      <c r="AR58" s="130"/>
      <c r="AS58" s="130"/>
      <c r="AT58" s="130"/>
      <c r="AU58" s="130"/>
      <c r="AV58" s="130"/>
      <c r="AW58" s="130"/>
    </row>
    <row r="59" spans="11:49">
      <c r="K59" s="131"/>
      <c r="O59" s="99"/>
      <c r="P59" s="99"/>
      <c r="Q59" s="99"/>
      <c r="R59" s="99"/>
      <c r="S59" s="99"/>
      <c r="T59" s="99"/>
      <c r="U59" s="99"/>
      <c r="V59" s="99"/>
      <c r="W59" s="99"/>
      <c r="X59" s="99"/>
      <c r="Y59" s="134"/>
      <c r="Z59" s="128"/>
      <c r="AA59" s="134"/>
      <c r="AB59" s="135"/>
      <c r="AC59" s="130"/>
      <c r="AD59" s="130"/>
      <c r="AE59" s="130"/>
      <c r="AF59" s="130"/>
      <c r="AG59" s="130"/>
      <c r="AH59" s="130"/>
      <c r="AI59" s="130"/>
      <c r="AJ59" s="130"/>
      <c r="AK59" s="130"/>
      <c r="AL59" s="130"/>
      <c r="AM59" s="130"/>
      <c r="AN59" s="130"/>
      <c r="AO59" s="130"/>
      <c r="AP59" s="130"/>
      <c r="AQ59" s="130"/>
      <c r="AR59" s="130"/>
      <c r="AS59" s="130"/>
      <c r="AT59" s="130"/>
      <c r="AU59" s="130"/>
      <c r="AV59" s="130"/>
      <c r="AW59" s="130"/>
    </row>
    <row r="60" spans="11:49" ht="15.75">
      <c r="K60" s="264" t="s">
        <v>291</v>
      </c>
      <c r="L60" s="263"/>
      <c r="M60" s="209"/>
      <c r="N60" s="209"/>
      <c r="O60" s="263"/>
      <c r="P60" s="264"/>
      <c r="Q60" s="263"/>
      <c r="R60" s="208"/>
      <c r="S60" s="208"/>
      <c r="T60" s="208"/>
      <c r="U60" s="208"/>
      <c r="V60" s="208"/>
      <c r="W60" s="207"/>
      <c r="X60" s="207"/>
      <c r="Y60" s="134"/>
      <c r="Z60" s="128"/>
      <c r="AA60" s="134"/>
      <c r="AB60" s="135"/>
      <c r="AC60" s="130"/>
      <c r="AD60" s="130"/>
      <c r="AE60" s="130"/>
      <c r="AF60" s="130"/>
      <c r="AG60" s="130"/>
      <c r="AH60" s="130"/>
      <c r="AI60" s="130"/>
      <c r="AJ60" s="130"/>
      <c r="AK60" s="130"/>
      <c r="AL60" s="130"/>
      <c r="AM60" s="130"/>
      <c r="AN60" s="130"/>
      <c r="AO60" s="130"/>
      <c r="AP60" s="130"/>
      <c r="AQ60" s="130"/>
      <c r="AR60" s="130"/>
      <c r="AS60" s="130"/>
      <c r="AT60" s="130"/>
      <c r="AU60" s="130"/>
      <c r="AV60" s="130"/>
      <c r="AW60" s="130"/>
    </row>
    <row r="61" spans="11:49" ht="15.75">
      <c r="K61" s="131"/>
      <c r="M61" s="98"/>
      <c r="N61" s="98"/>
      <c r="O61" s="139"/>
      <c r="P61" s="139"/>
      <c r="R61" s="102"/>
      <c r="S61" s="102"/>
      <c r="T61" s="102"/>
      <c r="U61" s="102"/>
      <c r="V61" s="102"/>
      <c r="W61" s="103"/>
      <c r="X61" s="103"/>
      <c r="Y61" s="134"/>
      <c r="Z61" s="128"/>
      <c r="AA61" s="134"/>
      <c r="AB61" s="135"/>
      <c r="AC61" s="130"/>
      <c r="AD61" s="130"/>
      <c r="AE61" s="130"/>
      <c r="AF61" s="130"/>
      <c r="AG61" s="130"/>
      <c r="AH61" s="130"/>
      <c r="AI61" s="130"/>
      <c r="AJ61" s="130"/>
      <c r="AK61" s="130"/>
      <c r="AL61" s="130"/>
      <c r="AM61" s="130"/>
      <c r="AN61" s="130"/>
      <c r="AO61" s="130"/>
      <c r="AP61" s="130"/>
      <c r="AQ61" s="130"/>
      <c r="AR61" s="130"/>
      <c r="AS61" s="130"/>
      <c r="AT61" s="130"/>
      <c r="AU61" s="130"/>
      <c r="AV61" s="130"/>
      <c r="AW61" s="130"/>
    </row>
    <row r="62" spans="11:49" ht="15.75">
      <c r="K62" s="131"/>
      <c r="M62" s="162">
        <v>-1</v>
      </c>
      <c r="N62" s="162">
        <v>-2</v>
      </c>
      <c r="O62" s="162">
        <v>-3</v>
      </c>
      <c r="P62" s="162">
        <v>-4</v>
      </c>
      <c r="Q62" s="162">
        <v>-5</v>
      </c>
      <c r="R62" s="162">
        <v>-6</v>
      </c>
      <c r="S62" s="162">
        <v>-7</v>
      </c>
      <c r="T62" s="162">
        <v>-8</v>
      </c>
      <c r="U62" s="162">
        <v>-9</v>
      </c>
      <c r="V62" s="162">
        <v>-10</v>
      </c>
      <c r="W62" s="162">
        <v>-11</v>
      </c>
      <c r="X62" s="162">
        <v>-12</v>
      </c>
      <c r="Y62" s="134"/>
      <c r="Z62" s="128"/>
      <c r="AA62" s="134"/>
      <c r="AB62" s="135"/>
      <c r="AC62" s="130"/>
      <c r="AD62" s="130"/>
      <c r="AE62" s="130"/>
      <c r="AF62" s="130"/>
      <c r="AG62" s="130"/>
      <c r="AH62" s="130"/>
      <c r="AI62" s="130"/>
      <c r="AJ62" s="130"/>
      <c r="AK62" s="130"/>
      <c r="AL62" s="130"/>
      <c r="AM62" s="130"/>
      <c r="AN62" s="130"/>
      <c r="AO62" s="130"/>
      <c r="AP62" s="130"/>
      <c r="AQ62" s="130"/>
      <c r="AR62" s="130"/>
      <c r="AS62" s="130"/>
      <c r="AT62" s="130"/>
      <c r="AU62" s="130"/>
      <c r="AV62" s="130"/>
      <c r="AW62" s="130"/>
    </row>
    <row r="63" spans="11:49" ht="63">
      <c r="K63" s="163" t="s">
        <v>245</v>
      </c>
      <c r="L63" s="164"/>
      <c r="M63" s="164" t="s">
        <v>221</v>
      </c>
      <c r="N63" s="165" t="s">
        <v>360</v>
      </c>
      <c r="O63" s="166" t="s">
        <v>247</v>
      </c>
      <c r="P63" s="166" t="s">
        <v>240</v>
      </c>
      <c r="Q63" s="167" t="s">
        <v>248</v>
      </c>
      <c r="R63" s="166" t="s">
        <v>249</v>
      </c>
      <c r="S63" s="166" t="s">
        <v>244</v>
      </c>
      <c r="T63" s="167" t="s">
        <v>250</v>
      </c>
      <c r="U63" s="166" t="s">
        <v>251</v>
      </c>
      <c r="V63" s="168" t="s">
        <v>252</v>
      </c>
      <c r="W63" s="169" t="s">
        <v>253</v>
      </c>
      <c r="X63" s="168" t="s">
        <v>254</v>
      </c>
      <c r="Y63" s="147"/>
      <c r="Z63" s="128"/>
      <c r="AA63" s="134"/>
      <c r="AB63" s="135"/>
      <c r="AC63" s="130"/>
      <c r="AD63" s="130"/>
      <c r="AE63" s="130"/>
      <c r="AF63" s="130"/>
      <c r="AG63" s="130"/>
      <c r="AH63" s="130"/>
      <c r="AI63" s="130"/>
      <c r="AJ63" s="130"/>
      <c r="AK63" s="130"/>
      <c r="AL63" s="130"/>
      <c r="AM63" s="130"/>
      <c r="AN63" s="130"/>
      <c r="AO63" s="130"/>
      <c r="AP63" s="130"/>
      <c r="AQ63" s="130"/>
      <c r="AR63" s="130"/>
      <c r="AS63" s="130"/>
      <c r="AT63" s="130"/>
      <c r="AU63" s="130"/>
      <c r="AV63" s="130"/>
      <c r="AW63" s="130"/>
    </row>
    <row r="64" spans="11:49" ht="46.5" customHeight="1">
      <c r="K64" s="170"/>
      <c r="L64" s="171"/>
      <c r="M64" s="171"/>
      <c r="N64" s="171"/>
      <c r="O64" s="172" t="s">
        <v>17</v>
      </c>
      <c r="P64" s="610" t="s">
        <v>865</v>
      </c>
      <c r="Q64" s="173" t="s">
        <v>255</v>
      </c>
      <c r="R64" s="610" t="s">
        <v>18</v>
      </c>
      <c r="S64" s="610" t="s">
        <v>866</v>
      </c>
      <c r="T64" s="173" t="s">
        <v>256</v>
      </c>
      <c r="U64" s="610" t="s">
        <v>257</v>
      </c>
      <c r="V64" s="173" t="s">
        <v>258</v>
      </c>
      <c r="W64" s="174" t="s">
        <v>215</v>
      </c>
      <c r="X64" s="175" t="s">
        <v>259</v>
      </c>
      <c r="Y64" s="134"/>
      <c r="Z64" s="128"/>
      <c r="AA64" s="134"/>
      <c r="AB64" s="135"/>
      <c r="AC64" s="130"/>
      <c r="AD64" s="130"/>
      <c r="AE64" s="130"/>
      <c r="AF64" s="130"/>
      <c r="AG64" s="130"/>
      <c r="AH64" s="130"/>
      <c r="AI64" s="130"/>
      <c r="AJ64" s="130"/>
      <c r="AK64" s="130"/>
      <c r="AL64" s="130"/>
      <c r="AM64" s="130"/>
      <c r="AN64" s="130"/>
      <c r="AO64" s="130"/>
      <c r="AP64" s="130"/>
      <c r="AQ64" s="130"/>
      <c r="AR64" s="130"/>
      <c r="AS64" s="130"/>
      <c r="AT64" s="130"/>
      <c r="AU64" s="130"/>
      <c r="AV64" s="130"/>
      <c r="AW64" s="130"/>
    </row>
    <row r="65" spans="11:49">
      <c r="K65" s="176"/>
      <c r="L65" s="102"/>
      <c r="M65" s="102"/>
      <c r="N65" s="102"/>
      <c r="O65" s="102"/>
      <c r="P65" s="102"/>
      <c r="Q65" s="177"/>
      <c r="R65" s="102"/>
      <c r="S65" s="102"/>
      <c r="T65" s="177"/>
      <c r="U65" s="102"/>
      <c r="V65" s="177"/>
      <c r="W65" s="103"/>
      <c r="X65" s="178"/>
      <c r="Y65" s="134"/>
      <c r="Z65" s="128"/>
      <c r="AA65" s="134"/>
      <c r="AB65" s="135"/>
      <c r="AC65" s="130"/>
      <c r="AD65" s="130"/>
      <c r="AE65" s="130"/>
      <c r="AF65" s="130"/>
      <c r="AG65" s="130"/>
      <c r="AH65" s="130"/>
      <c r="AI65" s="130"/>
      <c r="AJ65" s="130"/>
      <c r="AK65" s="130"/>
      <c r="AL65" s="130"/>
      <c r="AM65" s="130"/>
      <c r="AN65" s="130"/>
      <c r="AO65" s="130"/>
      <c r="AP65" s="130"/>
      <c r="AQ65" s="130"/>
      <c r="AR65" s="130"/>
      <c r="AS65" s="130"/>
      <c r="AT65" s="130"/>
      <c r="AU65" s="130"/>
      <c r="AV65" s="130"/>
      <c r="AW65" s="130"/>
    </row>
    <row r="66" spans="11:49">
      <c r="K66" s="417" t="s">
        <v>1</v>
      </c>
      <c r="L66" s="395"/>
      <c r="M66" s="395"/>
      <c r="N66" s="395"/>
      <c r="O66" s="236">
        <v>0</v>
      </c>
      <c r="P66" s="145">
        <f>$I$35</f>
        <v>5.1951804346368514E-2</v>
      </c>
      <c r="Q66" s="181">
        <f>O66*P66</f>
        <v>0</v>
      </c>
      <c r="R66" s="180">
        <v>0</v>
      </c>
      <c r="S66" s="145">
        <f>$I$45</f>
        <v>7.1793758210505043E-2</v>
      </c>
      <c r="T66" s="181">
        <f>R66*S66</f>
        <v>0</v>
      </c>
      <c r="U66" s="182">
        <v>0</v>
      </c>
      <c r="V66" s="181">
        <f>Q66+T66+U66</f>
        <v>0</v>
      </c>
      <c r="W66" s="183">
        <v>0</v>
      </c>
      <c r="X66" s="181">
        <f>V66+W66</f>
        <v>0</v>
      </c>
      <c r="Y66" s="184"/>
      <c r="Z66" s="184"/>
      <c r="AA66" s="184"/>
      <c r="AB66" s="184"/>
      <c r="AC66" s="184"/>
      <c r="AD66" s="184"/>
      <c r="AE66" s="184"/>
    </row>
    <row r="67" spans="11:49">
      <c r="K67" s="417" t="s">
        <v>262</v>
      </c>
      <c r="L67" s="395"/>
      <c r="M67" s="395"/>
      <c r="N67" s="395"/>
      <c r="O67" s="236">
        <v>0</v>
      </c>
      <c r="P67" s="145">
        <f>$I$35</f>
        <v>5.1951804346368514E-2</v>
      </c>
      <c r="Q67" s="181">
        <f>O67*P67</f>
        <v>0</v>
      </c>
      <c r="R67" s="180">
        <v>0</v>
      </c>
      <c r="S67" s="145">
        <f>$I$45</f>
        <v>7.1793758210505043E-2</v>
      </c>
      <c r="T67" s="181">
        <f>R67*S67</f>
        <v>0</v>
      </c>
      <c r="U67" s="182">
        <v>0</v>
      </c>
      <c r="V67" s="181">
        <f>Q67+T67+U67</f>
        <v>0</v>
      </c>
      <c r="W67" s="183">
        <v>0</v>
      </c>
      <c r="X67" s="181">
        <f>V67+W67</f>
        <v>0</v>
      </c>
      <c r="Y67" s="184"/>
      <c r="Z67" s="184"/>
      <c r="AA67" s="184"/>
      <c r="AB67" s="184"/>
      <c r="AC67" s="184"/>
      <c r="AD67" s="184"/>
      <c r="AE67" s="184"/>
    </row>
    <row r="68" spans="11:49">
      <c r="K68" s="417" t="s">
        <v>265</v>
      </c>
      <c r="L68" s="395"/>
      <c r="M68" s="395"/>
      <c r="N68" s="395"/>
      <c r="O68" s="236">
        <v>0</v>
      </c>
      <c r="P68" s="145">
        <f>$I$35</f>
        <v>5.1951804346368514E-2</v>
      </c>
      <c r="Q68" s="181">
        <f>O68*P68</f>
        <v>0</v>
      </c>
      <c r="R68" s="180">
        <v>0</v>
      </c>
      <c r="S68" s="145">
        <f>$I$45</f>
        <v>7.1793758210505043E-2</v>
      </c>
      <c r="T68" s="181">
        <f>R68*S68</f>
        <v>0</v>
      </c>
      <c r="U68" s="182">
        <v>0</v>
      </c>
      <c r="V68" s="181">
        <f>Q68+T68+U68</f>
        <v>0</v>
      </c>
      <c r="W68" s="180">
        <v>0</v>
      </c>
      <c r="X68" s="181">
        <f>V68+W68</f>
        <v>0</v>
      </c>
      <c r="Y68" s="184"/>
      <c r="Z68" s="184"/>
      <c r="AA68" s="184"/>
      <c r="AB68" s="184"/>
      <c r="AC68" s="184"/>
      <c r="AD68" s="184"/>
      <c r="AE68" s="184"/>
    </row>
    <row r="69" spans="11:49">
      <c r="K69" s="179"/>
      <c r="Q69" s="181"/>
      <c r="T69" s="181"/>
      <c r="V69" s="181"/>
      <c r="X69" s="181"/>
      <c r="Y69" s="184"/>
      <c r="Z69" s="184"/>
      <c r="AA69" s="184"/>
      <c r="AB69" s="184"/>
      <c r="AC69" s="184"/>
      <c r="AD69" s="184"/>
      <c r="AE69" s="184"/>
    </row>
    <row r="70" spans="11:49">
      <c r="K70" s="179"/>
      <c r="Q70" s="181"/>
      <c r="T70" s="181"/>
      <c r="V70" s="181"/>
      <c r="X70" s="181"/>
      <c r="Y70" s="184"/>
      <c r="Z70" s="184"/>
      <c r="AA70" s="184"/>
      <c r="AB70" s="184"/>
      <c r="AC70" s="184"/>
      <c r="AD70" s="184"/>
      <c r="AE70" s="184"/>
    </row>
    <row r="71" spans="11:49">
      <c r="K71" s="179"/>
      <c r="Q71" s="181"/>
      <c r="T71" s="181"/>
      <c r="V71" s="181"/>
      <c r="X71" s="181"/>
      <c r="Y71" s="184"/>
      <c r="Z71" s="184"/>
      <c r="AA71" s="184"/>
      <c r="AB71" s="184"/>
      <c r="AC71" s="184"/>
      <c r="AD71" s="184"/>
      <c r="AE71" s="184"/>
    </row>
    <row r="72" spans="11:49">
      <c r="K72" s="179"/>
      <c r="Q72" s="181"/>
      <c r="T72" s="181"/>
      <c r="V72" s="181"/>
      <c r="X72" s="181"/>
      <c r="Y72" s="184"/>
      <c r="Z72" s="184"/>
      <c r="AA72" s="184"/>
      <c r="AB72" s="184"/>
      <c r="AC72" s="184"/>
      <c r="AD72" s="184"/>
      <c r="AE72" s="184"/>
    </row>
    <row r="73" spans="11:49">
      <c r="K73" s="179"/>
      <c r="Q73" s="181"/>
      <c r="T73" s="181"/>
      <c r="V73" s="181"/>
      <c r="X73" s="181"/>
      <c r="Y73" s="184"/>
      <c r="Z73" s="184"/>
      <c r="AA73" s="184"/>
      <c r="AB73" s="184"/>
      <c r="AC73" s="184"/>
      <c r="AD73" s="184"/>
      <c r="AE73" s="184"/>
    </row>
    <row r="74" spans="11:49">
      <c r="K74" s="179"/>
      <c r="M74" s="184"/>
      <c r="N74" s="184"/>
      <c r="O74" s="184"/>
      <c r="P74" s="184"/>
      <c r="Q74" s="185"/>
      <c r="R74" s="184"/>
      <c r="S74" s="184"/>
      <c r="T74" s="185"/>
      <c r="U74" s="184"/>
      <c r="V74" s="185"/>
      <c r="W74" s="184"/>
      <c r="X74" s="185"/>
      <c r="Y74" s="184"/>
      <c r="Z74" s="184"/>
      <c r="AA74" s="184"/>
      <c r="AB74" s="184"/>
      <c r="AC74" s="184"/>
      <c r="AD74" s="184"/>
      <c r="AE74" s="184"/>
    </row>
    <row r="75" spans="11:49">
      <c r="K75" s="179"/>
      <c r="M75" s="184"/>
      <c r="N75" s="184"/>
      <c r="O75" s="184"/>
      <c r="P75" s="184"/>
      <c r="Q75" s="185"/>
      <c r="R75" s="184"/>
      <c r="S75" s="184"/>
      <c r="T75" s="185"/>
      <c r="U75" s="184"/>
      <c r="V75" s="185"/>
      <c r="W75" s="184"/>
      <c r="X75" s="185"/>
      <c r="Y75" s="184"/>
      <c r="Z75" s="184"/>
      <c r="AA75" s="184"/>
      <c r="AB75" s="184"/>
      <c r="AC75" s="184"/>
      <c r="AD75" s="184"/>
      <c r="AE75" s="184"/>
    </row>
    <row r="76" spans="11:49">
      <c r="K76" s="179"/>
      <c r="M76" s="184"/>
      <c r="N76" s="184"/>
      <c r="O76" s="184"/>
      <c r="P76" s="184"/>
      <c r="Q76" s="185"/>
      <c r="R76" s="184"/>
      <c r="S76" s="184"/>
      <c r="T76" s="185"/>
      <c r="U76" s="184"/>
      <c r="V76" s="185"/>
      <c r="W76" s="184"/>
      <c r="X76" s="185"/>
      <c r="Y76" s="184"/>
      <c r="Z76" s="184"/>
      <c r="AA76" s="184"/>
      <c r="AB76" s="184"/>
      <c r="AC76" s="184"/>
      <c r="AD76" s="184"/>
      <c r="AE76" s="184"/>
    </row>
    <row r="77" spans="11:49">
      <c r="K77" s="179"/>
      <c r="M77" s="184"/>
      <c r="N77" s="184"/>
      <c r="O77" s="184"/>
      <c r="P77" s="184"/>
      <c r="Q77" s="185"/>
      <c r="R77" s="184"/>
      <c r="S77" s="184"/>
      <c r="T77" s="185"/>
      <c r="U77" s="184"/>
      <c r="V77" s="185"/>
      <c r="W77" s="184"/>
      <c r="X77" s="185"/>
      <c r="Y77" s="184"/>
      <c r="Z77" s="184"/>
      <c r="AA77" s="184"/>
      <c r="AB77" s="184"/>
      <c r="AC77" s="184"/>
      <c r="AD77" s="184"/>
      <c r="AE77" s="184"/>
    </row>
    <row r="78" spans="11:49">
      <c r="K78" s="179"/>
      <c r="M78" s="184"/>
      <c r="N78" s="184"/>
      <c r="O78" s="184"/>
      <c r="P78" s="184"/>
      <c r="Q78" s="185"/>
      <c r="R78" s="184"/>
      <c r="S78" s="184"/>
      <c r="T78" s="185"/>
      <c r="U78" s="184"/>
      <c r="V78" s="185"/>
      <c r="W78" s="184"/>
      <c r="X78" s="185"/>
      <c r="Y78" s="184"/>
      <c r="Z78" s="184"/>
      <c r="AA78" s="184"/>
      <c r="AB78" s="184"/>
      <c r="AC78" s="184"/>
      <c r="AD78" s="184"/>
      <c r="AE78" s="184"/>
    </row>
    <row r="79" spans="11:49">
      <c r="K79" s="179"/>
      <c r="M79" s="184"/>
      <c r="N79" s="184"/>
      <c r="O79" s="184"/>
      <c r="P79" s="184"/>
      <c r="Q79" s="185"/>
      <c r="R79" s="184"/>
      <c r="S79" s="184"/>
      <c r="T79" s="185"/>
      <c r="U79" s="184"/>
      <c r="V79" s="185"/>
      <c r="W79" s="184"/>
      <c r="X79" s="185"/>
      <c r="Y79" s="184"/>
      <c r="Z79" s="184"/>
      <c r="AA79" s="184"/>
      <c r="AB79" s="184"/>
      <c r="AC79" s="184"/>
      <c r="AD79" s="184"/>
      <c r="AE79" s="184"/>
    </row>
    <row r="80" spans="11:49">
      <c r="K80" s="179"/>
      <c r="M80" s="184"/>
      <c r="N80" s="184"/>
      <c r="O80" s="184"/>
      <c r="P80" s="184"/>
      <c r="Q80" s="185"/>
      <c r="R80" s="184"/>
      <c r="S80" s="184"/>
      <c r="T80" s="185"/>
      <c r="U80" s="184"/>
      <c r="V80" s="185"/>
      <c r="W80" s="184"/>
      <c r="X80" s="185"/>
      <c r="Y80" s="184"/>
      <c r="Z80" s="184"/>
      <c r="AA80" s="184"/>
      <c r="AB80" s="184"/>
      <c r="AC80" s="184"/>
      <c r="AD80" s="184"/>
      <c r="AE80" s="184"/>
    </row>
    <row r="81" spans="11:31">
      <c r="K81" s="179"/>
      <c r="M81" s="184"/>
      <c r="N81" s="184"/>
      <c r="O81" s="184"/>
      <c r="P81" s="184"/>
      <c r="Q81" s="185"/>
      <c r="R81" s="184"/>
      <c r="S81" s="184"/>
      <c r="T81" s="185"/>
      <c r="U81" s="184"/>
      <c r="V81" s="185"/>
      <c r="W81" s="184"/>
      <c r="X81" s="185"/>
      <c r="Y81" s="184"/>
      <c r="Z81" s="184"/>
      <c r="AA81" s="184"/>
      <c r="AB81" s="184"/>
      <c r="AC81" s="184"/>
      <c r="AD81" s="184"/>
      <c r="AE81" s="184"/>
    </row>
    <row r="82" spans="11:31">
      <c r="K82" s="179"/>
      <c r="M82" s="184"/>
      <c r="N82" s="184"/>
      <c r="O82" s="184"/>
      <c r="P82" s="184"/>
      <c r="Q82" s="185"/>
      <c r="R82" s="184"/>
      <c r="S82" s="184"/>
      <c r="T82" s="185"/>
      <c r="U82" s="184"/>
      <c r="V82" s="185"/>
      <c r="W82" s="184"/>
      <c r="X82" s="185"/>
      <c r="Y82" s="184"/>
      <c r="Z82" s="184"/>
      <c r="AA82" s="184"/>
      <c r="AB82" s="184"/>
      <c r="AC82" s="184"/>
      <c r="AD82" s="184"/>
      <c r="AE82" s="184"/>
    </row>
    <row r="83" spans="11:31">
      <c r="K83" s="179"/>
      <c r="M83" s="184"/>
      <c r="N83" s="184"/>
      <c r="O83" s="184"/>
      <c r="P83" s="184"/>
      <c r="Q83" s="185"/>
      <c r="R83" s="184"/>
      <c r="S83" s="184"/>
      <c r="T83" s="185"/>
      <c r="U83" s="184"/>
      <c r="V83" s="185"/>
      <c r="W83" s="184"/>
      <c r="X83" s="185"/>
      <c r="Y83" s="184"/>
      <c r="Z83" s="184"/>
      <c r="AA83" s="184"/>
      <c r="AB83" s="184"/>
      <c r="AC83" s="184"/>
      <c r="AD83" s="184"/>
      <c r="AE83" s="184"/>
    </row>
    <row r="84" spans="11:31">
      <c r="K84" s="179"/>
      <c r="M84" s="184"/>
      <c r="N84" s="184"/>
      <c r="O84" s="184"/>
      <c r="P84" s="184"/>
      <c r="Q84" s="185"/>
      <c r="R84" s="184"/>
      <c r="S84" s="184"/>
      <c r="T84" s="185"/>
      <c r="U84" s="184"/>
      <c r="V84" s="185"/>
      <c r="W84" s="184"/>
      <c r="X84" s="185"/>
      <c r="Y84" s="184"/>
      <c r="Z84" s="184"/>
      <c r="AA84" s="184"/>
      <c r="AB84" s="184"/>
      <c r="AC84" s="184"/>
      <c r="AD84" s="184"/>
      <c r="AE84" s="184"/>
    </row>
    <row r="85" spans="11:31">
      <c r="K85" s="186"/>
      <c r="L85" s="187"/>
      <c r="M85" s="188"/>
      <c r="N85" s="188"/>
      <c r="O85" s="188"/>
      <c r="P85" s="188"/>
      <c r="Q85" s="189"/>
      <c r="R85" s="188"/>
      <c r="S85" s="188"/>
      <c r="T85" s="189"/>
      <c r="U85" s="188"/>
      <c r="V85" s="189"/>
      <c r="W85" s="188"/>
      <c r="X85" s="189"/>
      <c r="Y85" s="184"/>
      <c r="Z85" s="184"/>
      <c r="AA85" s="184"/>
      <c r="AB85" s="184"/>
      <c r="AC85" s="184"/>
      <c r="AD85" s="184"/>
      <c r="AE85" s="184"/>
    </row>
    <row r="86" spans="11:31">
      <c r="K86" s="133" t="s">
        <v>268</v>
      </c>
      <c r="L86" s="155"/>
      <c r="M86" s="99" t="s">
        <v>269</v>
      </c>
      <c r="N86" s="99"/>
      <c r="O86" s="105"/>
      <c r="P86" s="105"/>
      <c r="Q86" s="103"/>
      <c r="R86" s="103"/>
      <c r="S86" s="103"/>
      <c r="T86" s="103"/>
      <c r="U86" s="103"/>
      <c r="V86" s="962">
        <f>SUM(V66:V85)</f>
        <v>0</v>
      </c>
      <c r="W86" s="962">
        <f>SUM(W66:W85)</f>
        <v>0</v>
      </c>
      <c r="X86" s="962">
        <f>SUM(X66:X85)</f>
        <v>0</v>
      </c>
      <c r="Y86" s="184"/>
      <c r="Z86" s="184"/>
      <c r="AA86" s="184"/>
      <c r="AB86" s="184"/>
      <c r="AC86" s="184"/>
      <c r="AD86" s="184"/>
      <c r="AE86" s="184"/>
    </row>
    <row r="87" spans="11:31">
      <c r="K87" s="93"/>
      <c r="L87" s="184"/>
      <c r="M87" s="184"/>
      <c r="N87" s="184"/>
      <c r="O87" s="184"/>
      <c r="P87" s="184"/>
      <c r="Q87" s="184"/>
      <c r="R87" s="184"/>
      <c r="S87" s="184"/>
      <c r="T87" s="184"/>
      <c r="U87" s="184"/>
      <c r="V87" s="963"/>
      <c r="W87" s="963"/>
      <c r="X87" s="963"/>
      <c r="Y87" s="184"/>
      <c r="Z87" s="184"/>
      <c r="AA87" s="184"/>
      <c r="AB87" s="184"/>
      <c r="AC87" s="184"/>
      <c r="AD87" s="184"/>
      <c r="AE87" s="184"/>
    </row>
    <row r="88" spans="11:31">
      <c r="K88" s="190">
        <v>3</v>
      </c>
      <c r="L88" s="184"/>
      <c r="M88" s="614" t="s">
        <v>605</v>
      </c>
      <c r="N88" s="184"/>
      <c r="O88" s="184"/>
      <c r="P88" s="184"/>
      <c r="Q88" s="184"/>
      <c r="R88" s="184"/>
      <c r="S88" s="184"/>
      <c r="T88" s="184"/>
      <c r="U88" s="184"/>
      <c r="V88" s="962"/>
      <c r="W88" s="963"/>
      <c r="X88" s="962">
        <f>X86</f>
        <v>0</v>
      </c>
      <c r="Y88" s="184"/>
      <c r="Z88" s="184"/>
      <c r="AA88" s="184"/>
      <c r="AB88" s="184"/>
      <c r="AC88" s="184"/>
      <c r="AD88" s="184"/>
      <c r="AE88" s="184"/>
    </row>
    <row r="89" spans="11:31">
      <c r="K89" s="184"/>
      <c r="L89" s="184"/>
      <c r="M89" s="184"/>
      <c r="N89" s="184"/>
      <c r="O89" s="184"/>
      <c r="P89" s="184"/>
      <c r="Q89" s="184"/>
      <c r="R89" s="184"/>
      <c r="S89" s="184"/>
      <c r="T89" s="184"/>
      <c r="U89" s="184"/>
      <c r="V89" s="184"/>
      <c r="W89" s="184"/>
      <c r="X89" s="184"/>
      <c r="Y89" s="184"/>
      <c r="Z89" s="184"/>
      <c r="AA89" s="184"/>
      <c r="AB89" s="184"/>
      <c r="AC89" s="184"/>
      <c r="AD89" s="184"/>
      <c r="AE89" s="184"/>
    </row>
    <row r="90" spans="11:31">
      <c r="K90" s="184"/>
      <c r="L90" s="184"/>
      <c r="M90" s="184"/>
      <c r="N90" s="184"/>
      <c r="O90" s="184"/>
      <c r="P90" s="184"/>
      <c r="Q90" s="184"/>
      <c r="R90" s="184"/>
      <c r="S90" s="184"/>
      <c r="T90" s="184"/>
      <c r="U90" s="184"/>
      <c r="V90" s="184"/>
      <c r="W90" s="184"/>
      <c r="X90" s="184"/>
      <c r="Y90" s="184"/>
      <c r="Z90" s="184"/>
      <c r="AA90" s="184"/>
      <c r="AB90" s="184"/>
      <c r="AC90" s="184"/>
      <c r="AD90" s="184"/>
      <c r="AE90" s="184"/>
    </row>
    <row r="91" spans="11:31">
      <c r="K91" s="98" t="s">
        <v>98</v>
      </c>
      <c r="L91" s="184"/>
      <c r="M91" s="184"/>
      <c r="N91" s="184"/>
      <c r="O91" s="184"/>
      <c r="P91" s="184"/>
      <c r="Q91" s="184"/>
      <c r="R91" s="184"/>
      <c r="S91" s="184"/>
      <c r="T91" s="184"/>
      <c r="U91" s="184"/>
      <c r="V91" s="184"/>
      <c r="W91" s="184"/>
      <c r="X91" s="184"/>
      <c r="Y91" s="184"/>
      <c r="Z91" s="184"/>
      <c r="AA91" s="184"/>
      <c r="AB91" s="184"/>
      <c r="AC91" s="184"/>
      <c r="AD91" s="184"/>
      <c r="AE91" s="184"/>
    </row>
    <row r="92" spans="11:31" ht="15.75" thickBot="1">
      <c r="K92" s="191" t="s">
        <v>99</v>
      </c>
      <c r="L92" s="184"/>
      <c r="M92" s="184"/>
      <c r="N92" s="184"/>
      <c r="O92" s="184"/>
      <c r="P92" s="184"/>
      <c r="Q92" s="184"/>
      <c r="R92" s="184"/>
      <c r="S92" s="184"/>
      <c r="T92" s="184"/>
      <c r="U92" s="184"/>
      <c r="V92" s="184"/>
      <c r="W92" s="184"/>
      <c r="X92" s="184"/>
      <c r="Y92" s="184"/>
      <c r="Z92" s="184"/>
      <c r="AA92" s="184"/>
      <c r="AB92" s="184"/>
      <c r="AC92" s="184"/>
      <c r="AD92" s="184"/>
      <c r="AE92" s="184"/>
    </row>
    <row r="93" spans="11:31">
      <c r="K93" s="192" t="s">
        <v>100</v>
      </c>
      <c r="L93" s="101"/>
      <c r="M93" s="1079" t="s">
        <v>667</v>
      </c>
      <c r="N93" s="1080"/>
      <c r="O93" s="1080"/>
      <c r="P93" s="1080"/>
      <c r="Q93" s="1080"/>
      <c r="R93" s="1080"/>
      <c r="S93" s="1080"/>
      <c r="T93" s="1080"/>
      <c r="U93" s="1080"/>
      <c r="V93" s="1080"/>
      <c r="W93" s="1080"/>
      <c r="X93" s="1080"/>
      <c r="Y93" s="184"/>
      <c r="Z93" s="184"/>
      <c r="AA93" s="184"/>
      <c r="AB93" s="184"/>
      <c r="AC93" s="184"/>
      <c r="AD93" s="184"/>
      <c r="AE93" s="184"/>
    </row>
    <row r="94" spans="11:31">
      <c r="K94" s="192" t="s">
        <v>101</v>
      </c>
      <c r="L94" s="101"/>
      <c r="M94" s="1079" t="s">
        <v>668</v>
      </c>
      <c r="N94" s="1080"/>
      <c r="O94" s="1080"/>
      <c r="P94" s="1080"/>
      <c r="Q94" s="1080"/>
      <c r="R94" s="1080"/>
      <c r="S94" s="1080"/>
      <c r="T94" s="1080"/>
      <c r="U94" s="1080"/>
      <c r="V94" s="1080"/>
      <c r="W94" s="1080"/>
      <c r="X94" s="1080"/>
      <c r="Y94" s="184"/>
      <c r="Z94" s="184"/>
      <c r="AA94" s="184"/>
      <c r="AB94" s="184"/>
      <c r="AC94" s="184"/>
      <c r="AD94" s="184"/>
      <c r="AE94" s="184"/>
    </row>
    <row r="95" spans="11:31" ht="27.75" customHeight="1">
      <c r="K95" s="193" t="s">
        <v>102</v>
      </c>
      <c r="L95" s="101"/>
      <c r="M95" s="1081" t="s">
        <v>270</v>
      </c>
      <c r="N95" s="1081"/>
      <c r="O95" s="1081"/>
      <c r="P95" s="1081"/>
      <c r="Q95" s="1081"/>
      <c r="R95" s="1081"/>
      <c r="S95" s="1081"/>
      <c r="T95" s="1081"/>
      <c r="U95" s="1081"/>
      <c r="V95" s="1081"/>
      <c r="W95" s="1081"/>
      <c r="X95" s="1081"/>
      <c r="Y95" s="184"/>
      <c r="Z95" s="184"/>
      <c r="AA95" s="184"/>
      <c r="AB95" s="184"/>
      <c r="AC95" s="184"/>
      <c r="AD95" s="184"/>
      <c r="AE95" s="184"/>
    </row>
    <row r="96" spans="11:31" ht="15" customHeight="1">
      <c r="K96" s="193" t="s">
        <v>103</v>
      </c>
      <c r="L96" s="101"/>
      <c r="M96" s="1081" t="s">
        <v>271</v>
      </c>
      <c r="N96" s="1081"/>
      <c r="O96" s="1081"/>
      <c r="P96" s="1081"/>
      <c r="Q96" s="1081"/>
      <c r="R96" s="1081"/>
      <c r="S96" s="1081"/>
      <c r="T96" s="1081"/>
      <c r="U96" s="1081"/>
      <c r="V96" s="1081"/>
      <c r="W96" s="1081"/>
      <c r="X96" s="1081"/>
      <c r="Y96" s="184"/>
      <c r="Z96" s="184"/>
      <c r="AA96" s="184"/>
      <c r="AB96" s="184"/>
      <c r="AC96" s="184"/>
      <c r="AD96" s="184"/>
      <c r="AE96" s="184"/>
    </row>
    <row r="97" spans="3:31">
      <c r="K97" s="192" t="s">
        <v>104</v>
      </c>
      <c r="L97" s="101"/>
      <c r="M97" s="1080" t="s">
        <v>334</v>
      </c>
      <c r="N97" s="1080"/>
      <c r="O97" s="1080"/>
      <c r="P97" s="1080"/>
      <c r="Q97" s="1080"/>
      <c r="R97" s="1080"/>
      <c r="S97" s="1080"/>
      <c r="T97" s="1080"/>
      <c r="U97" s="1080"/>
      <c r="V97" s="1080"/>
      <c r="W97" s="1080"/>
      <c r="X97" s="1080"/>
      <c r="Y97" s="184"/>
      <c r="Z97" s="184"/>
      <c r="AA97" s="184"/>
      <c r="AB97" s="184"/>
      <c r="AC97" s="184"/>
      <c r="AD97" s="184"/>
      <c r="AE97" s="184"/>
    </row>
    <row r="98" spans="3:31">
      <c r="K98" s="192" t="s">
        <v>105</v>
      </c>
      <c r="L98" s="101"/>
      <c r="M98" s="1080" t="s">
        <v>272</v>
      </c>
      <c r="N98" s="1080"/>
      <c r="O98" s="1080"/>
      <c r="P98" s="1080"/>
      <c r="Q98" s="1080"/>
      <c r="R98" s="1080"/>
      <c r="S98" s="1080"/>
      <c r="T98" s="1080"/>
      <c r="U98" s="1080"/>
      <c r="V98" s="1080"/>
      <c r="W98" s="1080"/>
      <c r="X98" s="1080"/>
      <c r="Y98" s="184"/>
      <c r="Z98" s="184"/>
      <c r="AA98" s="184"/>
      <c r="AB98" s="184"/>
      <c r="AC98" s="184"/>
      <c r="AD98" s="184"/>
      <c r="AE98" s="184"/>
    </row>
    <row r="99" spans="3:31">
      <c r="K99" s="192" t="s">
        <v>106</v>
      </c>
      <c r="L99" s="101"/>
      <c r="M99" s="1079" t="s">
        <v>604</v>
      </c>
      <c r="N99" s="1080"/>
      <c r="O99" s="1080"/>
      <c r="P99" s="1080"/>
      <c r="Q99" s="1080"/>
      <c r="R99" s="1080"/>
      <c r="S99" s="1080"/>
      <c r="T99" s="1080"/>
      <c r="U99" s="1080"/>
      <c r="V99" s="1080"/>
      <c r="W99" s="1080"/>
      <c r="X99" s="1080"/>
      <c r="Y99" s="184"/>
      <c r="Z99" s="184"/>
      <c r="AA99" s="184"/>
      <c r="AB99" s="184"/>
      <c r="AC99" s="184"/>
      <c r="AD99" s="184"/>
      <c r="AE99" s="184"/>
    </row>
    <row r="100" spans="3:31">
      <c r="K100" s="383" t="s">
        <v>108</v>
      </c>
      <c r="L100" s="130"/>
      <c r="M100" s="1079" t="s">
        <v>358</v>
      </c>
      <c r="N100" s="1079"/>
      <c r="O100" s="1079"/>
      <c r="P100" s="1079"/>
      <c r="Q100" s="1079"/>
      <c r="R100" s="1079"/>
      <c r="S100" s="1079"/>
      <c r="T100" s="1079"/>
      <c r="U100" s="1079"/>
      <c r="V100" s="1079"/>
      <c r="W100" s="1079"/>
      <c r="X100" s="1079"/>
      <c r="Y100" s="184"/>
      <c r="Z100" s="184"/>
      <c r="AA100" s="184"/>
      <c r="AB100" s="184"/>
      <c r="AC100" s="184"/>
      <c r="AD100" s="184"/>
      <c r="AE100" s="184"/>
    </row>
    <row r="101" spans="3:31" ht="15.75">
      <c r="K101" s="158"/>
      <c r="L101" s="194"/>
      <c r="M101" s="195"/>
      <c r="N101" s="154"/>
      <c r="O101" s="105"/>
      <c r="P101" s="105"/>
      <c r="Q101" s="103"/>
      <c r="R101" s="98"/>
      <c r="S101" s="98"/>
      <c r="T101" s="144"/>
      <c r="U101" s="98"/>
      <c r="W101" s="103"/>
      <c r="X101" s="159"/>
      <c r="Y101" s="184"/>
      <c r="Z101" s="184"/>
      <c r="AA101" s="184"/>
      <c r="AB101" s="184"/>
      <c r="AC101" s="184"/>
      <c r="AD101" s="184"/>
      <c r="AE101" s="184"/>
    </row>
    <row r="102" spans="3:31" ht="15.75">
      <c r="K102" s="158"/>
      <c r="L102" s="194"/>
      <c r="M102" s="195"/>
      <c r="N102" s="154"/>
      <c r="O102" s="105"/>
      <c r="P102" s="105"/>
      <c r="Q102" s="103"/>
      <c r="R102" s="98"/>
      <c r="S102" s="98"/>
      <c r="T102" s="144"/>
      <c r="U102" s="98"/>
      <c r="W102" s="103"/>
      <c r="X102" s="146"/>
      <c r="Y102" s="184"/>
      <c r="Z102" s="184"/>
      <c r="AA102" s="184"/>
      <c r="AB102" s="184"/>
      <c r="AC102" s="184"/>
      <c r="AD102" s="184"/>
      <c r="AE102" s="184"/>
    </row>
    <row r="103" spans="3:31">
      <c r="M103" s="184"/>
      <c r="N103" s="184"/>
      <c r="O103" s="184"/>
      <c r="P103" s="184"/>
      <c r="Q103" s="184"/>
      <c r="R103" s="184"/>
      <c r="S103" s="184"/>
      <c r="T103" s="184"/>
      <c r="U103" s="184"/>
      <c r="V103" s="184"/>
      <c r="W103" s="184"/>
      <c r="X103" s="184"/>
      <c r="Y103" s="184"/>
      <c r="Z103" s="184"/>
      <c r="AA103" s="184"/>
      <c r="AB103" s="184"/>
      <c r="AC103" s="184"/>
      <c r="AD103" s="184"/>
      <c r="AE103" s="184"/>
    </row>
    <row r="104" spans="3:31">
      <c r="M104" s="184"/>
      <c r="N104" s="184"/>
      <c r="O104" s="184"/>
      <c r="P104" s="184"/>
      <c r="Q104" s="184"/>
      <c r="R104" s="184"/>
      <c r="S104" s="184"/>
      <c r="T104" s="184"/>
      <c r="U104" s="184"/>
      <c r="V104" s="184"/>
      <c r="W104" s="184"/>
      <c r="X104" s="184"/>
      <c r="Y104" s="184"/>
      <c r="Z104" s="184"/>
      <c r="AA104" s="184"/>
      <c r="AB104" s="184"/>
      <c r="AC104" s="184"/>
      <c r="AD104" s="184"/>
      <c r="AE104" s="184"/>
    </row>
    <row r="105" spans="3:31">
      <c r="M105" s="184"/>
      <c r="N105" s="184"/>
      <c r="O105" s="184"/>
      <c r="P105" s="184"/>
      <c r="Q105" s="184"/>
      <c r="R105" s="184"/>
      <c r="S105" s="184"/>
      <c r="T105" s="184"/>
      <c r="U105" s="184"/>
      <c r="V105" s="184"/>
      <c r="W105" s="184"/>
      <c r="X105" s="184"/>
      <c r="Y105" s="184"/>
      <c r="Z105" s="184"/>
      <c r="AA105" s="184"/>
      <c r="AB105" s="184"/>
      <c r="AC105" s="184"/>
      <c r="AD105" s="184"/>
      <c r="AE105" s="184"/>
    </row>
    <row r="106" spans="3:31">
      <c r="M106" s="184"/>
      <c r="N106" s="184"/>
      <c r="O106" s="184"/>
      <c r="P106" s="184"/>
      <c r="Q106" s="184"/>
      <c r="R106" s="184"/>
      <c r="S106" s="184"/>
      <c r="T106" s="184"/>
      <c r="U106" s="184"/>
      <c r="V106" s="184"/>
      <c r="W106" s="184"/>
      <c r="X106" s="184"/>
      <c r="Y106" s="184"/>
      <c r="Z106" s="184"/>
      <c r="AA106" s="184"/>
      <c r="AB106" s="184"/>
      <c r="AC106" s="184"/>
      <c r="AD106" s="184"/>
      <c r="AE106" s="184"/>
    </row>
    <row r="107" spans="3:31">
      <c r="M107" s="184"/>
      <c r="N107" s="184"/>
      <c r="O107" s="184"/>
      <c r="P107" s="184"/>
      <c r="Q107" s="184"/>
      <c r="R107" s="184"/>
      <c r="S107" s="184"/>
      <c r="T107" s="184"/>
      <c r="U107" s="184"/>
      <c r="V107" s="184"/>
      <c r="W107" s="184"/>
      <c r="X107" s="184"/>
      <c r="Y107" s="184"/>
      <c r="Z107" s="184"/>
      <c r="AA107" s="184"/>
      <c r="AB107" s="184"/>
      <c r="AC107" s="184"/>
      <c r="AD107" s="184"/>
      <c r="AE107" s="184"/>
    </row>
    <row r="108" spans="3:31">
      <c r="C108" s="184"/>
      <c r="D108" s="184"/>
      <c r="E108" s="184"/>
      <c r="F108" s="184"/>
      <c r="G108" s="184"/>
      <c r="H108" s="184"/>
      <c r="I108" s="184"/>
      <c r="J108" s="184"/>
    </row>
    <row r="109" spans="3:31">
      <c r="C109" s="184"/>
      <c r="D109" s="184"/>
      <c r="E109" s="184"/>
      <c r="F109" s="184"/>
      <c r="G109" s="184"/>
      <c r="H109" s="184"/>
      <c r="I109" s="184"/>
      <c r="J109" s="184"/>
    </row>
    <row r="110" spans="3:31">
      <c r="C110" s="184"/>
      <c r="D110" s="184"/>
      <c r="E110" s="184"/>
      <c r="F110" s="184"/>
      <c r="G110" s="184"/>
      <c r="H110" s="184"/>
      <c r="I110" s="184"/>
      <c r="J110" s="184"/>
    </row>
    <row r="111" spans="3:31">
      <c r="C111" s="184"/>
      <c r="D111" s="184"/>
      <c r="E111" s="184"/>
      <c r="F111" s="184"/>
      <c r="G111" s="184"/>
      <c r="H111" s="184"/>
      <c r="I111" s="184"/>
      <c r="J111" s="184"/>
    </row>
    <row r="112" spans="3:31">
      <c r="C112" s="184"/>
      <c r="D112" s="184"/>
      <c r="E112" s="184"/>
      <c r="F112" s="184"/>
      <c r="G112" s="184"/>
      <c r="H112" s="184"/>
      <c r="I112" s="184"/>
      <c r="J112" s="184"/>
    </row>
    <row r="113" spans="3:10">
      <c r="C113" s="184"/>
      <c r="D113" s="184"/>
      <c r="E113" s="184"/>
      <c r="F113" s="184"/>
      <c r="G113" s="184"/>
      <c r="H113" s="184"/>
      <c r="I113" s="184"/>
      <c r="J113" s="184"/>
    </row>
    <row r="114" spans="3:10">
      <c r="C114" s="184"/>
      <c r="D114" s="184"/>
      <c r="E114" s="184"/>
      <c r="F114" s="184"/>
      <c r="G114" s="184"/>
      <c r="H114" s="184"/>
      <c r="I114" s="184"/>
      <c r="J114" s="184"/>
    </row>
    <row r="115" spans="3:10">
      <c r="C115" s="184"/>
      <c r="D115" s="184"/>
      <c r="E115" s="184"/>
      <c r="F115" s="184"/>
      <c r="G115" s="184"/>
      <c r="H115" s="184"/>
      <c r="I115" s="184"/>
      <c r="J115" s="184"/>
    </row>
    <row r="116" spans="3:10">
      <c r="C116" s="184"/>
      <c r="D116" s="184"/>
      <c r="E116" s="184"/>
      <c r="F116" s="184"/>
      <c r="G116" s="184"/>
      <c r="H116" s="184"/>
      <c r="I116" s="184"/>
      <c r="J116" s="184"/>
    </row>
    <row r="117" spans="3:10">
      <c r="C117" s="184"/>
      <c r="D117" s="184"/>
      <c r="E117" s="184"/>
      <c r="F117" s="184"/>
      <c r="G117" s="184"/>
      <c r="H117" s="184"/>
      <c r="I117" s="184"/>
      <c r="J117" s="184"/>
    </row>
    <row r="118" spans="3:10">
      <c r="C118" s="184"/>
      <c r="D118" s="184"/>
      <c r="E118" s="184"/>
      <c r="F118" s="184"/>
      <c r="G118" s="184"/>
      <c r="H118" s="184"/>
      <c r="I118" s="184"/>
      <c r="J118" s="184"/>
    </row>
    <row r="119" spans="3:10">
      <c r="C119" s="184"/>
      <c r="D119" s="184"/>
      <c r="E119" s="184"/>
      <c r="F119" s="184"/>
      <c r="G119" s="184"/>
      <c r="H119" s="184"/>
      <c r="I119" s="184"/>
      <c r="J119" s="184"/>
    </row>
    <row r="120" spans="3:10">
      <c r="C120" s="184"/>
      <c r="D120" s="184"/>
      <c r="E120" s="184"/>
      <c r="F120" s="184"/>
      <c r="G120" s="184"/>
      <c r="H120" s="184"/>
      <c r="I120" s="184"/>
      <c r="J120" s="184"/>
    </row>
    <row r="121" spans="3:10">
      <c r="C121" s="184"/>
      <c r="D121" s="184"/>
      <c r="E121" s="184"/>
      <c r="F121" s="184"/>
      <c r="G121" s="184"/>
      <c r="H121" s="184"/>
      <c r="I121" s="184"/>
      <c r="J121" s="184"/>
    </row>
    <row r="122" spans="3:10">
      <c r="C122" s="184"/>
      <c r="D122" s="184"/>
      <c r="E122" s="184"/>
      <c r="F122" s="184"/>
      <c r="G122" s="184"/>
      <c r="H122" s="184"/>
      <c r="I122" s="184"/>
      <c r="J122" s="184"/>
    </row>
    <row r="123" spans="3:10">
      <c r="C123" s="184"/>
      <c r="D123" s="184"/>
      <c r="E123" s="184"/>
      <c r="F123" s="184"/>
      <c r="G123" s="184"/>
      <c r="H123" s="184"/>
      <c r="I123" s="184"/>
      <c r="J123" s="184"/>
    </row>
    <row r="124" spans="3:10">
      <c r="C124" s="184"/>
      <c r="D124" s="184"/>
      <c r="E124" s="184"/>
      <c r="F124" s="184"/>
      <c r="G124" s="184"/>
      <c r="H124" s="184"/>
      <c r="I124" s="184"/>
      <c r="J124" s="184"/>
    </row>
    <row r="125" spans="3:10">
      <c r="C125" s="184"/>
      <c r="D125" s="184"/>
      <c r="E125" s="184"/>
      <c r="F125" s="184"/>
      <c r="G125" s="184"/>
      <c r="H125" s="184"/>
      <c r="I125" s="184"/>
      <c r="J125" s="184"/>
    </row>
    <row r="126" spans="3:10">
      <c r="C126" s="184"/>
      <c r="D126" s="184"/>
      <c r="E126" s="184"/>
      <c r="F126" s="184"/>
      <c r="G126" s="184"/>
      <c r="H126" s="184"/>
      <c r="I126" s="184"/>
      <c r="J126" s="184"/>
    </row>
    <row r="127" spans="3:10">
      <c r="C127" s="184"/>
      <c r="D127" s="184"/>
      <c r="E127" s="184"/>
      <c r="F127" s="184"/>
      <c r="G127" s="184"/>
      <c r="H127" s="184"/>
      <c r="I127" s="184"/>
      <c r="J127" s="184"/>
    </row>
    <row r="128" spans="3:10">
      <c r="C128" s="184"/>
      <c r="D128" s="184"/>
      <c r="E128" s="184"/>
      <c r="F128" s="184"/>
      <c r="G128" s="184"/>
      <c r="H128" s="184"/>
      <c r="I128" s="184"/>
      <c r="J128" s="184"/>
    </row>
    <row r="129" spans="3:10">
      <c r="C129" s="184"/>
      <c r="D129" s="184"/>
      <c r="E129" s="184"/>
      <c r="F129" s="184"/>
      <c r="G129" s="184"/>
      <c r="H129" s="184"/>
      <c r="I129" s="184"/>
      <c r="J129" s="184"/>
    </row>
    <row r="130" spans="3:10">
      <c r="C130" s="184"/>
      <c r="D130" s="184"/>
      <c r="E130" s="184"/>
      <c r="F130" s="184"/>
      <c r="G130" s="184"/>
      <c r="H130" s="184"/>
      <c r="I130" s="184"/>
      <c r="J130" s="184"/>
    </row>
    <row r="131" spans="3:10">
      <c r="C131" s="184"/>
      <c r="D131" s="184"/>
      <c r="E131" s="184"/>
      <c r="F131" s="184"/>
      <c r="G131" s="184"/>
      <c r="H131" s="184"/>
      <c r="I131" s="184"/>
      <c r="J131" s="184"/>
    </row>
    <row r="132" spans="3:10">
      <c r="C132" s="184"/>
      <c r="D132" s="184"/>
      <c r="E132" s="184"/>
      <c r="F132" s="184"/>
      <c r="G132" s="184"/>
      <c r="H132" s="184"/>
      <c r="I132" s="184"/>
      <c r="J132" s="184"/>
    </row>
    <row r="133" spans="3:10">
      <c r="C133" s="184"/>
      <c r="D133" s="184"/>
      <c r="E133" s="184"/>
      <c r="F133" s="184"/>
      <c r="G133" s="184"/>
      <c r="H133" s="184"/>
      <c r="I133" s="184"/>
      <c r="J133" s="184"/>
    </row>
    <row r="134" spans="3:10">
      <c r="C134" s="184"/>
      <c r="D134" s="184"/>
      <c r="E134" s="184"/>
      <c r="F134" s="184"/>
      <c r="G134" s="184"/>
      <c r="H134" s="184"/>
      <c r="I134" s="184"/>
      <c r="J134" s="184"/>
    </row>
    <row r="135" spans="3:10">
      <c r="C135" s="184"/>
      <c r="D135" s="184"/>
      <c r="E135" s="184"/>
      <c r="F135" s="184"/>
      <c r="G135" s="184"/>
      <c r="H135" s="184"/>
      <c r="I135" s="184"/>
      <c r="J135" s="184"/>
    </row>
    <row r="136" spans="3:10">
      <c r="C136" s="184"/>
      <c r="D136" s="184"/>
      <c r="E136" s="184"/>
      <c r="F136" s="184"/>
      <c r="G136" s="184"/>
      <c r="H136" s="184"/>
      <c r="I136" s="184"/>
      <c r="J136" s="184"/>
    </row>
    <row r="137" spans="3:10">
      <c r="C137" s="184"/>
      <c r="D137" s="184"/>
      <c r="E137" s="184"/>
      <c r="F137" s="184"/>
      <c r="G137" s="184"/>
      <c r="H137" s="184"/>
      <c r="I137" s="184"/>
      <c r="J137" s="184"/>
    </row>
    <row r="138" spans="3:10">
      <c r="C138" s="184"/>
      <c r="D138" s="184"/>
      <c r="E138" s="184"/>
      <c r="F138" s="184"/>
      <c r="G138" s="184"/>
      <c r="H138" s="184"/>
      <c r="I138" s="184"/>
      <c r="J138" s="184"/>
    </row>
    <row r="139" spans="3:10">
      <c r="C139" s="184"/>
      <c r="D139" s="184"/>
      <c r="E139" s="184"/>
      <c r="F139" s="184"/>
      <c r="G139" s="184"/>
      <c r="H139" s="184"/>
      <c r="I139" s="184"/>
      <c r="J139" s="184"/>
    </row>
    <row r="140" spans="3:10">
      <c r="C140" s="184"/>
      <c r="D140" s="184"/>
      <c r="E140" s="184"/>
      <c r="F140" s="184"/>
      <c r="G140" s="184"/>
      <c r="H140" s="184"/>
      <c r="I140" s="184"/>
      <c r="J140" s="184"/>
    </row>
    <row r="141" spans="3:10">
      <c r="C141" s="184"/>
      <c r="D141" s="184"/>
      <c r="E141" s="184"/>
      <c r="F141" s="184"/>
      <c r="G141" s="184"/>
      <c r="H141" s="184"/>
      <c r="I141" s="184"/>
      <c r="J141" s="184"/>
    </row>
    <row r="142" spans="3:10">
      <c r="C142" s="184"/>
      <c r="D142" s="184"/>
      <c r="E142" s="184"/>
      <c r="F142" s="184"/>
      <c r="G142" s="184"/>
      <c r="H142" s="184"/>
      <c r="I142" s="184"/>
      <c r="J142" s="184"/>
    </row>
    <row r="143" spans="3:10">
      <c r="C143" s="184"/>
      <c r="D143" s="184"/>
      <c r="E143" s="184"/>
      <c r="F143" s="184"/>
      <c r="G143" s="184"/>
      <c r="H143" s="184"/>
      <c r="I143" s="184"/>
      <c r="J143" s="184"/>
    </row>
    <row r="144" spans="3:10">
      <c r="C144" s="184"/>
      <c r="D144" s="184"/>
      <c r="E144" s="184"/>
      <c r="F144" s="184"/>
      <c r="G144" s="184"/>
      <c r="H144" s="184"/>
      <c r="I144" s="184"/>
      <c r="J144" s="184"/>
    </row>
    <row r="145" spans="3:10">
      <c r="C145" s="184"/>
      <c r="D145" s="184"/>
      <c r="E145" s="184"/>
      <c r="F145" s="184"/>
      <c r="G145" s="184"/>
      <c r="H145" s="184"/>
      <c r="I145" s="184"/>
      <c r="J145" s="184"/>
    </row>
    <row r="146" spans="3:10">
      <c r="C146" s="184"/>
      <c r="D146" s="184"/>
      <c r="E146" s="184"/>
      <c r="F146" s="184"/>
      <c r="G146" s="184"/>
      <c r="H146" s="184"/>
      <c r="I146" s="184"/>
      <c r="J146" s="184"/>
    </row>
    <row r="147" spans="3:10">
      <c r="C147" s="184"/>
      <c r="D147" s="184"/>
      <c r="E147" s="184"/>
      <c r="F147" s="184"/>
      <c r="G147" s="184"/>
      <c r="H147" s="184"/>
      <c r="I147" s="184"/>
      <c r="J147" s="184"/>
    </row>
    <row r="148" spans="3:10">
      <c r="C148" s="184"/>
      <c r="D148" s="184"/>
      <c r="E148" s="184"/>
      <c r="F148" s="184"/>
      <c r="G148" s="184"/>
      <c r="H148" s="184"/>
      <c r="I148" s="184"/>
      <c r="J148" s="184"/>
    </row>
    <row r="149" spans="3:10">
      <c r="C149" s="184"/>
      <c r="D149" s="184"/>
      <c r="E149" s="184"/>
      <c r="F149" s="184"/>
      <c r="G149" s="184"/>
      <c r="H149" s="184"/>
      <c r="I149" s="184"/>
      <c r="J149" s="184"/>
    </row>
    <row r="150" spans="3:10">
      <c r="C150" s="184"/>
      <c r="D150" s="184"/>
      <c r="E150" s="184"/>
      <c r="F150" s="184"/>
      <c r="G150" s="184"/>
      <c r="H150" s="184"/>
      <c r="I150" s="184"/>
      <c r="J150" s="184"/>
    </row>
    <row r="151" spans="3:10">
      <c r="C151" s="184"/>
      <c r="D151" s="184"/>
      <c r="E151" s="184"/>
      <c r="F151" s="184"/>
      <c r="G151" s="184"/>
      <c r="H151" s="184"/>
      <c r="I151" s="184"/>
      <c r="J151" s="184"/>
    </row>
    <row r="152" spans="3:10">
      <c r="C152" s="184"/>
      <c r="D152" s="184"/>
      <c r="E152" s="184"/>
      <c r="F152" s="184"/>
      <c r="G152" s="184"/>
      <c r="H152" s="184"/>
      <c r="I152" s="184"/>
      <c r="J152" s="184"/>
    </row>
    <row r="153" spans="3:10">
      <c r="C153" s="184"/>
      <c r="D153" s="184"/>
      <c r="E153" s="184"/>
      <c r="F153" s="184"/>
      <c r="G153" s="184"/>
      <c r="H153" s="184"/>
      <c r="I153" s="184"/>
      <c r="J153" s="184"/>
    </row>
    <row r="154" spans="3:10">
      <c r="C154" s="184"/>
      <c r="D154" s="184"/>
      <c r="E154" s="184"/>
      <c r="F154" s="184"/>
      <c r="G154" s="184"/>
      <c r="H154" s="184"/>
      <c r="I154" s="184"/>
      <c r="J154" s="184"/>
    </row>
    <row r="155" spans="3:10">
      <c r="C155" s="184"/>
      <c r="D155" s="184"/>
      <c r="E155" s="184"/>
      <c r="F155" s="184"/>
      <c r="G155" s="184"/>
      <c r="H155" s="184"/>
      <c r="I155" s="184"/>
      <c r="J155" s="184"/>
    </row>
    <row r="156" spans="3:10">
      <c r="C156" s="184"/>
      <c r="D156" s="184"/>
      <c r="E156" s="184"/>
      <c r="F156" s="184"/>
      <c r="G156" s="184"/>
      <c r="H156" s="184"/>
      <c r="I156" s="184"/>
      <c r="J156" s="184"/>
    </row>
    <row r="157" spans="3:10">
      <c r="C157" s="184"/>
      <c r="D157" s="184"/>
      <c r="E157" s="184"/>
      <c r="F157" s="184"/>
      <c r="G157" s="184"/>
      <c r="H157" s="184"/>
      <c r="I157" s="184"/>
      <c r="J157" s="184"/>
    </row>
    <row r="158" spans="3:10">
      <c r="C158" s="184"/>
      <c r="D158" s="184"/>
      <c r="E158" s="184"/>
      <c r="F158" s="184"/>
      <c r="G158" s="184"/>
      <c r="H158" s="184"/>
      <c r="I158" s="184"/>
      <c r="J158" s="184"/>
    </row>
    <row r="159" spans="3:10">
      <c r="C159" s="184"/>
      <c r="D159" s="184"/>
      <c r="E159" s="184"/>
      <c r="F159" s="184"/>
      <c r="G159" s="184"/>
      <c r="H159" s="184"/>
      <c r="I159" s="184"/>
      <c r="J159" s="184"/>
    </row>
    <row r="160" spans="3:10">
      <c r="C160" s="184"/>
      <c r="D160" s="184"/>
      <c r="E160" s="184"/>
      <c r="F160" s="184"/>
      <c r="G160" s="184"/>
      <c r="H160" s="184"/>
      <c r="I160" s="184"/>
      <c r="J160" s="184"/>
    </row>
    <row r="161" spans="3:10">
      <c r="C161" s="184"/>
      <c r="D161" s="184"/>
      <c r="E161" s="184"/>
      <c r="F161" s="184"/>
      <c r="G161" s="184"/>
      <c r="H161" s="184"/>
      <c r="I161" s="184"/>
      <c r="J161" s="184"/>
    </row>
    <row r="162" spans="3:10">
      <c r="C162" s="184"/>
      <c r="D162" s="184"/>
      <c r="E162" s="184"/>
      <c r="F162" s="184"/>
      <c r="G162" s="184"/>
      <c r="H162" s="184"/>
      <c r="I162" s="184"/>
      <c r="J162" s="184"/>
    </row>
    <row r="163" spans="3:10">
      <c r="C163" s="184"/>
      <c r="D163" s="184"/>
      <c r="E163" s="184"/>
      <c r="F163" s="184"/>
      <c r="G163" s="184"/>
      <c r="H163" s="184"/>
      <c r="I163" s="184"/>
      <c r="J163" s="184"/>
    </row>
    <row r="164" spans="3:10">
      <c r="C164" s="184"/>
      <c r="D164" s="184"/>
      <c r="E164" s="184"/>
      <c r="F164" s="184"/>
      <c r="G164" s="184"/>
      <c r="H164" s="184"/>
      <c r="I164" s="184"/>
      <c r="J164" s="184"/>
    </row>
    <row r="165" spans="3:10">
      <c r="C165" s="184"/>
      <c r="D165" s="184"/>
      <c r="E165" s="184"/>
      <c r="F165" s="184"/>
      <c r="G165" s="184"/>
      <c r="H165" s="184"/>
      <c r="I165" s="184"/>
      <c r="J165" s="184"/>
    </row>
    <row r="166" spans="3:10">
      <c r="C166" s="184"/>
      <c r="D166" s="184"/>
      <c r="E166" s="184"/>
      <c r="F166" s="184"/>
      <c r="G166" s="184"/>
      <c r="H166" s="184"/>
      <c r="I166" s="184"/>
      <c r="J166" s="184"/>
    </row>
    <row r="167" spans="3:10">
      <c r="C167" s="184"/>
      <c r="D167" s="184"/>
      <c r="E167" s="184"/>
      <c r="F167" s="184"/>
      <c r="G167" s="184"/>
      <c r="H167" s="184"/>
      <c r="I167" s="184"/>
      <c r="J167" s="184"/>
    </row>
    <row r="168" spans="3:10">
      <c r="C168" s="184"/>
      <c r="D168" s="184"/>
      <c r="E168" s="184"/>
      <c r="F168" s="184"/>
      <c r="G168" s="184"/>
      <c r="H168" s="184"/>
      <c r="I168" s="184"/>
      <c r="J168" s="184"/>
    </row>
    <row r="169" spans="3:10">
      <c r="C169" s="184"/>
      <c r="D169" s="184"/>
      <c r="E169" s="184"/>
      <c r="F169" s="184"/>
      <c r="G169" s="184"/>
      <c r="H169" s="184"/>
      <c r="I169" s="184"/>
      <c r="J169" s="184"/>
    </row>
    <row r="170" spans="3:10">
      <c r="C170" s="184"/>
      <c r="D170" s="184"/>
      <c r="E170" s="184"/>
      <c r="F170" s="184"/>
      <c r="G170" s="184"/>
      <c r="H170" s="184"/>
      <c r="I170" s="184"/>
      <c r="J170" s="184"/>
    </row>
    <row r="171" spans="3:10">
      <c r="C171" s="184"/>
      <c r="D171" s="184"/>
      <c r="E171" s="184"/>
      <c r="F171" s="184"/>
      <c r="G171" s="184"/>
      <c r="H171" s="184"/>
      <c r="I171" s="184"/>
      <c r="J171" s="184"/>
    </row>
    <row r="172" spans="3:10">
      <c r="C172" s="184"/>
      <c r="D172" s="184"/>
      <c r="E172" s="184"/>
      <c r="F172" s="184"/>
      <c r="G172" s="184"/>
      <c r="H172" s="184"/>
      <c r="I172" s="184"/>
      <c r="J172" s="184"/>
    </row>
    <row r="173" spans="3:10">
      <c r="C173" s="184"/>
      <c r="D173" s="184"/>
      <c r="E173" s="184"/>
      <c r="F173" s="184"/>
      <c r="G173" s="184"/>
      <c r="H173" s="184"/>
      <c r="I173" s="184"/>
      <c r="J173" s="184"/>
    </row>
    <row r="174" spans="3:10">
      <c r="C174" s="184"/>
      <c r="D174" s="184"/>
      <c r="E174" s="184"/>
      <c r="F174" s="184"/>
      <c r="G174" s="184"/>
      <c r="H174" s="184"/>
      <c r="I174" s="184"/>
      <c r="J174" s="184"/>
    </row>
    <row r="175" spans="3:10">
      <c r="C175" s="184"/>
      <c r="D175" s="184"/>
      <c r="E175" s="184"/>
      <c r="F175" s="184"/>
      <c r="G175" s="184"/>
      <c r="H175" s="184"/>
      <c r="I175" s="184"/>
      <c r="J175" s="184"/>
    </row>
    <row r="176" spans="3:10">
      <c r="C176" s="184"/>
      <c r="D176" s="184"/>
      <c r="E176" s="184"/>
      <c r="F176" s="184"/>
      <c r="G176" s="184"/>
      <c r="H176" s="184"/>
      <c r="I176" s="184"/>
      <c r="J176" s="184"/>
    </row>
    <row r="177" spans="3:10">
      <c r="C177" s="184"/>
      <c r="D177" s="184"/>
      <c r="E177" s="184"/>
      <c r="F177" s="184"/>
      <c r="G177" s="184"/>
      <c r="H177" s="184"/>
      <c r="I177" s="184"/>
      <c r="J177" s="184"/>
    </row>
    <row r="178" spans="3:10">
      <c r="C178" s="184"/>
      <c r="D178" s="184"/>
      <c r="E178" s="184"/>
      <c r="F178" s="184"/>
      <c r="G178" s="184"/>
      <c r="H178" s="184"/>
      <c r="I178" s="184"/>
      <c r="J178" s="184"/>
    </row>
    <row r="179" spans="3:10">
      <c r="C179" s="184"/>
      <c r="D179" s="184"/>
      <c r="E179" s="184"/>
      <c r="F179" s="184"/>
      <c r="G179" s="184"/>
      <c r="H179" s="184"/>
      <c r="I179" s="184"/>
      <c r="J179" s="184"/>
    </row>
    <row r="180" spans="3:10">
      <c r="C180" s="184"/>
      <c r="D180" s="184"/>
      <c r="E180" s="184"/>
      <c r="F180" s="184"/>
      <c r="G180" s="184"/>
      <c r="H180" s="184"/>
      <c r="I180" s="184"/>
      <c r="J180" s="184"/>
    </row>
    <row r="181" spans="3:10">
      <c r="C181" s="184"/>
      <c r="D181" s="184"/>
      <c r="E181" s="184"/>
      <c r="F181" s="184"/>
      <c r="G181" s="184"/>
      <c r="H181" s="184"/>
      <c r="I181" s="184"/>
      <c r="J181" s="184"/>
    </row>
    <row r="182" spans="3:10">
      <c r="C182" s="184"/>
      <c r="D182" s="184"/>
      <c r="E182" s="184"/>
      <c r="F182" s="184"/>
      <c r="G182" s="184"/>
      <c r="H182" s="184"/>
      <c r="I182" s="184"/>
      <c r="J182" s="184"/>
    </row>
    <row r="183" spans="3:10">
      <c r="C183" s="184"/>
      <c r="D183" s="184"/>
      <c r="E183" s="184"/>
      <c r="F183" s="184"/>
      <c r="G183" s="184"/>
      <c r="H183" s="184"/>
      <c r="I183" s="184"/>
      <c r="J183" s="184"/>
    </row>
    <row r="184" spans="3:10">
      <c r="C184" s="184"/>
      <c r="D184" s="184"/>
      <c r="E184" s="184"/>
      <c r="F184" s="184"/>
      <c r="G184" s="184"/>
      <c r="H184" s="184"/>
      <c r="I184" s="184"/>
      <c r="J184" s="184"/>
    </row>
    <row r="185" spans="3:10">
      <c r="C185" s="184"/>
      <c r="D185" s="184"/>
      <c r="E185" s="184"/>
      <c r="F185" s="184"/>
      <c r="G185" s="184"/>
      <c r="H185" s="184"/>
      <c r="I185" s="184"/>
      <c r="J185" s="184"/>
    </row>
    <row r="186" spans="3:10">
      <c r="C186" s="184"/>
      <c r="D186" s="184"/>
      <c r="E186" s="184"/>
      <c r="F186" s="184"/>
      <c r="G186" s="184"/>
      <c r="H186" s="184"/>
      <c r="I186" s="184"/>
      <c r="J186" s="184"/>
    </row>
    <row r="187" spans="3:10">
      <c r="C187" s="184"/>
      <c r="D187" s="184"/>
      <c r="E187" s="184"/>
      <c r="F187" s="184"/>
      <c r="G187" s="184"/>
      <c r="H187" s="184"/>
      <c r="I187" s="184"/>
      <c r="J187" s="184"/>
    </row>
    <row r="188" spans="3:10">
      <c r="C188" s="184"/>
      <c r="D188" s="184"/>
      <c r="E188" s="184"/>
      <c r="F188" s="184"/>
      <c r="G188" s="184"/>
      <c r="H188" s="184"/>
      <c r="I188" s="184"/>
      <c r="J188" s="184"/>
    </row>
    <row r="189" spans="3:10">
      <c r="C189" s="184"/>
      <c r="D189" s="184"/>
      <c r="E189" s="184"/>
      <c r="F189" s="184"/>
      <c r="G189" s="184"/>
      <c r="H189" s="184"/>
      <c r="I189" s="184"/>
      <c r="J189" s="184"/>
    </row>
    <row r="190" spans="3:10">
      <c r="C190" s="184"/>
      <c r="D190" s="184"/>
      <c r="E190" s="184"/>
      <c r="F190" s="184"/>
      <c r="G190" s="184"/>
      <c r="H190" s="184"/>
      <c r="I190" s="184"/>
      <c r="J190" s="184"/>
    </row>
    <row r="191" spans="3:10">
      <c r="C191" s="184"/>
      <c r="D191" s="184"/>
      <c r="E191" s="184"/>
      <c r="F191" s="184"/>
      <c r="G191" s="184"/>
      <c r="H191" s="184"/>
      <c r="I191" s="184"/>
      <c r="J191" s="184"/>
    </row>
    <row r="192" spans="3:10">
      <c r="C192" s="184"/>
      <c r="D192" s="184"/>
      <c r="E192" s="184"/>
      <c r="F192" s="184"/>
      <c r="G192" s="184"/>
      <c r="H192" s="184"/>
      <c r="I192" s="184"/>
      <c r="J192" s="184"/>
    </row>
    <row r="193" spans="3:10">
      <c r="C193" s="184"/>
      <c r="D193" s="184"/>
      <c r="E193" s="184"/>
      <c r="F193" s="184"/>
      <c r="G193" s="184"/>
      <c r="H193" s="184"/>
      <c r="I193" s="184"/>
      <c r="J193" s="184"/>
    </row>
    <row r="194" spans="3:10">
      <c r="C194" s="184"/>
      <c r="D194" s="184"/>
      <c r="E194" s="184"/>
      <c r="F194" s="184"/>
      <c r="G194" s="184"/>
      <c r="H194" s="184"/>
      <c r="I194" s="184"/>
      <c r="J194" s="184"/>
    </row>
    <row r="195" spans="3:10">
      <c r="C195" s="184"/>
      <c r="D195" s="184"/>
      <c r="E195" s="184"/>
      <c r="F195" s="184"/>
      <c r="G195" s="184"/>
      <c r="H195" s="184"/>
      <c r="I195" s="184"/>
      <c r="J195" s="184"/>
    </row>
    <row r="196" spans="3:10">
      <c r="C196" s="184"/>
      <c r="D196" s="184"/>
      <c r="E196" s="184"/>
      <c r="F196" s="184"/>
      <c r="G196" s="184"/>
      <c r="H196" s="184"/>
      <c r="I196" s="184"/>
      <c r="J196" s="184"/>
    </row>
    <row r="197" spans="3:10">
      <c r="C197" s="184"/>
      <c r="D197" s="184"/>
      <c r="E197" s="184"/>
      <c r="F197" s="184"/>
      <c r="G197" s="184"/>
      <c r="H197" s="184"/>
      <c r="I197" s="184"/>
      <c r="J197" s="184"/>
    </row>
    <row r="198" spans="3:10">
      <c r="C198" s="184"/>
      <c r="D198" s="184"/>
      <c r="E198" s="184"/>
      <c r="F198" s="184"/>
      <c r="G198" s="184"/>
      <c r="H198" s="184"/>
      <c r="I198" s="184"/>
      <c r="J198" s="184"/>
    </row>
    <row r="199" spans="3:10">
      <c r="C199" s="184"/>
      <c r="D199" s="184"/>
      <c r="E199" s="184"/>
      <c r="F199" s="184"/>
      <c r="G199" s="184"/>
      <c r="H199" s="184"/>
      <c r="I199" s="184"/>
      <c r="J199" s="184"/>
    </row>
    <row r="200" spans="3:10">
      <c r="C200" s="184"/>
      <c r="D200" s="184"/>
      <c r="E200" s="184"/>
      <c r="F200" s="184"/>
      <c r="G200" s="184"/>
      <c r="H200" s="184"/>
      <c r="I200" s="184"/>
      <c r="J200" s="184"/>
    </row>
    <row r="201" spans="3:10">
      <c r="C201" s="184"/>
      <c r="D201" s="184"/>
      <c r="E201" s="184"/>
      <c r="F201" s="184"/>
      <c r="G201" s="184"/>
      <c r="H201" s="184"/>
      <c r="I201" s="184"/>
      <c r="J201" s="184"/>
    </row>
    <row r="202" spans="3:10">
      <c r="C202" s="184"/>
      <c r="D202" s="184"/>
      <c r="E202" s="184"/>
      <c r="F202" s="184"/>
      <c r="G202" s="184"/>
      <c r="H202" s="184"/>
      <c r="I202" s="184"/>
      <c r="J202" s="184"/>
    </row>
    <row r="203" spans="3:10">
      <c r="C203" s="184"/>
      <c r="D203" s="184"/>
      <c r="E203" s="184"/>
      <c r="F203" s="184"/>
      <c r="G203" s="184"/>
      <c r="H203" s="184"/>
      <c r="I203" s="184"/>
      <c r="J203" s="184"/>
    </row>
    <row r="204" spans="3:10">
      <c r="C204" s="184"/>
      <c r="D204" s="184"/>
      <c r="E204" s="184"/>
      <c r="F204" s="184"/>
      <c r="G204" s="184"/>
      <c r="H204" s="184"/>
      <c r="I204" s="184"/>
      <c r="J204" s="184"/>
    </row>
    <row r="205" spans="3:10">
      <c r="C205" s="184"/>
      <c r="D205" s="184"/>
      <c r="E205" s="184"/>
      <c r="F205" s="184"/>
      <c r="G205" s="184"/>
      <c r="H205" s="184"/>
      <c r="I205" s="184"/>
      <c r="J205" s="184"/>
    </row>
    <row r="206" spans="3:10">
      <c r="C206" s="184"/>
      <c r="D206" s="184"/>
      <c r="E206" s="184"/>
      <c r="F206" s="184"/>
      <c r="G206" s="184"/>
      <c r="H206" s="184"/>
      <c r="I206" s="184"/>
      <c r="J206" s="184"/>
    </row>
    <row r="207" spans="3:10">
      <c r="C207" s="184"/>
      <c r="D207" s="184"/>
      <c r="E207" s="184"/>
      <c r="F207" s="184"/>
      <c r="G207" s="184"/>
      <c r="H207" s="184"/>
      <c r="I207" s="184"/>
      <c r="J207" s="184"/>
    </row>
    <row r="208" spans="3:10">
      <c r="C208" s="184"/>
      <c r="D208" s="184"/>
      <c r="E208" s="184"/>
      <c r="F208" s="184"/>
      <c r="G208" s="184"/>
      <c r="H208" s="184"/>
      <c r="I208" s="184"/>
      <c r="J208" s="184"/>
    </row>
    <row r="209" spans="3:10">
      <c r="C209" s="184"/>
      <c r="D209" s="184"/>
      <c r="E209" s="184"/>
      <c r="F209" s="184"/>
      <c r="G209" s="184"/>
      <c r="H209" s="184"/>
      <c r="I209" s="184"/>
      <c r="J209" s="184"/>
    </row>
    <row r="210" spans="3:10">
      <c r="C210" s="184"/>
      <c r="D210" s="184"/>
      <c r="E210" s="184"/>
      <c r="F210" s="184"/>
      <c r="G210" s="184"/>
      <c r="H210" s="184"/>
      <c r="I210" s="184"/>
      <c r="J210" s="184"/>
    </row>
    <row r="211" spans="3:10">
      <c r="C211" s="184"/>
      <c r="D211" s="184"/>
      <c r="E211" s="184"/>
      <c r="F211" s="184"/>
      <c r="G211" s="184"/>
      <c r="H211" s="184"/>
      <c r="I211" s="184"/>
      <c r="J211" s="184"/>
    </row>
    <row r="212" spans="3:10">
      <c r="C212" s="184"/>
      <c r="D212" s="184"/>
      <c r="E212" s="184"/>
      <c r="F212" s="184"/>
      <c r="G212" s="184"/>
      <c r="H212" s="184"/>
      <c r="I212" s="184"/>
      <c r="J212" s="184"/>
    </row>
    <row r="213" spans="3:10">
      <c r="C213" s="184"/>
      <c r="D213" s="184"/>
      <c r="E213" s="184"/>
      <c r="F213" s="184"/>
      <c r="G213" s="184"/>
      <c r="H213" s="184"/>
      <c r="I213" s="184"/>
      <c r="J213" s="184"/>
    </row>
    <row r="214" spans="3:10">
      <c r="C214" s="184"/>
      <c r="D214" s="184"/>
      <c r="E214" s="184"/>
      <c r="F214" s="184"/>
      <c r="G214" s="184"/>
      <c r="H214" s="184"/>
      <c r="I214" s="184"/>
      <c r="J214" s="184"/>
    </row>
    <row r="215" spans="3:10">
      <c r="C215" s="184"/>
      <c r="D215" s="184"/>
      <c r="E215" s="184"/>
      <c r="F215" s="184"/>
      <c r="G215" s="184"/>
      <c r="H215" s="184"/>
      <c r="I215" s="184"/>
      <c r="J215" s="184"/>
    </row>
    <row r="216" spans="3:10">
      <c r="C216" s="184"/>
      <c r="D216" s="184"/>
      <c r="E216" s="184"/>
      <c r="F216" s="184"/>
      <c r="G216" s="184"/>
      <c r="H216" s="184"/>
      <c r="I216" s="184"/>
      <c r="J216" s="184"/>
    </row>
    <row r="217" spans="3:10">
      <c r="C217" s="184"/>
      <c r="D217" s="184"/>
      <c r="E217" s="184"/>
      <c r="F217" s="184"/>
      <c r="G217" s="184"/>
      <c r="H217" s="184"/>
      <c r="I217" s="184"/>
      <c r="J217" s="184"/>
    </row>
    <row r="218" spans="3:10">
      <c r="C218" s="184"/>
      <c r="D218" s="184"/>
      <c r="E218" s="184"/>
      <c r="F218" s="184"/>
      <c r="G218" s="184"/>
      <c r="H218" s="184"/>
      <c r="I218" s="184"/>
      <c r="J218" s="184"/>
    </row>
    <row r="219" spans="3:10">
      <c r="C219" s="184"/>
      <c r="D219" s="184"/>
      <c r="E219" s="184"/>
      <c r="F219" s="184"/>
      <c r="G219" s="184"/>
      <c r="H219" s="184"/>
      <c r="I219" s="184"/>
      <c r="J219" s="184"/>
    </row>
    <row r="220" spans="3:10">
      <c r="C220" s="184"/>
      <c r="D220" s="184"/>
      <c r="E220" s="184"/>
      <c r="F220" s="184"/>
      <c r="G220" s="184"/>
      <c r="H220" s="184"/>
      <c r="I220" s="184"/>
      <c r="J220" s="184"/>
    </row>
    <row r="221" spans="3:10">
      <c r="C221" s="184"/>
      <c r="D221" s="184"/>
      <c r="E221" s="184"/>
      <c r="F221" s="184"/>
      <c r="G221" s="184"/>
      <c r="H221" s="184"/>
      <c r="I221" s="184"/>
      <c r="J221" s="184"/>
    </row>
    <row r="222" spans="3:10">
      <c r="C222" s="184"/>
      <c r="D222" s="184"/>
      <c r="E222" s="184"/>
      <c r="F222" s="184"/>
      <c r="G222" s="184"/>
      <c r="H222" s="184"/>
      <c r="I222" s="184"/>
      <c r="J222" s="184"/>
    </row>
    <row r="223" spans="3:10">
      <c r="C223" s="184"/>
      <c r="D223" s="184"/>
      <c r="E223" s="184"/>
      <c r="F223" s="184"/>
      <c r="G223" s="184"/>
      <c r="H223" s="184"/>
      <c r="I223" s="184"/>
      <c r="J223" s="184"/>
    </row>
    <row r="224" spans="3:10">
      <c r="C224" s="184"/>
      <c r="D224" s="184"/>
      <c r="E224" s="184"/>
      <c r="F224" s="184"/>
      <c r="G224" s="184"/>
      <c r="H224" s="184"/>
      <c r="I224" s="184"/>
      <c r="J224" s="184"/>
    </row>
    <row r="225" spans="3:10">
      <c r="C225" s="184"/>
      <c r="D225" s="184"/>
      <c r="E225" s="184"/>
      <c r="F225" s="184"/>
      <c r="G225" s="184"/>
      <c r="H225" s="184"/>
      <c r="I225" s="184"/>
      <c r="J225" s="184"/>
    </row>
    <row r="226" spans="3:10">
      <c r="C226" s="184"/>
      <c r="D226" s="184"/>
      <c r="E226" s="184"/>
      <c r="F226" s="184"/>
      <c r="G226" s="184"/>
      <c r="H226" s="184"/>
      <c r="I226" s="184"/>
      <c r="J226" s="184"/>
    </row>
    <row r="227" spans="3:10">
      <c r="C227" s="184"/>
      <c r="D227" s="184"/>
      <c r="E227" s="184"/>
      <c r="F227" s="184"/>
      <c r="G227" s="184"/>
      <c r="H227" s="184"/>
      <c r="I227" s="184"/>
      <c r="J227" s="184"/>
    </row>
    <row r="228" spans="3:10">
      <c r="C228" s="184"/>
      <c r="D228" s="184"/>
      <c r="E228" s="184"/>
      <c r="F228" s="184"/>
      <c r="G228" s="184"/>
      <c r="H228" s="184"/>
      <c r="I228" s="184"/>
      <c r="J228" s="184"/>
    </row>
    <row r="229" spans="3:10">
      <c r="C229" s="184"/>
      <c r="D229" s="184"/>
      <c r="E229" s="184"/>
      <c r="F229" s="184"/>
      <c r="G229" s="184"/>
      <c r="H229" s="184"/>
      <c r="I229" s="184"/>
      <c r="J229" s="184"/>
    </row>
    <row r="230" spans="3:10">
      <c r="C230" s="184"/>
      <c r="D230" s="184"/>
      <c r="E230" s="184"/>
      <c r="F230" s="184"/>
      <c r="G230" s="184"/>
      <c r="H230" s="184"/>
      <c r="I230" s="184"/>
      <c r="J230" s="184"/>
    </row>
    <row r="231" spans="3:10">
      <c r="C231" s="184"/>
      <c r="D231" s="184"/>
      <c r="E231" s="184"/>
      <c r="F231" s="184"/>
      <c r="G231" s="184"/>
      <c r="H231" s="184"/>
      <c r="I231" s="184"/>
      <c r="J231" s="184"/>
    </row>
    <row r="232" spans="3:10">
      <c r="C232" s="184"/>
      <c r="D232" s="184"/>
      <c r="E232" s="184"/>
      <c r="F232" s="184"/>
      <c r="G232" s="184"/>
      <c r="H232" s="184"/>
      <c r="I232" s="184"/>
      <c r="J232" s="184"/>
    </row>
    <row r="233" spans="3:10">
      <c r="C233" s="184"/>
      <c r="D233" s="184"/>
      <c r="E233" s="184"/>
      <c r="F233" s="184"/>
      <c r="G233" s="184"/>
      <c r="H233" s="184"/>
      <c r="I233" s="184"/>
      <c r="J233" s="184"/>
    </row>
    <row r="234" spans="3:10">
      <c r="C234" s="184"/>
      <c r="D234" s="184"/>
      <c r="E234" s="184"/>
      <c r="F234" s="184"/>
      <c r="G234" s="184"/>
      <c r="H234" s="184"/>
      <c r="I234" s="184"/>
      <c r="J234" s="184"/>
    </row>
    <row r="235" spans="3:10">
      <c r="C235" s="184"/>
      <c r="D235" s="184"/>
      <c r="E235" s="184"/>
      <c r="F235" s="184"/>
      <c r="G235" s="184"/>
      <c r="H235" s="184"/>
      <c r="I235" s="184"/>
      <c r="J235" s="184"/>
    </row>
    <row r="236" spans="3:10">
      <c r="C236" s="184"/>
      <c r="D236" s="184"/>
      <c r="E236" s="184"/>
      <c r="F236" s="184"/>
      <c r="G236" s="184"/>
      <c r="H236" s="184"/>
      <c r="I236" s="184"/>
      <c r="J236" s="184"/>
    </row>
    <row r="237" spans="3:10">
      <c r="C237" s="184"/>
      <c r="D237" s="184"/>
      <c r="E237" s="184"/>
      <c r="F237" s="184"/>
      <c r="G237" s="184"/>
      <c r="H237" s="184"/>
      <c r="I237" s="184"/>
      <c r="J237" s="184"/>
    </row>
    <row r="238" spans="3:10">
      <c r="C238" s="184"/>
      <c r="D238" s="184"/>
      <c r="E238" s="184"/>
      <c r="F238" s="184"/>
      <c r="G238" s="184"/>
      <c r="H238" s="184"/>
      <c r="I238" s="184"/>
      <c r="J238" s="184"/>
    </row>
    <row r="239" spans="3:10">
      <c r="C239" s="184"/>
      <c r="D239" s="184"/>
      <c r="E239" s="184"/>
      <c r="F239" s="184"/>
      <c r="G239" s="184"/>
      <c r="H239" s="184"/>
      <c r="I239" s="184"/>
      <c r="J239" s="184"/>
    </row>
    <row r="240" spans="3:10">
      <c r="C240" s="184"/>
      <c r="D240" s="184"/>
      <c r="E240" s="184"/>
      <c r="F240" s="184"/>
      <c r="G240" s="184"/>
      <c r="H240" s="184"/>
      <c r="I240" s="184"/>
      <c r="J240" s="184"/>
    </row>
    <row r="241" spans="3:10">
      <c r="C241" s="184"/>
      <c r="D241" s="184"/>
      <c r="E241" s="184"/>
      <c r="F241" s="184"/>
      <c r="G241" s="184"/>
      <c r="H241" s="184"/>
      <c r="I241" s="184"/>
      <c r="J241" s="184"/>
    </row>
    <row r="242" spans="3:10">
      <c r="C242" s="184"/>
      <c r="D242" s="184"/>
      <c r="E242" s="184"/>
      <c r="F242" s="184"/>
      <c r="G242" s="184"/>
      <c r="H242" s="184"/>
      <c r="I242" s="184"/>
      <c r="J242" s="184"/>
    </row>
    <row r="243" spans="3:10">
      <c r="C243" s="184"/>
      <c r="D243" s="184"/>
      <c r="E243" s="184"/>
      <c r="F243" s="184"/>
      <c r="G243" s="184"/>
      <c r="H243" s="184"/>
      <c r="I243" s="184"/>
      <c r="J243" s="184"/>
    </row>
    <row r="244" spans="3:10">
      <c r="C244" s="184"/>
      <c r="D244" s="184"/>
      <c r="E244" s="184"/>
      <c r="F244" s="184"/>
      <c r="G244" s="184"/>
      <c r="H244" s="184"/>
      <c r="I244" s="184"/>
      <c r="J244" s="184"/>
    </row>
    <row r="245" spans="3:10">
      <c r="C245" s="184"/>
      <c r="D245" s="184"/>
      <c r="E245" s="184"/>
      <c r="F245" s="184"/>
      <c r="G245" s="184"/>
      <c r="H245" s="184"/>
      <c r="I245" s="184"/>
      <c r="J245" s="184"/>
    </row>
    <row r="246" spans="3:10">
      <c r="C246" s="184"/>
      <c r="D246" s="184"/>
      <c r="E246" s="184"/>
      <c r="F246" s="184"/>
      <c r="G246" s="184"/>
      <c r="H246" s="184"/>
      <c r="I246" s="184"/>
      <c r="J246" s="184"/>
    </row>
    <row r="247" spans="3:10">
      <c r="C247" s="184"/>
      <c r="D247" s="184"/>
      <c r="E247" s="184"/>
      <c r="F247" s="184"/>
      <c r="G247" s="184"/>
      <c r="H247" s="184"/>
      <c r="I247" s="184"/>
      <c r="J247" s="184"/>
    </row>
    <row r="248" spans="3:10">
      <c r="C248" s="184"/>
      <c r="D248" s="184"/>
      <c r="E248" s="184"/>
      <c r="F248" s="184"/>
      <c r="G248" s="184"/>
      <c r="H248" s="184"/>
      <c r="I248" s="184"/>
      <c r="J248" s="184"/>
    </row>
    <row r="249" spans="3:10">
      <c r="C249" s="184"/>
      <c r="D249" s="184"/>
      <c r="E249" s="184"/>
      <c r="F249" s="184"/>
      <c r="G249" s="184"/>
      <c r="H249" s="184"/>
      <c r="I249" s="184"/>
      <c r="J249" s="184"/>
    </row>
    <row r="250" spans="3:10">
      <c r="C250" s="184"/>
      <c r="D250" s="184"/>
      <c r="E250" s="184"/>
      <c r="F250" s="184"/>
      <c r="G250" s="184"/>
      <c r="H250" s="184"/>
      <c r="I250" s="184"/>
      <c r="J250" s="184"/>
    </row>
    <row r="251" spans="3:10">
      <c r="C251" s="184"/>
      <c r="D251" s="184"/>
      <c r="E251" s="184"/>
      <c r="F251" s="184"/>
      <c r="G251" s="184"/>
      <c r="H251" s="184"/>
      <c r="I251" s="184"/>
      <c r="J251" s="184"/>
    </row>
    <row r="252" spans="3:10">
      <c r="C252" s="184"/>
      <c r="D252" s="184"/>
      <c r="E252" s="184"/>
      <c r="F252" s="184"/>
      <c r="G252" s="184"/>
      <c r="H252" s="184"/>
      <c r="I252" s="184"/>
      <c r="J252" s="184"/>
    </row>
    <row r="253" spans="3:10">
      <c r="C253" s="184"/>
      <c r="D253" s="184"/>
      <c r="E253" s="184"/>
      <c r="F253" s="184"/>
      <c r="G253" s="184"/>
      <c r="H253" s="184"/>
      <c r="I253" s="184"/>
      <c r="J253" s="184"/>
    </row>
    <row r="254" spans="3:10">
      <c r="C254" s="184"/>
      <c r="D254" s="184"/>
      <c r="E254" s="184"/>
      <c r="F254" s="184"/>
      <c r="G254" s="184"/>
      <c r="H254" s="184"/>
      <c r="I254" s="184"/>
      <c r="J254" s="184"/>
    </row>
    <row r="255" spans="3:10">
      <c r="C255" s="184"/>
      <c r="D255" s="184"/>
      <c r="E255" s="184"/>
      <c r="F255" s="184"/>
      <c r="G255" s="184"/>
      <c r="H255" s="184"/>
      <c r="I255" s="184"/>
      <c r="J255" s="184"/>
    </row>
    <row r="256" spans="3:10">
      <c r="C256" s="184"/>
      <c r="D256" s="184"/>
      <c r="E256" s="184"/>
      <c r="F256" s="184"/>
      <c r="G256" s="184"/>
      <c r="H256" s="184"/>
      <c r="I256" s="184"/>
      <c r="J256" s="184"/>
    </row>
    <row r="257" spans="3:10">
      <c r="C257" s="184"/>
      <c r="D257" s="184"/>
      <c r="E257" s="184"/>
      <c r="F257" s="184"/>
      <c r="G257" s="184"/>
      <c r="H257" s="184"/>
      <c r="I257" s="184"/>
      <c r="J257" s="184"/>
    </row>
    <row r="258" spans="3:10">
      <c r="C258" s="184"/>
      <c r="D258" s="184"/>
      <c r="E258" s="184"/>
      <c r="F258" s="184"/>
      <c r="G258" s="184"/>
      <c r="H258" s="184"/>
      <c r="I258" s="184"/>
      <c r="J258" s="184"/>
    </row>
    <row r="259" spans="3:10">
      <c r="C259" s="184"/>
      <c r="D259" s="184"/>
      <c r="E259" s="184"/>
      <c r="F259" s="184"/>
      <c r="G259" s="184"/>
      <c r="H259" s="184"/>
      <c r="I259" s="184"/>
      <c r="J259" s="184"/>
    </row>
    <row r="260" spans="3:10">
      <c r="C260" s="184"/>
      <c r="D260" s="184"/>
      <c r="E260" s="184"/>
      <c r="F260" s="184"/>
      <c r="G260" s="184"/>
      <c r="H260" s="184"/>
      <c r="I260" s="184"/>
      <c r="J260" s="184"/>
    </row>
    <row r="261" spans="3:10">
      <c r="C261" s="184"/>
      <c r="D261" s="184"/>
      <c r="E261" s="184"/>
      <c r="F261" s="184"/>
      <c r="G261" s="184"/>
      <c r="H261" s="184"/>
      <c r="I261" s="184"/>
      <c r="J261" s="184"/>
    </row>
    <row r="262" spans="3:10">
      <c r="C262" s="184"/>
      <c r="D262" s="184"/>
      <c r="E262" s="184"/>
      <c r="F262" s="184"/>
      <c r="G262" s="184"/>
      <c r="H262" s="184"/>
      <c r="I262" s="184"/>
      <c r="J262" s="184"/>
    </row>
    <row r="263" spans="3:10">
      <c r="C263" s="184"/>
      <c r="D263" s="184"/>
      <c r="E263" s="184"/>
      <c r="F263" s="184"/>
      <c r="G263" s="184"/>
      <c r="H263" s="184"/>
      <c r="I263" s="184"/>
      <c r="J263" s="184"/>
    </row>
    <row r="264" spans="3:10">
      <c r="C264" s="184"/>
      <c r="D264" s="184"/>
      <c r="E264" s="184"/>
      <c r="F264" s="184"/>
      <c r="G264" s="184"/>
      <c r="H264" s="184"/>
      <c r="I264" s="184"/>
      <c r="J264" s="184"/>
    </row>
    <row r="265" spans="3:10">
      <c r="C265" s="184"/>
      <c r="D265" s="184"/>
      <c r="E265" s="184"/>
      <c r="F265" s="184"/>
      <c r="G265" s="184"/>
      <c r="H265" s="184"/>
      <c r="I265" s="184"/>
      <c r="J265" s="184"/>
    </row>
    <row r="266" spans="3:10">
      <c r="C266" s="184"/>
      <c r="D266" s="184"/>
      <c r="E266" s="184"/>
      <c r="F266" s="184"/>
      <c r="G266" s="184"/>
      <c r="H266" s="184"/>
      <c r="I266" s="184"/>
      <c r="J266" s="184"/>
    </row>
    <row r="267" spans="3:10">
      <c r="C267" s="184"/>
      <c r="D267" s="184"/>
      <c r="E267" s="184"/>
      <c r="F267" s="184"/>
      <c r="G267" s="184"/>
      <c r="H267" s="184"/>
      <c r="I267" s="184"/>
      <c r="J267" s="184"/>
    </row>
    <row r="268" spans="3:10">
      <c r="C268" s="184"/>
      <c r="D268" s="184"/>
      <c r="E268" s="184"/>
      <c r="F268" s="184"/>
      <c r="G268" s="184"/>
      <c r="H268" s="184"/>
      <c r="I268" s="184"/>
      <c r="J268" s="184"/>
    </row>
    <row r="269" spans="3:10">
      <c r="C269" s="184"/>
      <c r="D269" s="184"/>
      <c r="E269" s="184"/>
      <c r="F269" s="184"/>
      <c r="G269" s="184"/>
      <c r="H269" s="184"/>
      <c r="I269" s="184"/>
      <c r="J269" s="184"/>
    </row>
    <row r="270" spans="3:10">
      <c r="C270" s="184"/>
      <c r="D270" s="184"/>
      <c r="E270" s="184"/>
      <c r="F270" s="184"/>
      <c r="G270" s="184"/>
      <c r="H270" s="184"/>
      <c r="I270" s="184"/>
      <c r="J270" s="184"/>
    </row>
    <row r="271" spans="3:10">
      <c r="C271" s="184"/>
      <c r="D271" s="184"/>
      <c r="E271" s="184"/>
      <c r="F271" s="184"/>
      <c r="G271" s="184"/>
      <c r="H271" s="184"/>
      <c r="I271" s="184"/>
      <c r="J271" s="184"/>
    </row>
    <row r="272" spans="3:10">
      <c r="C272" s="184"/>
      <c r="D272" s="184"/>
      <c r="E272" s="184"/>
      <c r="F272" s="184"/>
      <c r="G272" s="184"/>
      <c r="H272" s="184"/>
      <c r="I272" s="184"/>
      <c r="J272" s="184"/>
    </row>
    <row r="273" spans="3:10">
      <c r="C273" s="184"/>
      <c r="D273" s="184"/>
      <c r="E273" s="184"/>
      <c r="F273" s="184"/>
      <c r="G273" s="184"/>
      <c r="H273" s="184"/>
      <c r="I273" s="184"/>
      <c r="J273" s="184"/>
    </row>
    <row r="274" spans="3:10">
      <c r="C274" s="184"/>
      <c r="D274" s="184"/>
      <c r="E274" s="184"/>
      <c r="F274" s="184"/>
      <c r="G274" s="184"/>
      <c r="H274" s="184"/>
      <c r="I274" s="184"/>
      <c r="J274" s="184"/>
    </row>
    <row r="275" spans="3:10">
      <c r="C275" s="184"/>
      <c r="D275" s="184"/>
      <c r="E275" s="184"/>
      <c r="F275" s="184"/>
      <c r="G275" s="184"/>
      <c r="H275" s="184"/>
      <c r="I275" s="184"/>
      <c r="J275" s="184"/>
    </row>
    <row r="276" spans="3:10">
      <c r="C276" s="184"/>
      <c r="D276" s="184"/>
      <c r="E276" s="184"/>
      <c r="F276" s="184"/>
      <c r="G276" s="184"/>
      <c r="H276" s="184"/>
      <c r="I276" s="184"/>
      <c r="J276" s="184"/>
    </row>
    <row r="277" spans="3:10">
      <c r="C277" s="184"/>
      <c r="D277" s="184"/>
      <c r="E277" s="184"/>
      <c r="F277" s="184"/>
      <c r="G277" s="184"/>
      <c r="H277" s="184"/>
      <c r="I277" s="184"/>
      <c r="J277" s="184"/>
    </row>
    <row r="278" spans="3:10">
      <c r="C278" s="184"/>
      <c r="D278" s="184"/>
      <c r="E278" s="184"/>
      <c r="F278" s="184"/>
      <c r="G278" s="184"/>
      <c r="H278" s="184"/>
      <c r="I278" s="184"/>
      <c r="J278" s="184"/>
    </row>
    <row r="279" spans="3:10">
      <c r="C279" s="184"/>
      <c r="D279" s="184"/>
      <c r="E279" s="184"/>
      <c r="F279" s="184"/>
      <c r="G279" s="184"/>
      <c r="H279" s="184"/>
      <c r="I279" s="184"/>
      <c r="J279" s="184"/>
    </row>
    <row r="280" spans="3:10">
      <c r="C280" s="184"/>
      <c r="D280" s="184"/>
      <c r="E280" s="184"/>
      <c r="F280" s="184"/>
      <c r="G280" s="184"/>
      <c r="H280" s="184"/>
      <c r="I280" s="184"/>
      <c r="J280" s="184"/>
    </row>
    <row r="281" spans="3:10">
      <c r="C281" s="184"/>
      <c r="D281" s="184"/>
      <c r="E281" s="184"/>
      <c r="F281" s="184"/>
      <c r="G281" s="184"/>
      <c r="H281" s="184"/>
      <c r="I281" s="184"/>
      <c r="J281" s="184"/>
    </row>
    <row r="282" spans="3:10">
      <c r="C282" s="184"/>
      <c r="D282" s="184"/>
      <c r="E282" s="184"/>
      <c r="F282" s="184"/>
      <c r="G282" s="184"/>
      <c r="H282" s="184"/>
      <c r="I282" s="184"/>
      <c r="J282" s="184"/>
    </row>
    <row r="283" spans="3:10">
      <c r="C283" s="184"/>
      <c r="D283" s="184"/>
      <c r="E283" s="184"/>
      <c r="F283" s="184"/>
      <c r="G283" s="184"/>
      <c r="H283" s="184"/>
      <c r="I283" s="184"/>
      <c r="J283" s="184"/>
    </row>
    <row r="284" spans="3:10">
      <c r="C284" s="184"/>
      <c r="D284" s="184"/>
      <c r="E284" s="184"/>
      <c r="F284" s="184"/>
      <c r="G284" s="184"/>
      <c r="H284" s="184"/>
      <c r="I284" s="184"/>
      <c r="J284" s="184"/>
    </row>
    <row r="285" spans="3:10">
      <c r="C285" s="184"/>
      <c r="D285" s="184"/>
      <c r="E285" s="184"/>
      <c r="F285" s="184"/>
      <c r="G285" s="184"/>
      <c r="H285" s="184"/>
      <c r="I285" s="184"/>
      <c r="J285" s="184"/>
    </row>
    <row r="286" spans="3:10">
      <c r="C286" s="184"/>
      <c r="D286" s="184"/>
      <c r="E286" s="184"/>
      <c r="F286" s="184"/>
      <c r="G286" s="184"/>
      <c r="H286" s="184"/>
      <c r="I286" s="184"/>
      <c r="J286" s="184"/>
    </row>
    <row r="287" spans="3:10">
      <c r="C287" s="184"/>
      <c r="D287" s="184"/>
      <c r="E287" s="184"/>
      <c r="F287" s="184"/>
      <c r="G287" s="184"/>
      <c r="H287" s="184"/>
      <c r="I287" s="184"/>
      <c r="J287" s="184"/>
    </row>
    <row r="288" spans="3:10">
      <c r="C288" s="184"/>
      <c r="D288" s="184"/>
      <c r="E288" s="184"/>
      <c r="F288" s="184"/>
      <c r="G288" s="184"/>
      <c r="H288" s="184"/>
      <c r="I288" s="184"/>
      <c r="J288" s="184"/>
    </row>
    <row r="289" spans="3:10">
      <c r="C289" s="184"/>
      <c r="D289" s="184"/>
      <c r="E289" s="184"/>
      <c r="F289" s="184"/>
      <c r="G289" s="184"/>
      <c r="H289" s="184"/>
      <c r="I289" s="184"/>
      <c r="J289" s="184"/>
    </row>
    <row r="290" spans="3:10">
      <c r="C290" s="184"/>
      <c r="D290" s="184"/>
      <c r="E290" s="184"/>
      <c r="F290" s="184"/>
      <c r="G290" s="184"/>
      <c r="H290" s="184"/>
      <c r="I290" s="184"/>
      <c r="J290" s="184"/>
    </row>
    <row r="291" spans="3:10">
      <c r="C291" s="184"/>
      <c r="D291" s="184"/>
      <c r="E291" s="184"/>
      <c r="F291" s="184"/>
      <c r="G291" s="184"/>
      <c r="H291" s="184"/>
      <c r="I291" s="184"/>
      <c r="J291" s="184"/>
    </row>
    <row r="292" spans="3:10">
      <c r="C292" s="184"/>
      <c r="D292" s="184"/>
      <c r="E292" s="184"/>
      <c r="F292" s="184"/>
      <c r="G292" s="184"/>
      <c r="H292" s="184"/>
      <c r="I292" s="184"/>
      <c r="J292" s="184"/>
    </row>
    <row r="293" spans="3:10">
      <c r="C293" s="184"/>
      <c r="D293" s="184"/>
      <c r="E293" s="184"/>
      <c r="F293" s="184"/>
      <c r="G293" s="184"/>
      <c r="H293" s="184"/>
      <c r="I293" s="184"/>
      <c r="J293" s="184"/>
    </row>
    <row r="294" spans="3:10">
      <c r="C294" s="184"/>
      <c r="D294" s="184"/>
      <c r="E294" s="184"/>
      <c r="F294" s="184"/>
      <c r="G294" s="184"/>
      <c r="H294" s="184"/>
      <c r="I294" s="184"/>
      <c r="J294" s="184"/>
    </row>
    <row r="295" spans="3:10">
      <c r="C295" s="184"/>
      <c r="D295" s="184"/>
      <c r="E295" s="184"/>
      <c r="F295" s="184"/>
      <c r="G295" s="184"/>
      <c r="H295" s="184"/>
      <c r="I295" s="184"/>
      <c r="J295" s="184"/>
    </row>
    <row r="296" spans="3:10">
      <c r="C296" s="184"/>
      <c r="D296" s="184"/>
      <c r="E296" s="184"/>
      <c r="F296" s="184"/>
      <c r="G296" s="184"/>
      <c r="H296" s="184"/>
      <c r="I296" s="184"/>
      <c r="J296" s="184"/>
    </row>
    <row r="297" spans="3:10">
      <c r="C297" s="184"/>
      <c r="D297" s="184"/>
      <c r="E297" s="184"/>
      <c r="F297" s="184"/>
      <c r="G297" s="184"/>
      <c r="H297" s="184"/>
      <c r="I297" s="184"/>
      <c r="J297" s="184"/>
    </row>
    <row r="298" spans="3:10">
      <c r="C298" s="184"/>
      <c r="D298" s="184"/>
      <c r="E298" s="184"/>
      <c r="F298" s="184"/>
      <c r="G298" s="184"/>
      <c r="H298" s="184"/>
      <c r="I298" s="184"/>
      <c r="J298" s="184"/>
    </row>
  </sheetData>
  <mergeCells count="8">
    <mergeCell ref="M100:X100"/>
    <mergeCell ref="M99:X99"/>
    <mergeCell ref="M93:X93"/>
    <mergeCell ref="M94:X94"/>
    <mergeCell ref="M95:X95"/>
    <mergeCell ref="M96:X96"/>
    <mergeCell ref="M97:X97"/>
    <mergeCell ref="M98:X98"/>
  </mergeCells>
  <printOptions horizontalCentered="1"/>
  <pageMargins left="0.75" right="0.75" top="0.75" bottom="0.5" header="0.5" footer="0.5"/>
  <pageSetup scale="57" orientation="landscape" horizontalDpi="300" verticalDpi="300" r:id="rId1"/>
  <headerFooter alignWithMargins="0"/>
  <rowBreaks count="1" manualBreakCount="1">
    <brk id="48" min="10" max="2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3300"/>
    <pageSetUpPr fitToPage="1"/>
  </sheetPr>
  <dimension ref="A1:AT250"/>
  <sheetViews>
    <sheetView zoomScale="75" zoomScaleNormal="75" workbookViewId="0"/>
  </sheetViews>
  <sheetFormatPr defaultRowHeight="15"/>
  <cols>
    <col min="1" max="1" width="4.77734375" style="127" customWidth="1"/>
    <col min="2" max="2" width="4.88671875" style="127" customWidth="1"/>
    <col min="3" max="3" width="1.21875" style="127" customWidth="1"/>
    <col min="4" max="4" width="24.6640625" style="127" customWidth="1"/>
    <col min="5" max="5" width="8.77734375" style="127"/>
    <col min="6" max="6" width="13.77734375" style="127" customWidth="1"/>
    <col min="7" max="7" width="17" style="127" bestFit="1" customWidth="1"/>
    <col min="8" max="8" width="12.77734375" style="127" customWidth="1"/>
    <col min="9" max="9" width="12.88671875" style="127" customWidth="1"/>
    <col min="10" max="10" width="15.6640625" style="127" customWidth="1"/>
    <col min="11" max="11" width="12.77734375" style="127" customWidth="1"/>
    <col min="12" max="12" width="11.77734375" style="127" customWidth="1"/>
    <col min="13" max="13" width="15.44140625" style="127" customWidth="1"/>
    <col min="14" max="14" width="12.6640625" style="127" customWidth="1"/>
    <col min="15" max="15" width="15.44140625" style="127" customWidth="1"/>
    <col min="16" max="237" width="8.77734375" style="127"/>
    <col min="238" max="238" width="6" style="127" customWidth="1"/>
    <col min="239" max="239" width="1.44140625" style="127" customWidth="1"/>
    <col min="240" max="240" width="39.109375" style="127" customWidth="1"/>
    <col min="241" max="241" width="12" style="127" customWidth="1"/>
    <col min="242" max="242" width="14.44140625" style="127" customWidth="1"/>
    <col min="243" max="243" width="11.88671875" style="127" customWidth="1"/>
    <col min="244" max="244" width="14.109375" style="127" customWidth="1"/>
    <col min="245" max="245" width="13.88671875" style="127" customWidth="1"/>
    <col min="246" max="247" width="12.77734375" style="127" customWidth="1"/>
    <col min="248" max="248" width="13.5546875" style="127" customWidth="1"/>
    <col min="249" max="249" width="15.33203125" style="127" customWidth="1"/>
    <col min="250" max="250" width="12.77734375" style="127" customWidth="1"/>
    <col min="251" max="251" width="13.88671875" style="127" customWidth="1"/>
    <col min="252" max="252" width="1.88671875" style="127" customWidth="1"/>
    <col min="253" max="253" width="13" style="127" customWidth="1"/>
    <col min="254" max="493" width="8.77734375" style="127"/>
    <col min="494" max="494" width="6" style="127" customWidth="1"/>
    <col min="495" max="495" width="1.44140625" style="127" customWidth="1"/>
    <col min="496" max="496" width="39.109375" style="127" customWidth="1"/>
    <col min="497" max="497" width="12" style="127" customWidth="1"/>
    <col min="498" max="498" width="14.44140625" style="127" customWidth="1"/>
    <col min="499" max="499" width="11.88671875" style="127" customWidth="1"/>
    <col min="500" max="500" width="14.109375" style="127" customWidth="1"/>
    <col min="501" max="501" width="13.88671875" style="127" customWidth="1"/>
    <col min="502" max="503" width="12.77734375" style="127" customWidth="1"/>
    <col min="504" max="504" width="13.5546875" style="127" customWidth="1"/>
    <col min="505" max="505" width="15.33203125" style="127" customWidth="1"/>
    <col min="506" max="506" width="12.77734375" style="127" customWidth="1"/>
    <col min="507" max="507" width="13.88671875" style="127" customWidth="1"/>
    <col min="508" max="508" width="1.88671875" style="127" customWidth="1"/>
    <col min="509" max="509" width="13" style="127" customWidth="1"/>
    <col min="510" max="749" width="8.77734375" style="127"/>
    <col min="750" max="750" width="6" style="127" customWidth="1"/>
    <col min="751" max="751" width="1.44140625" style="127" customWidth="1"/>
    <col min="752" max="752" width="39.109375" style="127" customWidth="1"/>
    <col min="753" max="753" width="12" style="127" customWidth="1"/>
    <col min="754" max="754" width="14.44140625" style="127" customWidth="1"/>
    <col min="755" max="755" width="11.88671875" style="127" customWidth="1"/>
    <col min="756" max="756" width="14.109375" style="127" customWidth="1"/>
    <col min="757" max="757" width="13.88671875" style="127" customWidth="1"/>
    <col min="758" max="759" width="12.77734375" style="127" customWidth="1"/>
    <col min="760" max="760" width="13.5546875" style="127" customWidth="1"/>
    <col min="761" max="761" width="15.33203125" style="127" customWidth="1"/>
    <col min="762" max="762" width="12.77734375" style="127" customWidth="1"/>
    <col min="763" max="763" width="13.88671875" style="127" customWidth="1"/>
    <col min="764" max="764" width="1.88671875" style="127" customWidth="1"/>
    <col min="765" max="765" width="13" style="127" customWidth="1"/>
    <col min="766" max="1005" width="8.77734375" style="127"/>
    <col min="1006" max="1006" width="6" style="127" customWidth="1"/>
    <col min="1007" max="1007" width="1.44140625" style="127" customWidth="1"/>
    <col min="1008" max="1008" width="39.109375" style="127" customWidth="1"/>
    <col min="1009" max="1009" width="12" style="127" customWidth="1"/>
    <col min="1010" max="1010" width="14.44140625" style="127" customWidth="1"/>
    <col min="1011" max="1011" width="11.88671875" style="127" customWidth="1"/>
    <col min="1012" max="1012" width="14.109375" style="127" customWidth="1"/>
    <col min="1013" max="1013" width="13.88671875" style="127" customWidth="1"/>
    <col min="1014" max="1015" width="12.77734375" style="127" customWidth="1"/>
    <col min="1016" max="1016" width="13.5546875" style="127" customWidth="1"/>
    <col min="1017" max="1017" width="15.33203125" style="127" customWidth="1"/>
    <col min="1018" max="1018" width="12.77734375" style="127" customWidth="1"/>
    <col min="1019" max="1019" width="13.88671875" style="127" customWidth="1"/>
    <col min="1020" max="1020" width="1.88671875" style="127" customWidth="1"/>
    <col min="1021" max="1021" width="13" style="127" customWidth="1"/>
    <col min="1022" max="1261" width="8.77734375" style="127"/>
    <col min="1262" max="1262" width="6" style="127" customWidth="1"/>
    <col min="1263" max="1263" width="1.44140625" style="127" customWidth="1"/>
    <col min="1264" max="1264" width="39.109375" style="127" customWidth="1"/>
    <col min="1265" max="1265" width="12" style="127" customWidth="1"/>
    <col min="1266" max="1266" width="14.44140625" style="127" customWidth="1"/>
    <col min="1267" max="1267" width="11.88671875" style="127" customWidth="1"/>
    <col min="1268" max="1268" width="14.109375" style="127" customWidth="1"/>
    <col min="1269" max="1269" width="13.88671875" style="127" customWidth="1"/>
    <col min="1270" max="1271" width="12.77734375" style="127" customWidth="1"/>
    <col min="1272" max="1272" width="13.5546875" style="127" customWidth="1"/>
    <col min="1273" max="1273" width="15.33203125" style="127" customWidth="1"/>
    <col min="1274" max="1274" width="12.77734375" style="127" customWidth="1"/>
    <col min="1275" max="1275" width="13.88671875" style="127" customWidth="1"/>
    <col min="1276" max="1276" width="1.88671875" style="127" customWidth="1"/>
    <col min="1277" max="1277" width="13" style="127" customWidth="1"/>
    <col min="1278" max="1517" width="8.77734375" style="127"/>
    <col min="1518" max="1518" width="6" style="127" customWidth="1"/>
    <col min="1519" max="1519" width="1.44140625" style="127" customWidth="1"/>
    <col min="1520" max="1520" width="39.109375" style="127" customWidth="1"/>
    <col min="1521" max="1521" width="12" style="127" customWidth="1"/>
    <col min="1522" max="1522" width="14.44140625" style="127" customWidth="1"/>
    <col min="1523" max="1523" width="11.88671875" style="127" customWidth="1"/>
    <col min="1524" max="1524" width="14.109375" style="127" customWidth="1"/>
    <col min="1525" max="1525" width="13.88671875" style="127" customWidth="1"/>
    <col min="1526" max="1527" width="12.77734375" style="127" customWidth="1"/>
    <col min="1528" max="1528" width="13.5546875" style="127" customWidth="1"/>
    <col min="1529" max="1529" width="15.33203125" style="127" customWidth="1"/>
    <col min="1530" max="1530" width="12.77734375" style="127" customWidth="1"/>
    <col min="1531" max="1531" width="13.88671875" style="127" customWidth="1"/>
    <col min="1532" max="1532" width="1.88671875" style="127" customWidth="1"/>
    <col min="1533" max="1533" width="13" style="127" customWidth="1"/>
    <col min="1534" max="1773" width="8.77734375" style="127"/>
    <col min="1774" max="1774" width="6" style="127" customWidth="1"/>
    <col min="1775" max="1775" width="1.44140625" style="127" customWidth="1"/>
    <col min="1776" max="1776" width="39.109375" style="127" customWidth="1"/>
    <col min="1777" max="1777" width="12" style="127" customWidth="1"/>
    <col min="1778" max="1778" width="14.44140625" style="127" customWidth="1"/>
    <col min="1779" max="1779" width="11.88671875" style="127" customWidth="1"/>
    <col min="1780" max="1780" width="14.109375" style="127" customWidth="1"/>
    <col min="1781" max="1781" width="13.88671875" style="127" customWidth="1"/>
    <col min="1782" max="1783" width="12.77734375" style="127" customWidth="1"/>
    <col min="1784" max="1784" width="13.5546875" style="127" customWidth="1"/>
    <col min="1785" max="1785" width="15.33203125" style="127" customWidth="1"/>
    <col min="1786" max="1786" width="12.77734375" style="127" customWidth="1"/>
    <col min="1787" max="1787" width="13.88671875" style="127" customWidth="1"/>
    <col min="1788" max="1788" width="1.88671875" style="127" customWidth="1"/>
    <col min="1789" max="1789" width="13" style="127" customWidth="1"/>
    <col min="1790" max="2029" width="8.77734375" style="127"/>
    <col min="2030" max="2030" width="6" style="127" customWidth="1"/>
    <col min="2031" max="2031" width="1.44140625" style="127" customWidth="1"/>
    <col min="2032" max="2032" width="39.109375" style="127" customWidth="1"/>
    <col min="2033" max="2033" width="12" style="127" customWidth="1"/>
    <col min="2034" max="2034" width="14.44140625" style="127" customWidth="1"/>
    <col min="2035" max="2035" width="11.88671875" style="127" customWidth="1"/>
    <col min="2036" max="2036" width="14.109375" style="127" customWidth="1"/>
    <col min="2037" max="2037" width="13.88671875" style="127" customWidth="1"/>
    <col min="2038" max="2039" width="12.77734375" style="127" customWidth="1"/>
    <col min="2040" max="2040" width="13.5546875" style="127" customWidth="1"/>
    <col min="2041" max="2041" width="15.33203125" style="127" customWidth="1"/>
    <col min="2042" max="2042" width="12.77734375" style="127" customWidth="1"/>
    <col min="2043" max="2043" width="13.88671875" style="127" customWidth="1"/>
    <col min="2044" max="2044" width="1.88671875" style="127" customWidth="1"/>
    <col min="2045" max="2045" width="13" style="127" customWidth="1"/>
    <col min="2046" max="2285" width="8.77734375" style="127"/>
    <col min="2286" max="2286" width="6" style="127" customWidth="1"/>
    <col min="2287" max="2287" width="1.44140625" style="127" customWidth="1"/>
    <col min="2288" max="2288" width="39.109375" style="127" customWidth="1"/>
    <col min="2289" max="2289" width="12" style="127" customWidth="1"/>
    <col min="2290" max="2290" width="14.44140625" style="127" customWidth="1"/>
    <col min="2291" max="2291" width="11.88671875" style="127" customWidth="1"/>
    <col min="2292" max="2292" width="14.109375" style="127" customWidth="1"/>
    <col min="2293" max="2293" width="13.88671875" style="127" customWidth="1"/>
    <col min="2294" max="2295" width="12.77734375" style="127" customWidth="1"/>
    <col min="2296" max="2296" width="13.5546875" style="127" customWidth="1"/>
    <col min="2297" max="2297" width="15.33203125" style="127" customWidth="1"/>
    <col min="2298" max="2298" width="12.77734375" style="127" customWidth="1"/>
    <col min="2299" max="2299" width="13.88671875" style="127" customWidth="1"/>
    <col min="2300" max="2300" width="1.88671875" style="127" customWidth="1"/>
    <col min="2301" max="2301" width="13" style="127" customWidth="1"/>
    <col min="2302" max="2541" width="8.77734375" style="127"/>
    <col min="2542" max="2542" width="6" style="127" customWidth="1"/>
    <col min="2543" max="2543" width="1.44140625" style="127" customWidth="1"/>
    <col min="2544" max="2544" width="39.109375" style="127" customWidth="1"/>
    <col min="2545" max="2545" width="12" style="127" customWidth="1"/>
    <col min="2546" max="2546" width="14.44140625" style="127" customWidth="1"/>
    <col min="2547" max="2547" width="11.88671875" style="127" customWidth="1"/>
    <col min="2548" max="2548" width="14.109375" style="127" customWidth="1"/>
    <col min="2549" max="2549" width="13.88671875" style="127" customWidth="1"/>
    <col min="2550" max="2551" width="12.77734375" style="127" customWidth="1"/>
    <col min="2552" max="2552" width="13.5546875" style="127" customWidth="1"/>
    <col min="2553" max="2553" width="15.33203125" style="127" customWidth="1"/>
    <col min="2554" max="2554" width="12.77734375" style="127" customWidth="1"/>
    <col min="2555" max="2555" width="13.88671875" style="127" customWidth="1"/>
    <col min="2556" max="2556" width="1.88671875" style="127" customWidth="1"/>
    <col min="2557" max="2557" width="13" style="127" customWidth="1"/>
    <col min="2558" max="2797" width="8.77734375" style="127"/>
    <col min="2798" max="2798" width="6" style="127" customWidth="1"/>
    <col min="2799" max="2799" width="1.44140625" style="127" customWidth="1"/>
    <col min="2800" max="2800" width="39.109375" style="127" customWidth="1"/>
    <col min="2801" max="2801" width="12" style="127" customWidth="1"/>
    <col min="2802" max="2802" width="14.44140625" style="127" customWidth="1"/>
    <col min="2803" max="2803" width="11.88671875" style="127" customWidth="1"/>
    <col min="2804" max="2804" width="14.109375" style="127" customWidth="1"/>
    <col min="2805" max="2805" width="13.88671875" style="127" customWidth="1"/>
    <col min="2806" max="2807" width="12.77734375" style="127" customWidth="1"/>
    <col min="2808" max="2808" width="13.5546875" style="127" customWidth="1"/>
    <col min="2809" max="2809" width="15.33203125" style="127" customWidth="1"/>
    <col min="2810" max="2810" width="12.77734375" style="127" customWidth="1"/>
    <col min="2811" max="2811" width="13.88671875" style="127" customWidth="1"/>
    <col min="2812" max="2812" width="1.88671875" style="127" customWidth="1"/>
    <col min="2813" max="2813" width="13" style="127" customWidth="1"/>
    <col min="2814" max="3053" width="8.77734375" style="127"/>
    <col min="3054" max="3054" width="6" style="127" customWidth="1"/>
    <col min="3055" max="3055" width="1.44140625" style="127" customWidth="1"/>
    <col min="3056" max="3056" width="39.109375" style="127" customWidth="1"/>
    <col min="3057" max="3057" width="12" style="127" customWidth="1"/>
    <col min="3058" max="3058" width="14.44140625" style="127" customWidth="1"/>
    <col min="3059" max="3059" width="11.88671875" style="127" customWidth="1"/>
    <col min="3060" max="3060" width="14.109375" style="127" customWidth="1"/>
    <col min="3061" max="3061" width="13.88671875" style="127" customWidth="1"/>
    <col min="3062" max="3063" width="12.77734375" style="127" customWidth="1"/>
    <col min="3064" max="3064" width="13.5546875" style="127" customWidth="1"/>
    <col min="3065" max="3065" width="15.33203125" style="127" customWidth="1"/>
    <col min="3066" max="3066" width="12.77734375" style="127" customWidth="1"/>
    <col min="3067" max="3067" width="13.88671875" style="127" customWidth="1"/>
    <col min="3068" max="3068" width="1.88671875" style="127" customWidth="1"/>
    <col min="3069" max="3069" width="13" style="127" customWidth="1"/>
    <col min="3070" max="3309" width="8.77734375" style="127"/>
    <col min="3310" max="3310" width="6" style="127" customWidth="1"/>
    <col min="3311" max="3311" width="1.44140625" style="127" customWidth="1"/>
    <col min="3312" max="3312" width="39.109375" style="127" customWidth="1"/>
    <col min="3313" max="3313" width="12" style="127" customWidth="1"/>
    <col min="3314" max="3314" width="14.44140625" style="127" customWidth="1"/>
    <col min="3315" max="3315" width="11.88671875" style="127" customWidth="1"/>
    <col min="3316" max="3316" width="14.109375" style="127" customWidth="1"/>
    <col min="3317" max="3317" width="13.88671875" style="127" customWidth="1"/>
    <col min="3318" max="3319" width="12.77734375" style="127" customWidth="1"/>
    <col min="3320" max="3320" width="13.5546875" style="127" customWidth="1"/>
    <col min="3321" max="3321" width="15.33203125" style="127" customWidth="1"/>
    <col min="3322" max="3322" width="12.77734375" style="127" customWidth="1"/>
    <col min="3323" max="3323" width="13.88671875" style="127" customWidth="1"/>
    <col min="3324" max="3324" width="1.88671875" style="127" customWidth="1"/>
    <col min="3325" max="3325" width="13" style="127" customWidth="1"/>
    <col min="3326" max="3565" width="8.77734375" style="127"/>
    <col min="3566" max="3566" width="6" style="127" customWidth="1"/>
    <col min="3567" max="3567" width="1.44140625" style="127" customWidth="1"/>
    <col min="3568" max="3568" width="39.109375" style="127" customWidth="1"/>
    <col min="3569" max="3569" width="12" style="127" customWidth="1"/>
    <col min="3570" max="3570" width="14.44140625" style="127" customWidth="1"/>
    <col min="3571" max="3571" width="11.88671875" style="127" customWidth="1"/>
    <col min="3572" max="3572" width="14.109375" style="127" customWidth="1"/>
    <col min="3573" max="3573" width="13.88671875" style="127" customWidth="1"/>
    <col min="3574" max="3575" width="12.77734375" style="127" customWidth="1"/>
    <col min="3576" max="3576" width="13.5546875" style="127" customWidth="1"/>
    <col min="3577" max="3577" width="15.33203125" style="127" customWidth="1"/>
    <col min="3578" max="3578" width="12.77734375" style="127" customWidth="1"/>
    <col min="3579" max="3579" width="13.88671875" style="127" customWidth="1"/>
    <col min="3580" max="3580" width="1.88671875" style="127" customWidth="1"/>
    <col min="3581" max="3581" width="13" style="127" customWidth="1"/>
    <col min="3582" max="3821" width="8.77734375" style="127"/>
    <col min="3822" max="3822" width="6" style="127" customWidth="1"/>
    <col min="3823" max="3823" width="1.44140625" style="127" customWidth="1"/>
    <col min="3824" max="3824" width="39.109375" style="127" customWidth="1"/>
    <col min="3825" max="3825" width="12" style="127" customWidth="1"/>
    <col min="3826" max="3826" width="14.44140625" style="127" customWidth="1"/>
    <col min="3827" max="3827" width="11.88671875" style="127" customWidth="1"/>
    <col min="3828" max="3828" width="14.109375" style="127" customWidth="1"/>
    <col min="3829" max="3829" width="13.88671875" style="127" customWidth="1"/>
    <col min="3830" max="3831" width="12.77734375" style="127" customWidth="1"/>
    <col min="3832" max="3832" width="13.5546875" style="127" customWidth="1"/>
    <col min="3833" max="3833" width="15.33203125" style="127" customWidth="1"/>
    <col min="3834" max="3834" width="12.77734375" style="127" customWidth="1"/>
    <col min="3835" max="3835" width="13.88671875" style="127" customWidth="1"/>
    <col min="3836" max="3836" width="1.88671875" style="127" customWidth="1"/>
    <col min="3837" max="3837" width="13" style="127" customWidth="1"/>
    <col min="3838" max="4077" width="8.77734375" style="127"/>
    <col min="4078" max="4078" width="6" style="127" customWidth="1"/>
    <col min="4079" max="4079" width="1.44140625" style="127" customWidth="1"/>
    <col min="4080" max="4080" width="39.109375" style="127" customWidth="1"/>
    <col min="4081" max="4081" width="12" style="127" customWidth="1"/>
    <col min="4082" max="4082" width="14.44140625" style="127" customWidth="1"/>
    <col min="4083" max="4083" width="11.88671875" style="127" customWidth="1"/>
    <col min="4084" max="4084" width="14.109375" style="127" customWidth="1"/>
    <col min="4085" max="4085" width="13.88671875" style="127" customWidth="1"/>
    <col min="4086" max="4087" width="12.77734375" style="127" customWidth="1"/>
    <col min="4088" max="4088" width="13.5546875" style="127" customWidth="1"/>
    <col min="4089" max="4089" width="15.33203125" style="127" customWidth="1"/>
    <col min="4090" max="4090" width="12.77734375" style="127" customWidth="1"/>
    <col min="4091" max="4091" width="13.88671875" style="127" customWidth="1"/>
    <col min="4092" max="4092" width="1.88671875" style="127" customWidth="1"/>
    <col min="4093" max="4093" width="13" style="127" customWidth="1"/>
    <col min="4094" max="4333" width="8.77734375" style="127"/>
    <col min="4334" max="4334" width="6" style="127" customWidth="1"/>
    <col min="4335" max="4335" width="1.44140625" style="127" customWidth="1"/>
    <col min="4336" max="4336" width="39.109375" style="127" customWidth="1"/>
    <col min="4337" max="4337" width="12" style="127" customWidth="1"/>
    <col min="4338" max="4338" width="14.44140625" style="127" customWidth="1"/>
    <col min="4339" max="4339" width="11.88671875" style="127" customWidth="1"/>
    <col min="4340" max="4340" width="14.109375" style="127" customWidth="1"/>
    <col min="4341" max="4341" width="13.88671875" style="127" customWidth="1"/>
    <col min="4342" max="4343" width="12.77734375" style="127" customWidth="1"/>
    <col min="4344" max="4344" width="13.5546875" style="127" customWidth="1"/>
    <col min="4345" max="4345" width="15.33203125" style="127" customWidth="1"/>
    <col min="4346" max="4346" width="12.77734375" style="127" customWidth="1"/>
    <col min="4347" max="4347" width="13.88671875" style="127" customWidth="1"/>
    <col min="4348" max="4348" width="1.88671875" style="127" customWidth="1"/>
    <col min="4349" max="4349" width="13" style="127" customWidth="1"/>
    <col min="4350" max="4589" width="8.77734375" style="127"/>
    <col min="4590" max="4590" width="6" style="127" customWidth="1"/>
    <col min="4591" max="4591" width="1.44140625" style="127" customWidth="1"/>
    <col min="4592" max="4592" width="39.109375" style="127" customWidth="1"/>
    <col min="4593" max="4593" width="12" style="127" customWidth="1"/>
    <col min="4594" max="4594" width="14.44140625" style="127" customWidth="1"/>
    <col min="4595" max="4595" width="11.88671875" style="127" customWidth="1"/>
    <col min="4596" max="4596" width="14.109375" style="127" customWidth="1"/>
    <col min="4597" max="4597" width="13.88671875" style="127" customWidth="1"/>
    <col min="4598" max="4599" width="12.77734375" style="127" customWidth="1"/>
    <col min="4600" max="4600" width="13.5546875" style="127" customWidth="1"/>
    <col min="4601" max="4601" width="15.33203125" style="127" customWidth="1"/>
    <col min="4602" max="4602" width="12.77734375" style="127" customWidth="1"/>
    <col min="4603" max="4603" width="13.88671875" style="127" customWidth="1"/>
    <col min="4604" max="4604" width="1.88671875" style="127" customWidth="1"/>
    <col min="4605" max="4605" width="13" style="127" customWidth="1"/>
    <col min="4606" max="4845" width="8.77734375" style="127"/>
    <col min="4846" max="4846" width="6" style="127" customWidth="1"/>
    <col min="4847" max="4847" width="1.44140625" style="127" customWidth="1"/>
    <col min="4848" max="4848" width="39.109375" style="127" customWidth="1"/>
    <col min="4849" max="4849" width="12" style="127" customWidth="1"/>
    <col min="4850" max="4850" width="14.44140625" style="127" customWidth="1"/>
    <col min="4851" max="4851" width="11.88671875" style="127" customWidth="1"/>
    <col min="4852" max="4852" width="14.109375" style="127" customWidth="1"/>
    <col min="4853" max="4853" width="13.88671875" style="127" customWidth="1"/>
    <col min="4854" max="4855" width="12.77734375" style="127" customWidth="1"/>
    <col min="4856" max="4856" width="13.5546875" style="127" customWidth="1"/>
    <col min="4857" max="4857" width="15.33203125" style="127" customWidth="1"/>
    <col min="4858" max="4858" width="12.77734375" style="127" customWidth="1"/>
    <col min="4859" max="4859" width="13.88671875" style="127" customWidth="1"/>
    <col min="4860" max="4860" width="1.88671875" style="127" customWidth="1"/>
    <col min="4861" max="4861" width="13" style="127" customWidth="1"/>
    <col min="4862" max="5101" width="8.77734375" style="127"/>
    <col min="5102" max="5102" width="6" style="127" customWidth="1"/>
    <col min="5103" max="5103" width="1.44140625" style="127" customWidth="1"/>
    <col min="5104" max="5104" width="39.109375" style="127" customWidth="1"/>
    <col min="5105" max="5105" width="12" style="127" customWidth="1"/>
    <col min="5106" max="5106" width="14.44140625" style="127" customWidth="1"/>
    <col min="5107" max="5107" width="11.88671875" style="127" customWidth="1"/>
    <col min="5108" max="5108" width="14.109375" style="127" customWidth="1"/>
    <col min="5109" max="5109" width="13.88671875" style="127" customWidth="1"/>
    <col min="5110" max="5111" width="12.77734375" style="127" customWidth="1"/>
    <col min="5112" max="5112" width="13.5546875" style="127" customWidth="1"/>
    <col min="5113" max="5113" width="15.33203125" style="127" customWidth="1"/>
    <col min="5114" max="5114" width="12.77734375" style="127" customWidth="1"/>
    <col min="5115" max="5115" width="13.88671875" style="127" customWidth="1"/>
    <col min="5116" max="5116" width="1.88671875" style="127" customWidth="1"/>
    <col min="5117" max="5117" width="13" style="127" customWidth="1"/>
    <col min="5118" max="5357" width="8.77734375" style="127"/>
    <col min="5358" max="5358" width="6" style="127" customWidth="1"/>
    <col min="5359" max="5359" width="1.44140625" style="127" customWidth="1"/>
    <col min="5360" max="5360" width="39.109375" style="127" customWidth="1"/>
    <col min="5361" max="5361" width="12" style="127" customWidth="1"/>
    <col min="5362" max="5362" width="14.44140625" style="127" customWidth="1"/>
    <col min="5363" max="5363" width="11.88671875" style="127" customWidth="1"/>
    <col min="5364" max="5364" width="14.109375" style="127" customWidth="1"/>
    <col min="5365" max="5365" width="13.88671875" style="127" customWidth="1"/>
    <col min="5366" max="5367" width="12.77734375" style="127" customWidth="1"/>
    <col min="5368" max="5368" width="13.5546875" style="127" customWidth="1"/>
    <col min="5369" max="5369" width="15.33203125" style="127" customWidth="1"/>
    <col min="5370" max="5370" width="12.77734375" style="127" customWidth="1"/>
    <col min="5371" max="5371" width="13.88671875" style="127" customWidth="1"/>
    <col min="5372" max="5372" width="1.88671875" style="127" customWidth="1"/>
    <col min="5373" max="5373" width="13" style="127" customWidth="1"/>
    <col min="5374" max="5613" width="8.77734375" style="127"/>
    <col min="5614" max="5614" width="6" style="127" customWidth="1"/>
    <col min="5615" max="5615" width="1.44140625" style="127" customWidth="1"/>
    <col min="5616" max="5616" width="39.109375" style="127" customWidth="1"/>
    <col min="5617" max="5617" width="12" style="127" customWidth="1"/>
    <col min="5618" max="5618" width="14.44140625" style="127" customWidth="1"/>
    <col min="5619" max="5619" width="11.88671875" style="127" customWidth="1"/>
    <col min="5620" max="5620" width="14.109375" style="127" customWidth="1"/>
    <col min="5621" max="5621" width="13.88671875" style="127" customWidth="1"/>
    <col min="5622" max="5623" width="12.77734375" style="127" customWidth="1"/>
    <col min="5624" max="5624" width="13.5546875" style="127" customWidth="1"/>
    <col min="5625" max="5625" width="15.33203125" style="127" customWidth="1"/>
    <col min="5626" max="5626" width="12.77734375" style="127" customWidth="1"/>
    <col min="5627" max="5627" width="13.88671875" style="127" customWidth="1"/>
    <col min="5628" max="5628" width="1.88671875" style="127" customWidth="1"/>
    <col min="5629" max="5629" width="13" style="127" customWidth="1"/>
    <col min="5630" max="5869" width="8.77734375" style="127"/>
    <col min="5870" max="5870" width="6" style="127" customWidth="1"/>
    <col min="5871" max="5871" width="1.44140625" style="127" customWidth="1"/>
    <col min="5872" max="5872" width="39.109375" style="127" customWidth="1"/>
    <col min="5873" max="5873" width="12" style="127" customWidth="1"/>
    <col min="5874" max="5874" width="14.44140625" style="127" customWidth="1"/>
    <col min="5875" max="5875" width="11.88671875" style="127" customWidth="1"/>
    <col min="5876" max="5876" width="14.109375" style="127" customWidth="1"/>
    <col min="5877" max="5877" width="13.88671875" style="127" customWidth="1"/>
    <col min="5878" max="5879" width="12.77734375" style="127" customWidth="1"/>
    <col min="5880" max="5880" width="13.5546875" style="127" customWidth="1"/>
    <col min="5881" max="5881" width="15.33203125" style="127" customWidth="1"/>
    <col min="5882" max="5882" width="12.77734375" style="127" customWidth="1"/>
    <col min="5883" max="5883" width="13.88671875" style="127" customWidth="1"/>
    <col min="5884" max="5884" width="1.88671875" style="127" customWidth="1"/>
    <col min="5885" max="5885" width="13" style="127" customWidth="1"/>
    <col min="5886" max="6125" width="8.77734375" style="127"/>
    <col min="6126" max="6126" width="6" style="127" customWidth="1"/>
    <col min="6127" max="6127" width="1.44140625" style="127" customWidth="1"/>
    <col min="6128" max="6128" width="39.109375" style="127" customWidth="1"/>
    <col min="6129" max="6129" width="12" style="127" customWidth="1"/>
    <col min="6130" max="6130" width="14.44140625" style="127" customWidth="1"/>
    <col min="6131" max="6131" width="11.88671875" style="127" customWidth="1"/>
    <col min="6132" max="6132" width="14.109375" style="127" customWidth="1"/>
    <col min="6133" max="6133" width="13.88671875" style="127" customWidth="1"/>
    <col min="6134" max="6135" width="12.77734375" style="127" customWidth="1"/>
    <col min="6136" max="6136" width="13.5546875" style="127" customWidth="1"/>
    <col min="6137" max="6137" width="15.33203125" style="127" customWidth="1"/>
    <col min="6138" max="6138" width="12.77734375" style="127" customWidth="1"/>
    <col min="6139" max="6139" width="13.88671875" style="127" customWidth="1"/>
    <col min="6140" max="6140" width="1.88671875" style="127" customWidth="1"/>
    <col min="6141" max="6141" width="13" style="127" customWidth="1"/>
    <col min="6142" max="6381" width="8.77734375" style="127"/>
    <col min="6382" max="6382" width="6" style="127" customWidth="1"/>
    <col min="6383" max="6383" width="1.44140625" style="127" customWidth="1"/>
    <col min="6384" max="6384" width="39.109375" style="127" customWidth="1"/>
    <col min="6385" max="6385" width="12" style="127" customWidth="1"/>
    <col min="6386" max="6386" width="14.44140625" style="127" customWidth="1"/>
    <col min="6387" max="6387" width="11.88671875" style="127" customWidth="1"/>
    <col min="6388" max="6388" width="14.109375" style="127" customWidth="1"/>
    <col min="6389" max="6389" width="13.88671875" style="127" customWidth="1"/>
    <col min="6390" max="6391" width="12.77734375" style="127" customWidth="1"/>
    <col min="6392" max="6392" width="13.5546875" style="127" customWidth="1"/>
    <col min="6393" max="6393" width="15.33203125" style="127" customWidth="1"/>
    <col min="6394" max="6394" width="12.77734375" style="127" customWidth="1"/>
    <col min="6395" max="6395" width="13.88671875" style="127" customWidth="1"/>
    <col min="6396" max="6396" width="1.88671875" style="127" customWidth="1"/>
    <col min="6397" max="6397" width="13" style="127" customWidth="1"/>
    <col min="6398" max="6637" width="8.77734375" style="127"/>
    <col min="6638" max="6638" width="6" style="127" customWidth="1"/>
    <col min="6639" max="6639" width="1.44140625" style="127" customWidth="1"/>
    <col min="6640" max="6640" width="39.109375" style="127" customWidth="1"/>
    <col min="6641" max="6641" width="12" style="127" customWidth="1"/>
    <col min="6642" max="6642" width="14.44140625" style="127" customWidth="1"/>
    <col min="6643" max="6643" width="11.88671875" style="127" customWidth="1"/>
    <col min="6644" max="6644" width="14.109375" style="127" customWidth="1"/>
    <col min="6645" max="6645" width="13.88671875" style="127" customWidth="1"/>
    <col min="6646" max="6647" width="12.77734375" style="127" customWidth="1"/>
    <col min="6648" max="6648" width="13.5546875" style="127" customWidth="1"/>
    <col min="6649" max="6649" width="15.33203125" style="127" customWidth="1"/>
    <col min="6650" max="6650" width="12.77734375" style="127" customWidth="1"/>
    <col min="6651" max="6651" width="13.88671875" style="127" customWidth="1"/>
    <col min="6652" max="6652" width="1.88671875" style="127" customWidth="1"/>
    <col min="6653" max="6653" width="13" style="127" customWidth="1"/>
    <col min="6654" max="6893" width="8.77734375" style="127"/>
    <col min="6894" max="6894" width="6" style="127" customWidth="1"/>
    <col min="6895" max="6895" width="1.44140625" style="127" customWidth="1"/>
    <col min="6896" max="6896" width="39.109375" style="127" customWidth="1"/>
    <col min="6897" max="6897" width="12" style="127" customWidth="1"/>
    <col min="6898" max="6898" width="14.44140625" style="127" customWidth="1"/>
    <col min="6899" max="6899" width="11.88671875" style="127" customWidth="1"/>
    <col min="6900" max="6900" width="14.109375" style="127" customWidth="1"/>
    <col min="6901" max="6901" width="13.88671875" style="127" customWidth="1"/>
    <col min="6902" max="6903" width="12.77734375" style="127" customWidth="1"/>
    <col min="6904" max="6904" width="13.5546875" style="127" customWidth="1"/>
    <col min="6905" max="6905" width="15.33203125" style="127" customWidth="1"/>
    <col min="6906" max="6906" width="12.77734375" style="127" customWidth="1"/>
    <col min="6907" max="6907" width="13.88671875" style="127" customWidth="1"/>
    <col min="6908" max="6908" width="1.88671875" style="127" customWidth="1"/>
    <col min="6909" max="6909" width="13" style="127" customWidth="1"/>
    <col min="6910" max="7149" width="8.77734375" style="127"/>
    <col min="7150" max="7150" width="6" style="127" customWidth="1"/>
    <col min="7151" max="7151" width="1.44140625" style="127" customWidth="1"/>
    <col min="7152" max="7152" width="39.109375" style="127" customWidth="1"/>
    <col min="7153" max="7153" width="12" style="127" customWidth="1"/>
    <col min="7154" max="7154" width="14.44140625" style="127" customWidth="1"/>
    <col min="7155" max="7155" width="11.88671875" style="127" customWidth="1"/>
    <col min="7156" max="7156" width="14.109375" style="127" customWidth="1"/>
    <col min="7157" max="7157" width="13.88671875" style="127" customWidth="1"/>
    <col min="7158" max="7159" width="12.77734375" style="127" customWidth="1"/>
    <col min="7160" max="7160" width="13.5546875" style="127" customWidth="1"/>
    <col min="7161" max="7161" width="15.33203125" style="127" customWidth="1"/>
    <col min="7162" max="7162" width="12.77734375" style="127" customWidth="1"/>
    <col min="7163" max="7163" width="13.88671875" style="127" customWidth="1"/>
    <col min="7164" max="7164" width="1.88671875" style="127" customWidth="1"/>
    <col min="7165" max="7165" width="13" style="127" customWidth="1"/>
    <col min="7166" max="7405" width="8.77734375" style="127"/>
    <col min="7406" max="7406" width="6" style="127" customWidth="1"/>
    <col min="7407" max="7407" width="1.44140625" style="127" customWidth="1"/>
    <col min="7408" max="7408" width="39.109375" style="127" customWidth="1"/>
    <col min="7409" max="7409" width="12" style="127" customWidth="1"/>
    <col min="7410" max="7410" width="14.44140625" style="127" customWidth="1"/>
    <col min="7411" max="7411" width="11.88671875" style="127" customWidth="1"/>
    <col min="7412" max="7412" width="14.109375" style="127" customWidth="1"/>
    <col min="7413" max="7413" width="13.88671875" style="127" customWidth="1"/>
    <col min="7414" max="7415" width="12.77734375" style="127" customWidth="1"/>
    <col min="7416" max="7416" width="13.5546875" style="127" customWidth="1"/>
    <col min="7417" max="7417" width="15.33203125" style="127" customWidth="1"/>
    <col min="7418" max="7418" width="12.77734375" style="127" customWidth="1"/>
    <col min="7419" max="7419" width="13.88671875" style="127" customWidth="1"/>
    <col min="7420" max="7420" width="1.88671875" style="127" customWidth="1"/>
    <col min="7421" max="7421" width="13" style="127" customWidth="1"/>
    <col min="7422" max="7661" width="8.77734375" style="127"/>
    <col min="7662" max="7662" width="6" style="127" customWidth="1"/>
    <col min="7663" max="7663" width="1.44140625" style="127" customWidth="1"/>
    <col min="7664" max="7664" width="39.109375" style="127" customWidth="1"/>
    <col min="7665" max="7665" width="12" style="127" customWidth="1"/>
    <col min="7666" max="7666" width="14.44140625" style="127" customWidth="1"/>
    <col min="7667" max="7667" width="11.88671875" style="127" customWidth="1"/>
    <col min="7668" max="7668" width="14.109375" style="127" customWidth="1"/>
    <col min="7669" max="7669" width="13.88671875" style="127" customWidth="1"/>
    <col min="7670" max="7671" width="12.77734375" style="127" customWidth="1"/>
    <col min="7672" max="7672" width="13.5546875" style="127" customWidth="1"/>
    <col min="7673" max="7673" width="15.33203125" style="127" customWidth="1"/>
    <col min="7674" max="7674" width="12.77734375" style="127" customWidth="1"/>
    <col min="7675" max="7675" width="13.88671875" style="127" customWidth="1"/>
    <col min="7676" max="7676" width="1.88671875" style="127" customWidth="1"/>
    <col min="7677" max="7677" width="13" style="127" customWidth="1"/>
    <col min="7678" max="7917" width="8.77734375" style="127"/>
    <col min="7918" max="7918" width="6" style="127" customWidth="1"/>
    <col min="7919" max="7919" width="1.44140625" style="127" customWidth="1"/>
    <col min="7920" max="7920" width="39.109375" style="127" customWidth="1"/>
    <col min="7921" max="7921" width="12" style="127" customWidth="1"/>
    <col min="7922" max="7922" width="14.44140625" style="127" customWidth="1"/>
    <col min="7923" max="7923" width="11.88671875" style="127" customWidth="1"/>
    <col min="7924" max="7924" width="14.109375" style="127" customWidth="1"/>
    <col min="7925" max="7925" width="13.88671875" style="127" customWidth="1"/>
    <col min="7926" max="7927" width="12.77734375" style="127" customWidth="1"/>
    <col min="7928" max="7928" width="13.5546875" style="127" customWidth="1"/>
    <col min="7929" max="7929" width="15.33203125" style="127" customWidth="1"/>
    <col min="7930" max="7930" width="12.77734375" style="127" customWidth="1"/>
    <col min="7931" max="7931" width="13.88671875" style="127" customWidth="1"/>
    <col min="7932" max="7932" width="1.88671875" style="127" customWidth="1"/>
    <col min="7933" max="7933" width="13" style="127" customWidth="1"/>
    <col min="7934" max="8173" width="8.77734375" style="127"/>
    <col min="8174" max="8174" width="6" style="127" customWidth="1"/>
    <col min="8175" max="8175" width="1.44140625" style="127" customWidth="1"/>
    <col min="8176" max="8176" width="39.109375" style="127" customWidth="1"/>
    <col min="8177" max="8177" width="12" style="127" customWidth="1"/>
    <col min="8178" max="8178" width="14.44140625" style="127" customWidth="1"/>
    <col min="8179" max="8179" width="11.88671875" style="127" customWidth="1"/>
    <col min="8180" max="8180" width="14.109375" style="127" customWidth="1"/>
    <col min="8181" max="8181" width="13.88671875" style="127" customWidth="1"/>
    <col min="8182" max="8183" width="12.77734375" style="127" customWidth="1"/>
    <col min="8184" max="8184" width="13.5546875" style="127" customWidth="1"/>
    <col min="8185" max="8185" width="15.33203125" style="127" customWidth="1"/>
    <col min="8186" max="8186" width="12.77734375" style="127" customWidth="1"/>
    <col min="8187" max="8187" width="13.88671875" style="127" customWidth="1"/>
    <col min="8188" max="8188" width="1.88671875" style="127" customWidth="1"/>
    <col min="8189" max="8189" width="13" style="127" customWidth="1"/>
    <col min="8190" max="8429" width="8.77734375" style="127"/>
    <col min="8430" max="8430" width="6" style="127" customWidth="1"/>
    <col min="8431" max="8431" width="1.44140625" style="127" customWidth="1"/>
    <col min="8432" max="8432" width="39.109375" style="127" customWidth="1"/>
    <col min="8433" max="8433" width="12" style="127" customWidth="1"/>
    <col min="8434" max="8434" width="14.44140625" style="127" customWidth="1"/>
    <col min="8435" max="8435" width="11.88671875" style="127" customWidth="1"/>
    <col min="8436" max="8436" width="14.109375" style="127" customWidth="1"/>
    <col min="8437" max="8437" width="13.88671875" style="127" customWidth="1"/>
    <col min="8438" max="8439" width="12.77734375" style="127" customWidth="1"/>
    <col min="8440" max="8440" width="13.5546875" style="127" customWidth="1"/>
    <col min="8441" max="8441" width="15.33203125" style="127" customWidth="1"/>
    <col min="8442" max="8442" width="12.77734375" style="127" customWidth="1"/>
    <col min="8443" max="8443" width="13.88671875" style="127" customWidth="1"/>
    <col min="8444" max="8444" width="1.88671875" style="127" customWidth="1"/>
    <col min="8445" max="8445" width="13" style="127" customWidth="1"/>
    <col min="8446" max="8685" width="8.77734375" style="127"/>
    <col min="8686" max="8686" width="6" style="127" customWidth="1"/>
    <col min="8687" max="8687" width="1.44140625" style="127" customWidth="1"/>
    <col min="8688" max="8688" width="39.109375" style="127" customWidth="1"/>
    <col min="8689" max="8689" width="12" style="127" customWidth="1"/>
    <col min="8690" max="8690" width="14.44140625" style="127" customWidth="1"/>
    <col min="8691" max="8691" width="11.88671875" style="127" customWidth="1"/>
    <col min="8692" max="8692" width="14.109375" style="127" customWidth="1"/>
    <col min="8693" max="8693" width="13.88671875" style="127" customWidth="1"/>
    <col min="8694" max="8695" width="12.77734375" style="127" customWidth="1"/>
    <col min="8696" max="8696" width="13.5546875" style="127" customWidth="1"/>
    <col min="8697" max="8697" width="15.33203125" style="127" customWidth="1"/>
    <col min="8698" max="8698" width="12.77734375" style="127" customWidth="1"/>
    <col min="8699" max="8699" width="13.88671875" style="127" customWidth="1"/>
    <col min="8700" max="8700" width="1.88671875" style="127" customWidth="1"/>
    <col min="8701" max="8701" width="13" style="127" customWidth="1"/>
    <col min="8702" max="8941" width="8.77734375" style="127"/>
    <col min="8942" max="8942" width="6" style="127" customWidth="1"/>
    <col min="8943" max="8943" width="1.44140625" style="127" customWidth="1"/>
    <col min="8944" max="8944" width="39.109375" style="127" customWidth="1"/>
    <col min="8945" max="8945" width="12" style="127" customWidth="1"/>
    <col min="8946" max="8946" width="14.44140625" style="127" customWidth="1"/>
    <col min="8947" max="8947" width="11.88671875" style="127" customWidth="1"/>
    <col min="8948" max="8948" width="14.109375" style="127" customWidth="1"/>
    <col min="8949" max="8949" width="13.88671875" style="127" customWidth="1"/>
    <col min="8950" max="8951" width="12.77734375" style="127" customWidth="1"/>
    <col min="8952" max="8952" width="13.5546875" style="127" customWidth="1"/>
    <col min="8953" max="8953" width="15.33203125" style="127" customWidth="1"/>
    <col min="8954" max="8954" width="12.77734375" style="127" customWidth="1"/>
    <col min="8955" max="8955" width="13.88671875" style="127" customWidth="1"/>
    <col min="8956" max="8956" width="1.88671875" style="127" customWidth="1"/>
    <col min="8957" max="8957" width="13" style="127" customWidth="1"/>
    <col min="8958" max="9197" width="8.77734375" style="127"/>
    <col min="9198" max="9198" width="6" style="127" customWidth="1"/>
    <col min="9199" max="9199" width="1.44140625" style="127" customWidth="1"/>
    <col min="9200" max="9200" width="39.109375" style="127" customWidth="1"/>
    <col min="9201" max="9201" width="12" style="127" customWidth="1"/>
    <col min="9202" max="9202" width="14.44140625" style="127" customWidth="1"/>
    <col min="9203" max="9203" width="11.88671875" style="127" customWidth="1"/>
    <col min="9204" max="9204" width="14.109375" style="127" customWidth="1"/>
    <col min="9205" max="9205" width="13.88671875" style="127" customWidth="1"/>
    <col min="9206" max="9207" width="12.77734375" style="127" customWidth="1"/>
    <col min="9208" max="9208" width="13.5546875" style="127" customWidth="1"/>
    <col min="9209" max="9209" width="15.33203125" style="127" customWidth="1"/>
    <col min="9210" max="9210" width="12.77734375" style="127" customWidth="1"/>
    <col min="9211" max="9211" width="13.88671875" style="127" customWidth="1"/>
    <col min="9212" max="9212" width="1.88671875" style="127" customWidth="1"/>
    <col min="9213" max="9213" width="13" style="127" customWidth="1"/>
    <col min="9214" max="9453" width="8.77734375" style="127"/>
    <col min="9454" max="9454" width="6" style="127" customWidth="1"/>
    <col min="9455" max="9455" width="1.44140625" style="127" customWidth="1"/>
    <col min="9456" max="9456" width="39.109375" style="127" customWidth="1"/>
    <col min="9457" max="9457" width="12" style="127" customWidth="1"/>
    <col min="9458" max="9458" width="14.44140625" style="127" customWidth="1"/>
    <col min="9459" max="9459" width="11.88671875" style="127" customWidth="1"/>
    <col min="9460" max="9460" width="14.109375" style="127" customWidth="1"/>
    <col min="9461" max="9461" width="13.88671875" style="127" customWidth="1"/>
    <col min="9462" max="9463" width="12.77734375" style="127" customWidth="1"/>
    <col min="9464" max="9464" width="13.5546875" style="127" customWidth="1"/>
    <col min="9465" max="9465" width="15.33203125" style="127" customWidth="1"/>
    <col min="9466" max="9466" width="12.77734375" style="127" customWidth="1"/>
    <col min="9467" max="9467" width="13.88671875" style="127" customWidth="1"/>
    <col min="9468" max="9468" width="1.88671875" style="127" customWidth="1"/>
    <col min="9469" max="9469" width="13" style="127" customWidth="1"/>
    <col min="9470" max="9709" width="8.77734375" style="127"/>
    <col min="9710" max="9710" width="6" style="127" customWidth="1"/>
    <col min="9711" max="9711" width="1.44140625" style="127" customWidth="1"/>
    <col min="9712" max="9712" width="39.109375" style="127" customWidth="1"/>
    <col min="9713" max="9713" width="12" style="127" customWidth="1"/>
    <col min="9714" max="9714" width="14.44140625" style="127" customWidth="1"/>
    <col min="9715" max="9715" width="11.88671875" style="127" customWidth="1"/>
    <col min="9716" max="9716" width="14.109375" style="127" customWidth="1"/>
    <col min="9717" max="9717" width="13.88671875" style="127" customWidth="1"/>
    <col min="9718" max="9719" width="12.77734375" style="127" customWidth="1"/>
    <col min="9720" max="9720" width="13.5546875" style="127" customWidth="1"/>
    <col min="9721" max="9721" width="15.33203125" style="127" customWidth="1"/>
    <col min="9722" max="9722" width="12.77734375" style="127" customWidth="1"/>
    <col min="9723" max="9723" width="13.88671875" style="127" customWidth="1"/>
    <col min="9724" max="9724" width="1.88671875" style="127" customWidth="1"/>
    <col min="9725" max="9725" width="13" style="127" customWidth="1"/>
    <col min="9726" max="9965" width="8.77734375" style="127"/>
    <col min="9966" max="9966" width="6" style="127" customWidth="1"/>
    <col min="9967" max="9967" width="1.44140625" style="127" customWidth="1"/>
    <col min="9968" max="9968" width="39.109375" style="127" customWidth="1"/>
    <col min="9969" max="9969" width="12" style="127" customWidth="1"/>
    <col min="9970" max="9970" width="14.44140625" style="127" customWidth="1"/>
    <col min="9971" max="9971" width="11.88671875" style="127" customWidth="1"/>
    <col min="9972" max="9972" width="14.109375" style="127" customWidth="1"/>
    <col min="9973" max="9973" width="13.88671875" style="127" customWidth="1"/>
    <col min="9974" max="9975" width="12.77734375" style="127" customWidth="1"/>
    <col min="9976" max="9976" width="13.5546875" style="127" customWidth="1"/>
    <col min="9977" max="9977" width="15.33203125" style="127" customWidth="1"/>
    <col min="9978" max="9978" width="12.77734375" style="127" customWidth="1"/>
    <col min="9979" max="9979" width="13.88671875" style="127" customWidth="1"/>
    <col min="9980" max="9980" width="1.88671875" style="127" customWidth="1"/>
    <col min="9981" max="9981" width="13" style="127" customWidth="1"/>
    <col min="9982" max="10221" width="8.77734375" style="127"/>
    <col min="10222" max="10222" width="6" style="127" customWidth="1"/>
    <col min="10223" max="10223" width="1.44140625" style="127" customWidth="1"/>
    <col min="10224" max="10224" width="39.109375" style="127" customWidth="1"/>
    <col min="10225" max="10225" width="12" style="127" customWidth="1"/>
    <col min="10226" max="10226" width="14.44140625" style="127" customWidth="1"/>
    <col min="10227" max="10227" width="11.88671875" style="127" customWidth="1"/>
    <col min="10228" max="10228" width="14.109375" style="127" customWidth="1"/>
    <col min="10229" max="10229" width="13.88671875" style="127" customWidth="1"/>
    <col min="10230" max="10231" width="12.77734375" style="127" customWidth="1"/>
    <col min="10232" max="10232" width="13.5546875" style="127" customWidth="1"/>
    <col min="10233" max="10233" width="15.33203125" style="127" customWidth="1"/>
    <col min="10234" max="10234" width="12.77734375" style="127" customWidth="1"/>
    <col min="10235" max="10235" width="13.88671875" style="127" customWidth="1"/>
    <col min="10236" max="10236" width="1.88671875" style="127" customWidth="1"/>
    <col min="10237" max="10237" width="13" style="127" customWidth="1"/>
    <col min="10238" max="10477" width="8.77734375" style="127"/>
    <col min="10478" max="10478" width="6" style="127" customWidth="1"/>
    <col min="10479" max="10479" width="1.44140625" style="127" customWidth="1"/>
    <col min="10480" max="10480" width="39.109375" style="127" customWidth="1"/>
    <col min="10481" max="10481" width="12" style="127" customWidth="1"/>
    <col min="10482" max="10482" width="14.44140625" style="127" customWidth="1"/>
    <col min="10483" max="10483" width="11.88671875" style="127" customWidth="1"/>
    <col min="10484" max="10484" width="14.109375" style="127" customWidth="1"/>
    <col min="10485" max="10485" width="13.88671875" style="127" customWidth="1"/>
    <col min="10486" max="10487" width="12.77734375" style="127" customWidth="1"/>
    <col min="10488" max="10488" width="13.5546875" style="127" customWidth="1"/>
    <col min="10489" max="10489" width="15.33203125" style="127" customWidth="1"/>
    <col min="10490" max="10490" width="12.77734375" style="127" customWidth="1"/>
    <col min="10491" max="10491" width="13.88671875" style="127" customWidth="1"/>
    <col min="10492" max="10492" width="1.88671875" style="127" customWidth="1"/>
    <col min="10493" max="10493" width="13" style="127" customWidth="1"/>
    <col min="10494" max="10733" width="8.77734375" style="127"/>
    <col min="10734" max="10734" width="6" style="127" customWidth="1"/>
    <col min="10735" max="10735" width="1.44140625" style="127" customWidth="1"/>
    <col min="10736" max="10736" width="39.109375" style="127" customWidth="1"/>
    <col min="10737" max="10737" width="12" style="127" customWidth="1"/>
    <col min="10738" max="10738" width="14.44140625" style="127" customWidth="1"/>
    <col min="10739" max="10739" width="11.88671875" style="127" customWidth="1"/>
    <col min="10740" max="10740" width="14.109375" style="127" customWidth="1"/>
    <col min="10741" max="10741" width="13.88671875" style="127" customWidth="1"/>
    <col min="10742" max="10743" width="12.77734375" style="127" customWidth="1"/>
    <col min="10744" max="10744" width="13.5546875" style="127" customWidth="1"/>
    <col min="10745" max="10745" width="15.33203125" style="127" customWidth="1"/>
    <col min="10746" max="10746" width="12.77734375" style="127" customWidth="1"/>
    <col min="10747" max="10747" width="13.88671875" style="127" customWidth="1"/>
    <col min="10748" max="10748" width="1.88671875" style="127" customWidth="1"/>
    <col min="10749" max="10749" width="13" style="127" customWidth="1"/>
    <col min="10750" max="10989" width="8.77734375" style="127"/>
    <col min="10990" max="10990" width="6" style="127" customWidth="1"/>
    <col min="10991" max="10991" width="1.44140625" style="127" customWidth="1"/>
    <col min="10992" max="10992" width="39.109375" style="127" customWidth="1"/>
    <col min="10993" max="10993" width="12" style="127" customWidth="1"/>
    <col min="10994" max="10994" width="14.44140625" style="127" customWidth="1"/>
    <col min="10995" max="10995" width="11.88671875" style="127" customWidth="1"/>
    <col min="10996" max="10996" width="14.109375" style="127" customWidth="1"/>
    <col min="10997" max="10997" width="13.88671875" style="127" customWidth="1"/>
    <col min="10998" max="10999" width="12.77734375" style="127" customWidth="1"/>
    <col min="11000" max="11000" width="13.5546875" style="127" customWidth="1"/>
    <col min="11001" max="11001" width="15.33203125" style="127" customWidth="1"/>
    <col min="11002" max="11002" width="12.77734375" style="127" customWidth="1"/>
    <col min="11003" max="11003" width="13.88671875" style="127" customWidth="1"/>
    <col min="11004" max="11004" width="1.88671875" style="127" customWidth="1"/>
    <col min="11005" max="11005" width="13" style="127" customWidth="1"/>
    <col min="11006" max="11245" width="8.77734375" style="127"/>
    <col min="11246" max="11246" width="6" style="127" customWidth="1"/>
    <col min="11247" max="11247" width="1.44140625" style="127" customWidth="1"/>
    <col min="11248" max="11248" width="39.109375" style="127" customWidth="1"/>
    <col min="11249" max="11249" width="12" style="127" customWidth="1"/>
    <col min="11250" max="11250" width="14.44140625" style="127" customWidth="1"/>
    <col min="11251" max="11251" width="11.88671875" style="127" customWidth="1"/>
    <col min="11252" max="11252" width="14.109375" style="127" customWidth="1"/>
    <col min="11253" max="11253" width="13.88671875" style="127" customWidth="1"/>
    <col min="11254" max="11255" width="12.77734375" style="127" customWidth="1"/>
    <col min="11256" max="11256" width="13.5546875" style="127" customWidth="1"/>
    <col min="11257" max="11257" width="15.33203125" style="127" customWidth="1"/>
    <col min="11258" max="11258" width="12.77734375" style="127" customWidth="1"/>
    <col min="11259" max="11259" width="13.88671875" style="127" customWidth="1"/>
    <col min="11260" max="11260" width="1.88671875" style="127" customWidth="1"/>
    <col min="11261" max="11261" width="13" style="127" customWidth="1"/>
    <col min="11262" max="11501" width="8.77734375" style="127"/>
    <col min="11502" max="11502" width="6" style="127" customWidth="1"/>
    <col min="11503" max="11503" width="1.44140625" style="127" customWidth="1"/>
    <col min="11504" max="11504" width="39.109375" style="127" customWidth="1"/>
    <col min="11505" max="11505" width="12" style="127" customWidth="1"/>
    <col min="11506" max="11506" width="14.44140625" style="127" customWidth="1"/>
    <col min="11507" max="11507" width="11.88671875" style="127" customWidth="1"/>
    <col min="11508" max="11508" width="14.109375" style="127" customWidth="1"/>
    <col min="11509" max="11509" width="13.88671875" style="127" customWidth="1"/>
    <col min="11510" max="11511" width="12.77734375" style="127" customWidth="1"/>
    <col min="11512" max="11512" width="13.5546875" style="127" customWidth="1"/>
    <col min="11513" max="11513" width="15.33203125" style="127" customWidth="1"/>
    <col min="11514" max="11514" width="12.77734375" style="127" customWidth="1"/>
    <col min="11515" max="11515" width="13.88671875" style="127" customWidth="1"/>
    <col min="11516" max="11516" width="1.88671875" style="127" customWidth="1"/>
    <col min="11517" max="11517" width="13" style="127" customWidth="1"/>
    <col min="11518" max="11757" width="8.77734375" style="127"/>
    <col min="11758" max="11758" width="6" style="127" customWidth="1"/>
    <col min="11759" max="11759" width="1.44140625" style="127" customWidth="1"/>
    <col min="11760" max="11760" width="39.109375" style="127" customWidth="1"/>
    <col min="11761" max="11761" width="12" style="127" customWidth="1"/>
    <col min="11762" max="11762" width="14.44140625" style="127" customWidth="1"/>
    <col min="11763" max="11763" width="11.88671875" style="127" customWidth="1"/>
    <col min="11764" max="11764" width="14.109375" style="127" customWidth="1"/>
    <col min="11765" max="11765" width="13.88671875" style="127" customWidth="1"/>
    <col min="11766" max="11767" width="12.77734375" style="127" customWidth="1"/>
    <col min="11768" max="11768" width="13.5546875" style="127" customWidth="1"/>
    <col min="11769" max="11769" width="15.33203125" style="127" customWidth="1"/>
    <col min="11770" max="11770" width="12.77734375" style="127" customWidth="1"/>
    <col min="11771" max="11771" width="13.88671875" style="127" customWidth="1"/>
    <col min="11772" max="11772" width="1.88671875" style="127" customWidth="1"/>
    <col min="11773" max="11773" width="13" style="127" customWidth="1"/>
    <col min="11774" max="12013" width="8.77734375" style="127"/>
    <col min="12014" max="12014" width="6" style="127" customWidth="1"/>
    <col min="12015" max="12015" width="1.44140625" style="127" customWidth="1"/>
    <col min="12016" max="12016" width="39.109375" style="127" customWidth="1"/>
    <col min="12017" max="12017" width="12" style="127" customWidth="1"/>
    <col min="12018" max="12018" width="14.44140625" style="127" customWidth="1"/>
    <col min="12019" max="12019" width="11.88671875" style="127" customWidth="1"/>
    <col min="12020" max="12020" width="14.109375" style="127" customWidth="1"/>
    <col min="12021" max="12021" width="13.88671875" style="127" customWidth="1"/>
    <col min="12022" max="12023" width="12.77734375" style="127" customWidth="1"/>
    <col min="12024" max="12024" width="13.5546875" style="127" customWidth="1"/>
    <col min="12025" max="12025" width="15.33203125" style="127" customWidth="1"/>
    <col min="12026" max="12026" width="12.77734375" style="127" customWidth="1"/>
    <col min="12027" max="12027" width="13.88671875" style="127" customWidth="1"/>
    <col min="12028" max="12028" width="1.88671875" style="127" customWidth="1"/>
    <col min="12029" max="12029" width="13" style="127" customWidth="1"/>
    <col min="12030" max="12269" width="8.77734375" style="127"/>
    <col min="12270" max="12270" width="6" style="127" customWidth="1"/>
    <col min="12271" max="12271" width="1.44140625" style="127" customWidth="1"/>
    <col min="12272" max="12272" width="39.109375" style="127" customWidth="1"/>
    <col min="12273" max="12273" width="12" style="127" customWidth="1"/>
    <col min="12274" max="12274" width="14.44140625" style="127" customWidth="1"/>
    <col min="12275" max="12275" width="11.88671875" style="127" customWidth="1"/>
    <col min="12276" max="12276" width="14.109375" style="127" customWidth="1"/>
    <col min="12277" max="12277" width="13.88671875" style="127" customWidth="1"/>
    <col min="12278" max="12279" width="12.77734375" style="127" customWidth="1"/>
    <col min="12280" max="12280" width="13.5546875" style="127" customWidth="1"/>
    <col min="12281" max="12281" width="15.33203125" style="127" customWidth="1"/>
    <col min="12282" max="12282" width="12.77734375" style="127" customWidth="1"/>
    <col min="12283" max="12283" width="13.88671875" style="127" customWidth="1"/>
    <col min="12284" max="12284" width="1.88671875" style="127" customWidth="1"/>
    <col min="12285" max="12285" width="13" style="127" customWidth="1"/>
    <col min="12286" max="12525" width="8.77734375" style="127"/>
    <col min="12526" max="12526" width="6" style="127" customWidth="1"/>
    <col min="12527" max="12527" width="1.44140625" style="127" customWidth="1"/>
    <col min="12528" max="12528" width="39.109375" style="127" customWidth="1"/>
    <col min="12529" max="12529" width="12" style="127" customWidth="1"/>
    <col min="12530" max="12530" width="14.44140625" style="127" customWidth="1"/>
    <col min="12531" max="12531" width="11.88671875" style="127" customWidth="1"/>
    <col min="12532" max="12532" width="14.109375" style="127" customWidth="1"/>
    <col min="12533" max="12533" width="13.88671875" style="127" customWidth="1"/>
    <col min="12534" max="12535" width="12.77734375" style="127" customWidth="1"/>
    <col min="12536" max="12536" width="13.5546875" style="127" customWidth="1"/>
    <col min="12537" max="12537" width="15.33203125" style="127" customWidth="1"/>
    <col min="12538" max="12538" width="12.77734375" style="127" customWidth="1"/>
    <col min="12539" max="12539" width="13.88671875" style="127" customWidth="1"/>
    <col min="12540" max="12540" width="1.88671875" style="127" customWidth="1"/>
    <col min="12541" max="12541" width="13" style="127" customWidth="1"/>
    <col min="12542" max="12781" width="8.77734375" style="127"/>
    <col min="12782" max="12782" width="6" style="127" customWidth="1"/>
    <col min="12783" max="12783" width="1.44140625" style="127" customWidth="1"/>
    <col min="12784" max="12784" width="39.109375" style="127" customWidth="1"/>
    <col min="12785" max="12785" width="12" style="127" customWidth="1"/>
    <col min="12786" max="12786" width="14.44140625" style="127" customWidth="1"/>
    <col min="12787" max="12787" width="11.88671875" style="127" customWidth="1"/>
    <col min="12788" max="12788" width="14.109375" style="127" customWidth="1"/>
    <col min="12789" max="12789" width="13.88671875" style="127" customWidth="1"/>
    <col min="12790" max="12791" width="12.77734375" style="127" customWidth="1"/>
    <col min="12792" max="12792" width="13.5546875" style="127" customWidth="1"/>
    <col min="12793" max="12793" width="15.33203125" style="127" customWidth="1"/>
    <col min="12794" max="12794" width="12.77734375" style="127" customWidth="1"/>
    <col min="12795" max="12795" width="13.88671875" style="127" customWidth="1"/>
    <col min="12796" max="12796" width="1.88671875" style="127" customWidth="1"/>
    <col min="12797" max="12797" width="13" style="127" customWidth="1"/>
    <col min="12798" max="13037" width="8.77734375" style="127"/>
    <col min="13038" max="13038" width="6" style="127" customWidth="1"/>
    <col min="13039" max="13039" width="1.44140625" style="127" customWidth="1"/>
    <col min="13040" max="13040" width="39.109375" style="127" customWidth="1"/>
    <col min="13041" max="13041" width="12" style="127" customWidth="1"/>
    <col min="13042" max="13042" width="14.44140625" style="127" customWidth="1"/>
    <col min="13043" max="13043" width="11.88671875" style="127" customWidth="1"/>
    <col min="13044" max="13044" width="14.109375" style="127" customWidth="1"/>
    <col min="13045" max="13045" width="13.88671875" style="127" customWidth="1"/>
    <col min="13046" max="13047" width="12.77734375" style="127" customWidth="1"/>
    <col min="13048" max="13048" width="13.5546875" style="127" customWidth="1"/>
    <col min="13049" max="13049" width="15.33203125" style="127" customWidth="1"/>
    <col min="13050" max="13050" width="12.77734375" style="127" customWidth="1"/>
    <col min="13051" max="13051" width="13.88671875" style="127" customWidth="1"/>
    <col min="13052" max="13052" width="1.88671875" style="127" customWidth="1"/>
    <col min="13053" max="13053" width="13" style="127" customWidth="1"/>
    <col min="13054" max="13293" width="8.77734375" style="127"/>
    <col min="13294" max="13294" width="6" style="127" customWidth="1"/>
    <col min="13295" max="13295" width="1.44140625" style="127" customWidth="1"/>
    <col min="13296" max="13296" width="39.109375" style="127" customWidth="1"/>
    <col min="13297" max="13297" width="12" style="127" customWidth="1"/>
    <col min="13298" max="13298" width="14.44140625" style="127" customWidth="1"/>
    <col min="13299" max="13299" width="11.88671875" style="127" customWidth="1"/>
    <col min="13300" max="13300" width="14.109375" style="127" customWidth="1"/>
    <col min="13301" max="13301" width="13.88671875" style="127" customWidth="1"/>
    <col min="13302" max="13303" width="12.77734375" style="127" customWidth="1"/>
    <col min="13304" max="13304" width="13.5546875" style="127" customWidth="1"/>
    <col min="13305" max="13305" width="15.33203125" style="127" customWidth="1"/>
    <col min="13306" max="13306" width="12.77734375" style="127" customWidth="1"/>
    <col min="13307" max="13307" width="13.88671875" style="127" customWidth="1"/>
    <col min="13308" max="13308" width="1.88671875" style="127" customWidth="1"/>
    <col min="13309" max="13309" width="13" style="127" customWidth="1"/>
    <col min="13310" max="13549" width="8.77734375" style="127"/>
    <col min="13550" max="13550" width="6" style="127" customWidth="1"/>
    <col min="13551" max="13551" width="1.44140625" style="127" customWidth="1"/>
    <col min="13552" max="13552" width="39.109375" style="127" customWidth="1"/>
    <col min="13553" max="13553" width="12" style="127" customWidth="1"/>
    <col min="13554" max="13554" width="14.44140625" style="127" customWidth="1"/>
    <col min="13555" max="13555" width="11.88671875" style="127" customWidth="1"/>
    <col min="13556" max="13556" width="14.109375" style="127" customWidth="1"/>
    <col min="13557" max="13557" width="13.88671875" style="127" customWidth="1"/>
    <col min="13558" max="13559" width="12.77734375" style="127" customWidth="1"/>
    <col min="13560" max="13560" width="13.5546875" style="127" customWidth="1"/>
    <col min="13561" max="13561" width="15.33203125" style="127" customWidth="1"/>
    <col min="13562" max="13562" width="12.77734375" style="127" customWidth="1"/>
    <col min="13563" max="13563" width="13.88671875" style="127" customWidth="1"/>
    <col min="13564" max="13564" width="1.88671875" style="127" customWidth="1"/>
    <col min="13565" max="13565" width="13" style="127" customWidth="1"/>
    <col min="13566" max="13805" width="8.77734375" style="127"/>
    <col min="13806" max="13806" width="6" style="127" customWidth="1"/>
    <col min="13807" max="13807" width="1.44140625" style="127" customWidth="1"/>
    <col min="13808" max="13808" width="39.109375" style="127" customWidth="1"/>
    <col min="13809" max="13809" width="12" style="127" customWidth="1"/>
    <col min="13810" max="13810" width="14.44140625" style="127" customWidth="1"/>
    <col min="13811" max="13811" width="11.88671875" style="127" customWidth="1"/>
    <col min="13812" max="13812" width="14.109375" style="127" customWidth="1"/>
    <col min="13813" max="13813" width="13.88671875" style="127" customWidth="1"/>
    <col min="13814" max="13815" width="12.77734375" style="127" customWidth="1"/>
    <col min="13816" max="13816" width="13.5546875" style="127" customWidth="1"/>
    <col min="13817" max="13817" width="15.33203125" style="127" customWidth="1"/>
    <col min="13818" max="13818" width="12.77734375" style="127" customWidth="1"/>
    <col min="13819" max="13819" width="13.88671875" style="127" customWidth="1"/>
    <col min="13820" max="13820" width="1.88671875" style="127" customWidth="1"/>
    <col min="13821" max="13821" width="13" style="127" customWidth="1"/>
    <col min="13822" max="14061" width="8.77734375" style="127"/>
    <col min="14062" max="14062" width="6" style="127" customWidth="1"/>
    <col min="14063" max="14063" width="1.44140625" style="127" customWidth="1"/>
    <col min="14064" max="14064" width="39.109375" style="127" customWidth="1"/>
    <col min="14065" max="14065" width="12" style="127" customWidth="1"/>
    <col min="14066" max="14066" width="14.44140625" style="127" customWidth="1"/>
    <col min="14067" max="14067" width="11.88671875" style="127" customWidth="1"/>
    <col min="14068" max="14068" width="14.109375" style="127" customWidth="1"/>
    <col min="14069" max="14069" width="13.88671875" style="127" customWidth="1"/>
    <col min="14070" max="14071" width="12.77734375" style="127" customWidth="1"/>
    <col min="14072" max="14072" width="13.5546875" style="127" customWidth="1"/>
    <col min="14073" max="14073" width="15.33203125" style="127" customWidth="1"/>
    <col min="14074" max="14074" width="12.77734375" style="127" customWidth="1"/>
    <col min="14075" max="14075" width="13.88671875" style="127" customWidth="1"/>
    <col min="14076" max="14076" width="1.88671875" style="127" customWidth="1"/>
    <col min="14077" max="14077" width="13" style="127" customWidth="1"/>
    <col min="14078" max="14317" width="8.77734375" style="127"/>
    <col min="14318" max="14318" width="6" style="127" customWidth="1"/>
    <col min="14319" max="14319" width="1.44140625" style="127" customWidth="1"/>
    <col min="14320" max="14320" width="39.109375" style="127" customWidth="1"/>
    <col min="14321" max="14321" width="12" style="127" customWidth="1"/>
    <col min="14322" max="14322" width="14.44140625" style="127" customWidth="1"/>
    <col min="14323" max="14323" width="11.88671875" style="127" customWidth="1"/>
    <col min="14324" max="14324" width="14.109375" style="127" customWidth="1"/>
    <col min="14325" max="14325" width="13.88671875" style="127" customWidth="1"/>
    <col min="14326" max="14327" width="12.77734375" style="127" customWidth="1"/>
    <col min="14328" max="14328" width="13.5546875" style="127" customWidth="1"/>
    <col min="14329" max="14329" width="15.33203125" style="127" customWidth="1"/>
    <col min="14330" max="14330" width="12.77734375" style="127" customWidth="1"/>
    <col min="14331" max="14331" width="13.88671875" style="127" customWidth="1"/>
    <col min="14332" max="14332" width="1.88671875" style="127" customWidth="1"/>
    <col min="14333" max="14333" width="13" style="127" customWidth="1"/>
    <col min="14334" max="14573" width="8.77734375" style="127"/>
    <col min="14574" max="14574" width="6" style="127" customWidth="1"/>
    <col min="14575" max="14575" width="1.44140625" style="127" customWidth="1"/>
    <col min="14576" max="14576" width="39.109375" style="127" customWidth="1"/>
    <col min="14577" max="14577" width="12" style="127" customWidth="1"/>
    <col min="14578" max="14578" width="14.44140625" style="127" customWidth="1"/>
    <col min="14579" max="14579" width="11.88671875" style="127" customWidth="1"/>
    <col min="14580" max="14580" width="14.109375" style="127" customWidth="1"/>
    <col min="14581" max="14581" width="13.88671875" style="127" customWidth="1"/>
    <col min="14582" max="14583" width="12.77734375" style="127" customWidth="1"/>
    <col min="14584" max="14584" width="13.5546875" style="127" customWidth="1"/>
    <col min="14585" max="14585" width="15.33203125" style="127" customWidth="1"/>
    <col min="14586" max="14586" width="12.77734375" style="127" customWidth="1"/>
    <col min="14587" max="14587" width="13.88671875" style="127" customWidth="1"/>
    <col min="14588" max="14588" width="1.88671875" style="127" customWidth="1"/>
    <col min="14589" max="14589" width="13" style="127" customWidth="1"/>
    <col min="14590" max="14829" width="8.77734375" style="127"/>
    <col min="14830" max="14830" width="6" style="127" customWidth="1"/>
    <col min="14831" max="14831" width="1.44140625" style="127" customWidth="1"/>
    <col min="14832" max="14832" width="39.109375" style="127" customWidth="1"/>
    <col min="14833" max="14833" width="12" style="127" customWidth="1"/>
    <col min="14834" max="14834" width="14.44140625" style="127" customWidth="1"/>
    <col min="14835" max="14835" width="11.88671875" style="127" customWidth="1"/>
    <col min="14836" max="14836" width="14.109375" style="127" customWidth="1"/>
    <col min="14837" max="14837" width="13.88671875" style="127" customWidth="1"/>
    <col min="14838" max="14839" width="12.77734375" style="127" customWidth="1"/>
    <col min="14840" max="14840" width="13.5546875" style="127" customWidth="1"/>
    <col min="14841" max="14841" width="15.33203125" style="127" customWidth="1"/>
    <col min="14842" max="14842" width="12.77734375" style="127" customWidth="1"/>
    <col min="14843" max="14843" width="13.88671875" style="127" customWidth="1"/>
    <col min="14844" max="14844" width="1.88671875" style="127" customWidth="1"/>
    <col min="14845" max="14845" width="13" style="127" customWidth="1"/>
    <col min="14846" max="15085" width="8.77734375" style="127"/>
    <col min="15086" max="15086" width="6" style="127" customWidth="1"/>
    <col min="15087" max="15087" width="1.44140625" style="127" customWidth="1"/>
    <col min="15088" max="15088" width="39.109375" style="127" customWidth="1"/>
    <col min="15089" max="15089" width="12" style="127" customWidth="1"/>
    <col min="15090" max="15090" width="14.44140625" style="127" customWidth="1"/>
    <col min="15091" max="15091" width="11.88671875" style="127" customWidth="1"/>
    <col min="15092" max="15092" width="14.109375" style="127" customWidth="1"/>
    <col min="15093" max="15093" width="13.88671875" style="127" customWidth="1"/>
    <col min="15094" max="15095" width="12.77734375" style="127" customWidth="1"/>
    <col min="15096" max="15096" width="13.5546875" style="127" customWidth="1"/>
    <col min="15097" max="15097" width="15.33203125" style="127" customWidth="1"/>
    <col min="15098" max="15098" width="12.77734375" style="127" customWidth="1"/>
    <col min="15099" max="15099" width="13.88671875" style="127" customWidth="1"/>
    <col min="15100" max="15100" width="1.88671875" style="127" customWidth="1"/>
    <col min="15101" max="15101" width="13" style="127" customWidth="1"/>
    <col min="15102" max="15341" width="8.77734375" style="127"/>
    <col min="15342" max="15342" width="6" style="127" customWidth="1"/>
    <col min="15343" max="15343" width="1.44140625" style="127" customWidth="1"/>
    <col min="15344" max="15344" width="39.109375" style="127" customWidth="1"/>
    <col min="15345" max="15345" width="12" style="127" customWidth="1"/>
    <col min="15346" max="15346" width="14.44140625" style="127" customWidth="1"/>
    <col min="15347" max="15347" width="11.88671875" style="127" customWidth="1"/>
    <col min="15348" max="15348" width="14.109375" style="127" customWidth="1"/>
    <col min="15349" max="15349" width="13.88671875" style="127" customWidth="1"/>
    <col min="15350" max="15351" width="12.77734375" style="127" customWidth="1"/>
    <col min="15352" max="15352" width="13.5546875" style="127" customWidth="1"/>
    <col min="15353" max="15353" width="15.33203125" style="127" customWidth="1"/>
    <col min="15354" max="15354" width="12.77734375" style="127" customWidth="1"/>
    <col min="15355" max="15355" width="13.88671875" style="127" customWidth="1"/>
    <col min="15356" max="15356" width="1.88671875" style="127" customWidth="1"/>
    <col min="15357" max="15357" width="13" style="127" customWidth="1"/>
    <col min="15358" max="15597" width="8.77734375" style="127"/>
    <col min="15598" max="15598" width="6" style="127" customWidth="1"/>
    <col min="15599" max="15599" width="1.44140625" style="127" customWidth="1"/>
    <col min="15600" max="15600" width="39.109375" style="127" customWidth="1"/>
    <col min="15601" max="15601" width="12" style="127" customWidth="1"/>
    <col min="15602" max="15602" width="14.44140625" style="127" customWidth="1"/>
    <col min="15603" max="15603" width="11.88671875" style="127" customWidth="1"/>
    <col min="15604" max="15604" width="14.109375" style="127" customWidth="1"/>
    <col min="15605" max="15605" width="13.88671875" style="127" customWidth="1"/>
    <col min="15606" max="15607" width="12.77734375" style="127" customWidth="1"/>
    <col min="15608" max="15608" width="13.5546875" style="127" customWidth="1"/>
    <col min="15609" max="15609" width="15.33203125" style="127" customWidth="1"/>
    <col min="15610" max="15610" width="12.77734375" style="127" customWidth="1"/>
    <col min="15611" max="15611" width="13.88671875" style="127" customWidth="1"/>
    <col min="15612" max="15612" width="1.88671875" style="127" customWidth="1"/>
    <col min="15613" max="15613" width="13" style="127" customWidth="1"/>
    <col min="15614" max="15853" width="8.77734375" style="127"/>
    <col min="15854" max="15854" width="6" style="127" customWidth="1"/>
    <col min="15855" max="15855" width="1.44140625" style="127" customWidth="1"/>
    <col min="15856" max="15856" width="39.109375" style="127" customWidth="1"/>
    <col min="15857" max="15857" width="12" style="127" customWidth="1"/>
    <col min="15858" max="15858" width="14.44140625" style="127" customWidth="1"/>
    <col min="15859" max="15859" width="11.88671875" style="127" customWidth="1"/>
    <col min="15860" max="15860" width="14.109375" style="127" customWidth="1"/>
    <col min="15861" max="15861" width="13.88671875" style="127" customWidth="1"/>
    <col min="15862" max="15863" width="12.77734375" style="127" customWidth="1"/>
    <col min="15864" max="15864" width="13.5546875" style="127" customWidth="1"/>
    <col min="15865" max="15865" width="15.33203125" style="127" customWidth="1"/>
    <col min="15866" max="15866" width="12.77734375" style="127" customWidth="1"/>
    <col min="15867" max="15867" width="13.88671875" style="127" customWidth="1"/>
    <col min="15868" max="15868" width="1.88671875" style="127" customWidth="1"/>
    <col min="15869" max="15869" width="13" style="127" customWidth="1"/>
    <col min="15870" max="16109" width="8.77734375" style="127"/>
    <col min="16110" max="16110" width="6" style="127" customWidth="1"/>
    <col min="16111" max="16111" width="1.44140625" style="127" customWidth="1"/>
    <col min="16112" max="16112" width="39.109375" style="127" customWidth="1"/>
    <col min="16113" max="16113" width="12" style="127" customWidth="1"/>
    <col min="16114" max="16114" width="14.44140625" style="127" customWidth="1"/>
    <col min="16115" max="16115" width="11.88671875" style="127" customWidth="1"/>
    <col min="16116" max="16116" width="14.109375" style="127" customWidth="1"/>
    <col min="16117" max="16117" width="13.88671875" style="127" customWidth="1"/>
    <col min="16118" max="16119" width="12.77734375" style="127" customWidth="1"/>
    <col min="16120" max="16120" width="13.5546875" style="127" customWidth="1"/>
    <col min="16121" max="16121" width="15.33203125" style="127" customWidth="1"/>
    <col min="16122" max="16122" width="12.77734375" style="127" customWidth="1"/>
    <col min="16123" max="16123" width="13.88671875" style="127" customWidth="1"/>
    <col min="16124" max="16124" width="1.88671875" style="127" customWidth="1"/>
    <col min="16125" max="16125" width="13" style="127" customWidth="1"/>
    <col min="16126" max="16365" width="8.77734375" style="127"/>
    <col min="16366" max="16384" width="8.77734375" style="127" customWidth="1"/>
  </cols>
  <sheetData>
    <row r="1" spans="2:46">
      <c r="O1" s="398" t="s">
        <v>318</v>
      </c>
    </row>
    <row r="2" spans="2:46">
      <c r="O2" s="398" t="s">
        <v>316</v>
      </c>
    </row>
    <row r="3" spans="2:46">
      <c r="O3" s="161" t="s">
        <v>306</v>
      </c>
    </row>
    <row r="4" spans="2:46">
      <c r="B4" s="131"/>
      <c r="D4" s="98"/>
      <c r="E4" s="98"/>
      <c r="F4" s="98"/>
      <c r="G4" s="98"/>
      <c r="H4" s="103"/>
      <c r="I4" s="98"/>
      <c r="J4" s="98"/>
      <c r="K4" s="98"/>
      <c r="L4" s="98"/>
      <c r="N4" s="103"/>
      <c r="O4" s="161" t="str">
        <f>DEOK!G7</f>
        <v>For the 12 months ended: 12/31/2017</v>
      </c>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row>
    <row r="5" spans="2:46">
      <c r="B5" s="131"/>
      <c r="D5" s="98"/>
      <c r="E5" s="98"/>
      <c r="F5" s="98"/>
      <c r="G5" s="98"/>
      <c r="H5" s="103"/>
      <c r="I5" s="98"/>
      <c r="J5" s="98"/>
      <c r="K5" s="98"/>
      <c r="L5" s="98"/>
      <c r="N5" s="103"/>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row>
    <row r="6" spans="2:46">
      <c r="B6" s="209" t="s">
        <v>275</v>
      </c>
      <c r="C6" s="263"/>
      <c r="D6" s="263"/>
      <c r="E6" s="208"/>
      <c r="F6" s="209"/>
      <c r="G6" s="209"/>
      <c r="H6" s="263"/>
      <c r="I6" s="209"/>
      <c r="J6" s="209"/>
      <c r="K6" s="209"/>
      <c r="L6" s="209"/>
      <c r="M6" s="263"/>
      <c r="N6" s="207"/>
      <c r="O6" s="263"/>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row>
    <row r="7" spans="2:46">
      <c r="B7" s="209" t="s">
        <v>319</v>
      </c>
      <c r="C7" s="263"/>
      <c r="D7" s="208"/>
      <c r="E7" s="208"/>
      <c r="F7" s="209"/>
      <c r="G7" s="209"/>
      <c r="H7" s="263"/>
      <c r="I7" s="209"/>
      <c r="J7" s="209"/>
      <c r="K7" s="209"/>
      <c r="L7" s="209"/>
      <c r="M7" s="207"/>
      <c r="N7" s="207"/>
      <c r="O7" s="263"/>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row>
    <row r="8" spans="2:46" ht="14.25" customHeight="1">
      <c r="B8" s="262"/>
      <c r="D8" s="98"/>
      <c r="E8" s="98"/>
      <c r="F8" s="98"/>
      <c r="G8" s="98"/>
      <c r="I8" s="209"/>
      <c r="J8" s="98"/>
      <c r="K8" s="98"/>
      <c r="L8" s="98"/>
      <c r="N8" s="103"/>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row>
    <row r="9" spans="2:46">
      <c r="B9" s="209" t="str">
        <f>DEOK!A11</f>
        <v>DUKE ENERGY OHIO AND DUKE ENERGY KENTUCKY (DEOK)</v>
      </c>
      <c r="C9" s="263"/>
      <c r="D9" s="263"/>
      <c r="E9" s="263"/>
      <c r="F9" s="209"/>
      <c r="G9" s="209"/>
      <c r="H9" s="263"/>
      <c r="I9" s="209"/>
      <c r="J9" s="209"/>
      <c r="K9" s="209"/>
      <c r="L9" s="209"/>
      <c r="M9" s="209"/>
      <c r="N9" s="207"/>
      <c r="O9" s="207"/>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row>
    <row r="10" spans="2:46">
      <c r="B10" s="209" t="s">
        <v>698</v>
      </c>
      <c r="C10" s="263"/>
      <c r="D10" s="263"/>
      <c r="E10" s="263"/>
      <c r="F10" s="208"/>
      <c r="G10" s="208"/>
      <c r="H10" s="208"/>
      <c r="I10" s="208"/>
      <c r="J10" s="208"/>
      <c r="K10" s="208"/>
      <c r="L10" s="208"/>
      <c r="M10" s="208"/>
      <c r="N10" s="208"/>
      <c r="O10" s="208"/>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row>
    <row r="11" spans="2:46">
      <c r="B11" s="131"/>
      <c r="F11" s="99"/>
      <c r="G11" s="99"/>
      <c r="H11" s="99"/>
      <c r="I11" s="99"/>
      <c r="J11" s="99"/>
      <c r="K11" s="99"/>
      <c r="L11" s="99"/>
      <c r="M11" s="99"/>
      <c r="N11" s="99"/>
      <c r="O11" s="99"/>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row>
    <row r="12" spans="2:46" ht="15.75">
      <c r="B12" s="264" t="s">
        <v>291</v>
      </c>
      <c r="C12" s="263"/>
      <c r="D12" s="209"/>
      <c r="E12" s="209"/>
      <c r="F12" s="263"/>
      <c r="G12" s="264"/>
      <c r="H12" s="263"/>
      <c r="I12" s="208"/>
      <c r="J12" s="208"/>
      <c r="K12" s="208"/>
      <c r="L12" s="208"/>
      <c r="M12" s="208"/>
      <c r="N12" s="207"/>
      <c r="O12" s="207"/>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row>
    <row r="13" spans="2:46" ht="15.75">
      <c r="B13" s="131"/>
      <c r="D13" s="98"/>
      <c r="E13" s="98"/>
      <c r="F13" s="139"/>
      <c r="G13" s="139"/>
      <c r="I13" s="102"/>
      <c r="J13" s="102"/>
      <c r="K13" s="102"/>
      <c r="L13" s="102"/>
      <c r="M13" s="102"/>
      <c r="N13" s="103"/>
      <c r="O13" s="103"/>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row>
    <row r="14" spans="2:46" ht="15.75">
      <c r="B14" s="131"/>
      <c r="D14" s="162">
        <v>-1</v>
      </c>
      <c r="E14" s="162">
        <v>-2</v>
      </c>
      <c r="F14" s="162">
        <v>-3</v>
      </c>
      <c r="G14" s="162">
        <v>-4</v>
      </c>
      <c r="H14" s="162">
        <v>-5</v>
      </c>
      <c r="I14" s="162">
        <v>-6</v>
      </c>
      <c r="J14" s="162">
        <v>-7</v>
      </c>
      <c r="K14" s="162">
        <v>-8</v>
      </c>
      <c r="L14" s="162">
        <v>-9</v>
      </c>
      <c r="M14" s="162">
        <v>-10</v>
      </c>
      <c r="N14" s="162">
        <v>-11</v>
      </c>
      <c r="O14" s="162">
        <v>-12</v>
      </c>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row>
    <row r="15" spans="2:46" ht="47.25">
      <c r="B15" s="163" t="s">
        <v>245</v>
      </c>
      <c r="C15" s="164"/>
      <c r="D15" s="164" t="s">
        <v>221</v>
      </c>
      <c r="E15" s="165" t="s">
        <v>246</v>
      </c>
      <c r="F15" s="166" t="s">
        <v>247</v>
      </c>
      <c r="G15" s="166" t="s">
        <v>240</v>
      </c>
      <c r="H15" s="167" t="s">
        <v>248</v>
      </c>
      <c r="I15" s="166" t="s">
        <v>249</v>
      </c>
      <c r="J15" s="166" t="s">
        <v>244</v>
      </c>
      <c r="K15" s="167" t="s">
        <v>250</v>
      </c>
      <c r="L15" s="166" t="s">
        <v>251</v>
      </c>
      <c r="M15" s="168" t="s">
        <v>252</v>
      </c>
      <c r="N15" s="169" t="s">
        <v>253</v>
      </c>
      <c r="O15" s="168" t="s">
        <v>254</v>
      </c>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row>
    <row r="16" spans="2:46" ht="46.5" customHeight="1">
      <c r="B16" s="170"/>
      <c r="C16" s="171"/>
      <c r="D16" s="171"/>
      <c r="E16" s="171"/>
      <c r="F16" s="172" t="s">
        <v>17</v>
      </c>
      <c r="G16" s="610" t="s">
        <v>865</v>
      </c>
      <c r="H16" s="173"/>
      <c r="I16" s="172" t="s">
        <v>18</v>
      </c>
      <c r="J16" s="610" t="s">
        <v>866</v>
      </c>
      <c r="K16" s="173"/>
      <c r="L16" s="172" t="s">
        <v>257</v>
      </c>
      <c r="M16" s="173" t="s">
        <v>258</v>
      </c>
      <c r="N16" s="174" t="s">
        <v>215</v>
      </c>
      <c r="O16" s="175" t="s">
        <v>259</v>
      </c>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row>
    <row r="17" spans="2:46">
      <c r="B17" s="176"/>
      <c r="C17" s="102"/>
      <c r="D17" s="102"/>
      <c r="E17" s="102"/>
      <c r="F17" s="102"/>
      <c r="G17" s="102"/>
      <c r="H17" s="177"/>
      <c r="I17" s="102"/>
      <c r="J17" s="102"/>
      <c r="K17" s="177"/>
      <c r="L17" s="102"/>
      <c r="M17" s="177"/>
      <c r="N17" s="103"/>
      <c r="O17" s="178"/>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row>
    <row r="18" spans="2:46">
      <c r="B18" s="419" t="s">
        <v>1</v>
      </c>
      <c r="C18" s="395"/>
      <c r="D18" s="395" t="str">
        <f>'Appx C - DEO(MTEP)'!M66</f>
        <v>Hillcrest 345 kV</v>
      </c>
      <c r="E18" s="857">
        <f>'Appx C - DEO(MTEP)'!N66</f>
        <v>91</v>
      </c>
      <c r="F18" s="418">
        <f>'Appx C - DEO(MTEP)'!O66+'Appx C - DEK(MTEP)'!O66</f>
        <v>17801478</v>
      </c>
      <c r="G18" s="145"/>
      <c r="H18" s="181">
        <f>'Appx C - DEO(MTEP)'!Q66+'Appx C - DEK(MTEP)'!Q66</f>
        <v>1266484.6669575199</v>
      </c>
      <c r="I18" s="418">
        <f>'Appx C - DEO(MTEP)'!R66+'Appx C - DEK(MTEP)'!R66</f>
        <v>14884913</v>
      </c>
      <c r="J18" s="145"/>
      <c r="K18" s="181">
        <f>'Appx C - DEO(MTEP)'!T66+'Appx C - DEK(MTEP)'!T66</f>
        <v>1204268.3945793577</v>
      </c>
      <c r="L18" s="1056">
        <f>'Appx C - DEO(MTEP)'!U66+'Appx C - DEK(MTEP)'!U66</f>
        <v>320132</v>
      </c>
      <c r="M18" s="181">
        <f>H18+K18+L18</f>
        <v>2790885.0615368774</v>
      </c>
      <c r="N18" s="418">
        <f>'Appx C - DEO(MTEP)'!W66+'Appx C - DEK(MTEP)'!W66</f>
        <v>0</v>
      </c>
      <c r="O18" s="181">
        <f>M18+N18</f>
        <v>2790885.0615368774</v>
      </c>
    </row>
    <row r="19" spans="2:46">
      <c r="B19" s="419" t="s">
        <v>262</v>
      </c>
      <c r="C19" s="395"/>
      <c r="D19" s="420" t="s">
        <v>263</v>
      </c>
      <c r="E19" s="395" t="s">
        <v>267</v>
      </c>
      <c r="F19" s="418">
        <f>'Appx C - DEO(MTEP)'!O67+'Appx C - DEK(MTEP)'!O67</f>
        <v>0</v>
      </c>
      <c r="G19" s="145"/>
      <c r="H19" s="181">
        <f>'Appx C - DEO(MTEP)'!Q67+'Appx C - DEK(MTEP)'!Q67</f>
        <v>0</v>
      </c>
      <c r="I19" s="418">
        <f>'Appx C - DEO(MTEP)'!R67+'Appx C - DEK(MTEP)'!R67</f>
        <v>0</v>
      </c>
      <c r="J19" s="145"/>
      <c r="K19" s="181">
        <f>'Appx C - DEO(MTEP)'!T67+'Appx C - DEK(MTEP)'!T67</f>
        <v>0</v>
      </c>
      <c r="L19" s="1056">
        <f>'Appx C - DEO(MTEP)'!U67+'Appx C - DEK(MTEP)'!U67</f>
        <v>0</v>
      </c>
      <c r="M19" s="181">
        <f>H19+K19+L19</f>
        <v>0</v>
      </c>
      <c r="N19" s="418">
        <f>'Appx C - DEO(MTEP)'!W67+'Appx C - DEK(MTEP)'!W67</f>
        <v>0</v>
      </c>
      <c r="O19" s="181">
        <f>M19+N19</f>
        <v>0</v>
      </c>
    </row>
    <row r="20" spans="2:46">
      <c r="B20" s="417" t="s">
        <v>265</v>
      </c>
      <c r="C20" s="395"/>
      <c r="D20" s="395" t="s">
        <v>266</v>
      </c>
      <c r="E20" s="395" t="s">
        <v>267</v>
      </c>
      <c r="F20" s="418">
        <f>'Appx C - DEO(MTEP)'!O68+'Appx C - DEK(MTEP)'!O68</f>
        <v>0</v>
      </c>
      <c r="G20" s="145"/>
      <c r="H20" s="181">
        <f>'Appx C - DEO(MTEP)'!Q68+'Appx C - DEK(MTEP)'!Q68</f>
        <v>0</v>
      </c>
      <c r="I20" s="418">
        <f>'Appx C - DEO(MTEP)'!R68+'Appx C - DEK(MTEP)'!R68</f>
        <v>0</v>
      </c>
      <c r="J20" s="145"/>
      <c r="K20" s="181">
        <f>'Appx C - DEO(MTEP)'!T68+'Appx C - DEK(MTEP)'!T68</f>
        <v>0</v>
      </c>
      <c r="L20" s="1056">
        <f>'Appx C - DEO(MTEP)'!U68+'Appx C - DEK(MTEP)'!U68</f>
        <v>0</v>
      </c>
      <c r="M20" s="181">
        <f>H20+K20+L20</f>
        <v>0</v>
      </c>
      <c r="N20" s="418">
        <f>'Appx C - DEO(MTEP)'!W68+'Appx C - DEK(MTEP)'!W68</f>
        <v>0</v>
      </c>
      <c r="O20" s="181">
        <f>M20+N20</f>
        <v>0</v>
      </c>
    </row>
    <row r="21" spans="2:46">
      <c r="B21" s="179"/>
      <c r="H21" s="181"/>
      <c r="K21" s="181"/>
      <c r="M21" s="181"/>
      <c r="O21" s="181"/>
    </row>
    <row r="22" spans="2:46">
      <c r="B22" s="179"/>
      <c r="H22" s="181"/>
      <c r="K22" s="181"/>
      <c r="M22" s="181"/>
      <c r="O22" s="181"/>
    </row>
    <row r="23" spans="2:46">
      <c r="B23" s="179"/>
      <c r="H23" s="181"/>
      <c r="K23" s="181"/>
      <c r="M23" s="181"/>
      <c r="O23" s="181"/>
    </row>
    <row r="24" spans="2:46">
      <c r="B24" s="179"/>
      <c r="H24" s="181"/>
      <c r="K24" s="181"/>
      <c r="M24" s="181"/>
      <c r="O24" s="181"/>
    </row>
    <row r="25" spans="2:46">
      <c r="B25" s="179"/>
      <c r="H25" s="181"/>
      <c r="K25" s="181"/>
      <c r="M25" s="181"/>
      <c r="O25" s="181"/>
    </row>
    <row r="26" spans="2:46">
      <c r="B26" s="179"/>
      <c r="D26" s="184"/>
      <c r="E26" s="184"/>
      <c r="F26" s="184"/>
      <c r="G26" s="184"/>
      <c r="H26" s="185"/>
      <c r="I26" s="184"/>
      <c r="J26" s="184"/>
      <c r="K26" s="185"/>
      <c r="L26" s="184"/>
      <c r="M26" s="185"/>
      <c r="N26" s="184"/>
      <c r="O26" s="185"/>
    </row>
    <row r="27" spans="2:46">
      <c r="B27" s="179"/>
      <c r="D27" s="184"/>
      <c r="E27" s="184"/>
      <c r="F27" s="184"/>
      <c r="G27" s="184"/>
      <c r="H27" s="185"/>
      <c r="I27" s="184"/>
      <c r="J27" s="184"/>
      <c r="K27" s="185"/>
      <c r="L27" s="184"/>
      <c r="M27" s="185"/>
      <c r="N27" s="184"/>
      <c r="O27" s="185"/>
    </row>
    <row r="28" spans="2:46">
      <c r="B28" s="179"/>
      <c r="D28" s="184"/>
      <c r="E28" s="184"/>
      <c r="F28" s="184"/>
      <c r="G28" s="184"/>
      <c r="H28" s="185"/>
      <c r="I28" s="184"/>
      <c r="J28" s="184"/>
      <c r="K28" s="185"/>
      <c r="L28" s="184"/>
      <c r="M28" s="185"/>
      <c r="N28" s="184"/>
      <c r="O28" s="185"/>
    </row>
    <row r="29" spans="2:46">
      <c r="B29" s="179"/>
      <c r="D29" s="184"/>
      <c r="E29" s="184"/>
      <c r="F29" s="184"/>
      <c r="G29" s="184"/>
      <c r="H29" s="185"/>
      <c r="I29" s="184"/>
      <c r="J29" s="184"/>
      <c r="K29" s="185"/>
      <c r="L29" s="184"/>
      <c r="M29" s="185"/>
      <c r="N29" s="184"/>
      <c r="O29" s="185"/>
    </row>
    <row r="30" spans="2:46">
      <c r="B30" s="179"/>
      <c r="D30" s="184"/>
      <c r="E30" s="184"/>
      <c r="F30" s="184"/>
      <c r="G30" s="184"/>
      <c r="H30" s="185"/>
      <c r="I30" s="184"/>
      <c r="J30" s="184"/>
      <c r="K30" s="185"/>
      <c r="L30" s="184"/>
      <c r="M30" s="185"/>
      <c r="N30" s="184"/>
      <c r="O30" s="185"/>
    </row>
    <row r="31" spans="2:46">
      <c r="B31" s="179"/>
      <c r="D31" s="184"/>
      <c r="E31" s="184"/>
      <c r="F31" s="184"/>
      <c r="G31" s="184"/>
      <c r="H31" s="185"/>
      <c r="I31" s="184"/>
      <c r="J31" s="184"/>
      <c r="K31" s="185"/>
      <c r="L31" s="184"/>
      <c r="M31" s="185"/>
      <c r="N31" s="184"/>
      <c r="O31" s="185"/>
    </row>
    <row r="32" spans="2:46">
      <c r="B32" s="179"/>
      <c r="D32" s="184"/>
      <c r="E32" s="184"/>
      <c r="F32" s="184"/>
      <c r="G32" s="184"/>
      <c r="H32" s="185"/>
      <c r="I32" s="184"/>
      <c r="J32" s="184"/>
      <c r="K32" s="185"/>
      <c r="L32" s="184"/>
      <c r="M32" s="185"/>
      <c r="N32" s="184"/>
      <c r="O32" s="185"/>
    </row>
    <row r="33" spans="2:15">
      <c r="B33" s="179"/>
      <c r="D33" s="184"/>
      <c r="E33" s="184"/>
      <c r="F33" s="184"/>
      <c r="G33" s="184"/>
      <c r="H33" s="185"/>
      <c r="I33" s="184"/>
      <c r="J33" s="184"/>
      <c r="K33" s="185"/>
      <c r="L33" s="184"/>
      <c r="M33" s="185"/>
      <c r="N33" s="184"/>
      <c r="O33" s="185"/>
    </row>
    <row r="34" spans="2:15">
      <c r="B34" s="179"/>
      <c r="D34" s="184"/>
      <c r="E34" s="184"/>
      <c r="F34" s="184"/>
      <c r="G34" s="184"/>
      <c r="H34" s="185"/>
      <c r="I34" s="184"/>
      <c r="J34" s="184"/>
      <c r="K34" s="185"/>
      <c r="L34" s="184"/>
      <c r="M34" s="185"/>
      <c r="N34" s="184"/>
      <c r="O34" s="185"/>
    </row>
    <row r="35" spans="2:15">
      <c r="B35" s="179"/>
      <c r="D35" s="184"/>
      <c r="E35" s="184"/>
      <c r="F35" s="184"/>
      <c r="G35" s="184"/>
      <c r="H35" s="185"/>
      <c r="I35" s="184"/>
      <c r="J35" s="184"/>
      <c r="K35" s="185"/>
      <c r="L35" s="184"/>
      <c r="M35" s="185"/>
      <c r="N35" s="184"/>
      <c r="O35" s="185"/>
    </row>
    <row r="36" spans="2:15">
      <c r="B36" s="179"/>
      <c r="D36" s="184"/>
      <c r="E36" s="184"/>
      <c r="F36" s="184"/>
      <c r="G36" s="184"/>
      <c r="H36" s="185"/>
      <c r="I36" s="184"/>
      <c r="J36" s="184"/>
      <c r="K36" s="185"/>
      <c r="L36" s="184"/>
      <c r="M36" s="185"/>
      <c r="N36" s="184"/>
      <c r="O36" s="185"/>
    </row>
    <row r="37" spans="2:15">
      <c r="B37" s="186"/>
      <c r="C37" s="187"/>
      <c r="D37" s="188"/>
      <c r="E37" s="188"/>
      <c r="F37" s="188"/>
      <c r="G37" s="188"/>
      <c r="H37" s="189"/>
      <c r="I37" s="188"/>
      <c r="J37" s="188"/>
      <c r="K37" s="189"/>
      <c r="L37" s="188"/>
      <c r="M37" s="189"/>
      <c r="N37" s="188"/>
      <c r="O37" s="189"/>
    </row>
    <row r="38" spans="2:15">
      <c r="B38" s="133" t="s">
        <v>268</v>
      </c>
      <c r="C38" s="155"/>
      <c r="D38" s="99" t="s">
        <v>269</v>
      </c>
      <c r="E38" s="99"/>
      <c r="F38" s="105"/>
      <c r="G38" s="105"/>
      <c r="H38" s="103"/>
      <c r="I38" s="103"/>
      <c r="J38" s="103"/>
      <c r="K38" s="103"/>
      <c r="L38" s="103"/>
      <c r="M38" s="962">
        <f>SUM(M18:M37)</f>
        <v>2790885.0615368774</v>
      </c>
      <c r="N38" s="962">
        <f>SUM(N18:N37)</f>
        <v>0</v>
      </c>
      <c r="O38" s="962">
        <f>SUM(O18:O37)</f>
        <v>2790885.0615368774</v>
      </c>
    </row>
    <row r="39" spans="2:15">
      <c r="B39" s="93"/>
      <c r="C39" s="184"/>
      <c r="D39" s="184"/>
      <c r="E39" s="184"/>
      <c r="F39" s="184"/>
      <c r="G39" s="184"/>
      <c r="H39" s="184"/>
      <c r="I39" s="184"/>
      <c r="J39" s="184"/>
      <c r="K39" s="184"/>
      <c r="L39" s="184"/>
      <c r="M39" s="963"/>
      <c r="N39" s="963"/>
      <c r="O39" s="963"/>
    </row>
    <row r="40" spans="2:15">
      <c r="B40" s="190">
        <v>3</v>
      </c>
      <c r="C40" s="184"/>
      <c r="D40" s="612" t="s">
        <v>699</v>
      </c>
      <c r="E40" s="184"/>
      <c r="F40" s="184"/>
      <c r="G40" s="184"/>
      <c r="H40" s="184"/>
      <c r="I40" s="184"/>
      <c r="J40" s="184"/>
      <c r="K40" s="184"/>
      <c r="L40" s="184"/>
      <c r="M40" s="962"/>
      <c r="N40" s="963"/>
      <c r="O40" s="962">
        <f>O38</f>
        <v>2790885.0615368774</v>
      </c>
    </row>
    <row r="41" spans="2:15">
      <c r="B41" s="184"/>
      <c r="C41" s="184"/>
      <c r="D41" s="184"/>
      <c r="E41" s="184"/>
      <c r="F41" s="184"/>
      <c r="G41" s="184"/>
      <c r="H41" s="184"/>
      <c r="I41" s="184"/>
      <c r="J41" s="184"/>
      <c r="K41" s="184"/>
      <c r="L41" s="184"/>
      <c r="M41" s="184"/>
      <c r="N41" s="184"/>
      <c r="O41" s="184"/>
    </row>
    <row r="42" spans="2:15">
      <c r="B42" s="184"/>
      <c r="C42" s="184"/>
      <c r="D42" s="184"/>
      <c r="E42" s="184"/>
      <c r="F42" s="184"/>
      <c r="G42" s="184"/>
      <c r="H42" s="184"/>
      <c r="I42" s="184"/>
      <c r="J42" s="184"/>
      <c r="K42" s="184"/>
      <c r="L42" s="184"/>
      <c r="M42" s="184"/>
      <c r="N42" s="184"/>
      <c r="O42" s="184"/>
    </row>
    <row r="43" spans="2:15">
      <c r="B43" s="98" t="s">
        <v>98</v>
      </c>
      <c r="C43" s="184"/>
      <c r="D43" s="184"/>
      <c r="E43" s="184"/>
      <c r="F43" s="184"/>
      <c r="G43" s="184"/>
      <c r="H43" s="184"/>
      <c r="I43" s="184"/>
      <c r="J43" s="184"/>
      <c r="K43" s="184"/>
      <c r="L43" s="184"/>
      <c r="M43" s="184"/>
      <c r="N43" s="184"/>
      <c r="O43" s="184"/>
    </row>
    <row r="44" spans="2:15" ht="15.75" thickBot="1">
      <c r="B44" s="191" t="s">
        <v>99</v>
      </c>
      <c r="C44" s="184"/>
      <c r="D44" s="184"/>
      <c r="E44" s="184"/>
      <c r="F44" s="184"/>
      <c r="G44" s="184"/>
      <c r="H44" s="184"/>
      <c r="I44" s="184"/>
      <c r="J44" s="184"/>
      <c r="K44" s="184"/>
      <c r="L44" s="184"/>
      <c r="M44" s="184"/>
      <c r="N44" s="184"/>
      <c r="O44" s="184"/>
    </row>
    <row r="45" spans="2:15">
      <c r="B45" s="192" t="s">
        <v>100</v>
      </c>
      <c r="C45" s="101"/>
      <c r="D45" s="1079" t="s">
        <v>667</v>
      </c>
      <c r="E45" s="1080"/>
      <c r="F45" s="1080"/>
      <c r="G45" s="1080"/>
      <c r="H45" s="1080"/>
      <c r="I45" s="1080"/>
      <c r="J45" s="1080"/>
      <c r="K45" s="1080"/>
      <c r="L45" s="1080"/>
      <c r="M45" s="1080"/>
      <c r="N45" s="1080"/>
      <c r="O45" s="1080"/>
    </row>
    <row r="46" spans="2:15">
      <c r="B46" s="192" t="s">
        <v>101</v>
      </c>
      <c r="C46" s="101"/>
      <c r="D46" s="1079" t="s">
        <v>668</v>
      </c>
      <c r="E46" s="1080"/>
      <c r="F46" s="1080"/>
      <c r="G46" s="1080"/>
      <c r="H46" s="1080"/>
      <c r="I46" s="1080"/>
      <c r="J46" s="1080"/>
      <c r="K46" s="1080"/>
      <c r="L46" s="1080"/>
      <c r="M46" s="1080"/>
      <c r="N46" s="1080"/>
      <c r="O46" s="1080"/>
    </row>
    <row r="47" spans="2:15" ht="27.75" customHeight="1">
      <c r="B47" s="193" t="s">
        <v>102</v>
      </c>
      <c r="C47" s="101"/>
      <c r="D47" s="1081" t="s">
        <v>270</v>
      </c>
      <c r="E47" s="1081"/>
      <c r="F47" s="1081"/>
      <c r="G47" s="1081"/>
      <c r="H47" s="1081"/>
      <c r="I47" s="1081"/>
      <c r="J47" s="1081"/>
      <c r="K47" s="1081"/>
      <c r="L47" s="1081"/>
      <c r="M47" s="1081"/>
      <c r="N47" s="1081"/>
      <c r="O47" s="1081"/>
    </row>
    <row r="48" spans="2:15" ht="15" customHeight="1">
      <c r="B48" s="193" t="s">
        <v>103</v>
      </c>
      <c r="C48" s="101"/>
      <c r="D48" s="1081" t="s">
        <v>271</v>
      </c>
      <c r="E48" s="1081"/>
      <c r="F48" s="1081"/>
      <c r="G48" s="1081"/>
      <c r="H48" s="1081"/>
      <c r="I48" s="1081"/>
      <c r="J48" s="1081"/>
      <c r="K48" s="1081"/>
      <c r="L48" s="1081"/>
      <c r="M48" s="1081"/>
      <c r="N48" s="1081"/>
      <c r="O48" s="1081"/>
    </row>
    <row r="49" spans="2:15">
      <c r="B49" s="192" t="s">
        <v>104</v>
      </c>
      <c r="C49" s="101"/>
      <c r="D49" s="1080" t="s">
        <v>334</v>
      </c>
      <c r="E49" s="1080"/>
      <c r="F49" s="1080"/>
      <c r="G49" s="1080"/>
      <c r="H49" s="1080"/>
      <c r="I49" s="1080"/>
      <c r="J49" s="1080"/>
      <c r="K49" s="1080"/>
      <c r="L49" s="1080"/>
      <c r="M49" s="1080"/>
      <c r="N49" s="1080"/>
      <c r="O49" s="1080"/>
    </row>
    <row r="50" spans="2:15">
      <c r="B50" s="192" t="s">
        <v>105</v>
      </c>
      <c r="C50" s="101"/>
      <c r="D50" s="1080" t="s">
        <v>272</v>
      </c>
      <c r="E50" s="1080"/>
      <c r="F50" s="1080"/>
      <c r="G50" s="1080"/>
      <c r="H50" s="1080"/>
      <c r="I50" s="1080"/>
      <c r="J50" s="1080"/>
      <c r="K50" s="1080"/>
      <c r="L50" s="1080"/>
      <c r="M50" s="1080"/>
      <c r="N50" s="1080"/>
      <c r="O50" s="1080"/>
    </row>
    <row r="51" spans="2:15">
      <c r="B51" s="192" t="s">
        <v>106</v>
      </c>
      <c r="C51" s="101"/>
      <c r="D51" s="1080" t="s">
        <v>273</v>
      </c>
      <c r="E51" s="1080"/>
      <c r="F51" s="1080"/>
      <c r="G51" s="1080"/>
      <c r="H51" s="1080"/>
      <c r="I51" s="1080"/>
      <c r="J51" s="1080"/>
      <c r="K51" s="1080"/>
      <c r="L51" s="1080"/>
      <c r="M51" s="1080"/>
      <c r="N51" s="1080"/>
      <c r="O51" s="1080"/>
    </row>
    <row r="52" spans="2:15">
      <c r="B52" s="383" t="s">
        <v>108</v>
      </c>
      <c r="C52" s="130"/>
      <c r="D52" s="1079" t="s">
        <v>358</v>
      </c>
      <c r="E52" s="1079"/>
      <c r="F52" s="1079"/>
      <c r="G52" s="1079"/>
      <c r="H52" s="1079"/>
      <c r="I52" s="1079"/>
      <c r="J52" s="1079"/>
      <c r="K52" s="1079"/>
      <c r="L52" s="1079"/>
      <c r="M52" s="1079"/>
      <c r="N52" s="1079"/>
      <c r="O52" s="1079"/>
    </row>
    <row r="53" spans="2:15" ht="15.75">
      <c r="B53" s="158"/>
      <c r="C53" s="194"/>
      <c r="D53" s="195"/>
      <c r="E53" s="154"/>
      <c r="F53" s="105"/>
      <c r="G53" s="105"/>
      <c r="H53" s="103"/>
      <c r="I53" s="98"/>
      <c r="J53" s="98"/>
      <c r="K53" s="144"/>
      <c r="L53" s="98"/>
      <c r="N53" s="103"/>
      <c r="O53" s="159"/>
    </row>
    <row r="54" spans="2:15" ht="15.75">
      <c r="B54" s="158"/>
      <c r="C54" s="194"/>
      <c r="D54" s="195"/>
      <c r="E54" s="154"/>
      <c r="F54" s="105"/>
      <c r="G54" s="105"/>
      <c r="H54" s="103"/>
      <c r="I54" s="98"/>
      <c r="J54" s="98"/>
      <c r="K54" s="144"/>
      <c r="L54" s="98"/>
      <c r="N54" s="103"/>
      <c r="O54" s="146"/>
    </row>
    <row r="55" spans="2:15">
      <c r="D55" s="184"/>
      <c r="E55" s="184"/>
      <c r="F55" s="184"/>
      <c r="G55" s="184"/>
      <c r="H55" s="184"/>
      <c r="I55" s="184"/>
      <c r="J55" s="184"/>
      <c r="K55" s="184"/>
      <c r="L55" s="184"/>
      <c r="M55" s="184"/>
      <c r="N55" s="184"/>
      <c r="O55" s="184"/>
    </row>
    <row r="56" spans="2:15">
      <c r="D56" s="184"/>
      <c r="E56" s="184"/>
      <c r="F56" s="184"/>
      <c r="G56" s="184"/>
      <c r="H56" s="184"/>
      <c r="I56" s="184"/>
      <c r="J56" s="184"/>
      <c r="K56" s="184"/>
      <c r="L56" s="184"/>
      <c r="M56" s="184"/>
      <c r="N56" s="184"/>
      <c r="O56" s="184"/>
    </row>
    <row r="57" spans="2:15">
      <c r="D57" s="184"/>
      <c r="E57" s="184"/>
      <c r="F57" s="184"/>
      <c r="G57" s="184"/>
      <c r="H57" s="184"/>
      <c r="I57" s="184"/>
      <c r="J57" s="184"/>
      <c r="K57" s="184"/>
      <c r="L57" s="184"/>
      <c r="M57" s="184"/>
      <c r="N57" s="184"/>
      <c r="O57" s="184"/>
    </row>
    <row r="58" spans="2:15">
      <c r="D58" s="184"/>
      <c r="E58" s="184"/>
      <c r="F58" s="184"/>
      <c r="G58" s="184"/>
      <c r="H58" s="184"/>
      <c r="I58" s="184"/>
      <c r="J58" s="184"/>
      <c r="K58" s="184"/>
      <c r="L58" s="184"/>
      <c r="M58" s="184"/>
      <c r="N58" s="184"/>
      <c r="O58" s="184"/>
    </row>
    <row r="59" spans="2:15">
      <c r="D59" s="184"/>
      <c r="E59" s="184"/>
      <c r="F59" s="184"/>
      <c r="G59" s="184"/>
      <c r="H59" s="184"/>
      <c r="I59" s="184"/>
      <c r="J59" s="184"/>
      <c r="K59" s="184"/>
      <c r="L59" s="184"/>
      <c r="M59" s="184"/>
      <c r="N59" s="184"/>
      <c r="O59" s="184"/>
    </row>
    <row r="60" spans="2:15">
      <c r="D60" s="184"/>
      <c r="E60" s="184"/>
      <c r="F60" s="184"/>
      <c r="G60" s="184"/>
      <c r="H60" s="184"/>
      <c r="I60" s="184"/>
      <c r="J60" s="184"/>
      <c r="K60" s="184"/>
      <c r="L60" s="184"/>
      <c r="M60" s="184"/>
      <c r="N60" s="184"/>
      <c r="O60" s="184"/>
    </row>
    <row r="61" spans="2:15">
      <c r="D61" s="184"/>
      <c r="E61" s="184"/>
      <c r="F61" s="184"/>
      <c r="G61" s="184"/>
      <c r="H61" s="184"/>
      <c r="I61" s="184"/>
      <c r="J61" s="184"/>
      <c r="K61" s="184"/>
      <c r="L61" s="184"/>
      <c r="M61" s="184"/>
      <c r="N61" s="184"/>
      <c r="O61" s="184"/>
    </row>
    <row r="62" spans="2:15">
      <c r="D62" s="184"/>
      <c r="E62" s="184"/>
      <c r="F62" s="184"/>
      <c r="G62" s="184"/>
      <c r="H62" s="184"/>
      <c r="I62" s="184"/>
      <c r="J62" s="184"/>
      <c r="K62" s="184"/>
      <c r="L62" s="184"/>
      <c r="M62" s="184"/>
      <c r="N62" s="184"/>
      <c r="O62" s="184"/>
    </row>
    <row r="63" spans="2:15">
      <c r="D63" s="184"/>
      <c r="E63" s="184"/>
      <c r="F63" s="184"/>
      <c r="G63" s="184"/>
      <c r="H63" s="184"/>
      <c r="I63" s="184"/>
      <c r="J63" s="184"/>
      <c r="K63" s="184"/>
      <c r="L63" s="184"/>
      <c r="M63" s="184"/>
      <c r="N63" s="184"/>
      <c r="O63" s="184"/>
    </row>
    <row r="64" spans="2:15">
      <c r="D64" s="184"/>
      <c r="E64" s="184"/>
      <c r="F64" s="184"/>
      <c r="G64" s="184"/>
      <c r="H64" s="184"/>
      <c r="I64" s="184"/>
      <c r="J64" s="184"/>
      <c r="K64" s="184"/>
      <c r="L64" s="184"/>
      <c r="M64" s="184"/>
      <c r="N64" s="184"/>
      <c r="O64" s="184"/>
    </row>
    <row r="65" spans="4:15">
      <c r="D65" s="184"/>
      <c r="E65" s="184"/>
      <c r="F65" s="184"/>
      <c r="G65" s="184"/>
      <c r="H65" s="184"/>
      <c r="I65" s="184"/>
      <c r="J65" s="184"/>
      <c r="K65" s="184"/>
      <c r="L65" s="184"/>
      <c r="M65" s="184"/>
      <c r="N65" s="184"/>
      <c r="O65" s="184"/>
    </row>
    <row r="66" spans="4:15">
      <c r="D66" s="184"/>
      <c r="E66" s="184"/>
      <c r="F66" s="184"/>
      <c r="G66" s="184"/>
      <c r="H66" s="184"/>
      <c r="I66" s="184"/>
      <c r="J66" s="184"/>
      <c r="K66" s="184"/>
      <c r="L66" s="184"/>
      <c r="M66" s="184"/>
      <c r="N66" s="184"/>
      <c r="O66" s="184"/>
    </row>
    <row r="67" spans="4:15">
      <c r="D67" s="184"/>
      <c r="E67" s="184"/>
      <c r="F67" s="184"/>
      <c r="G67" s="184"/>
      <c r="H67" s="184"/>
      <c r="I67" s="184"/>
      <c r="J67" s="184"/>
      <c r="K67" s="184"/>
      <c r="L67" s="184"/>
      <c r="M67" s="184"/>
      <c r="N67" s="184"/>
      <c r="O67" s="184"/>
    </row>
    <row r="68" spans="4:15">
      <c r="D68" s="184"/>
      <c r="E68" s="184"/>
      <c r="F68" s="184"/>
      <c r="G68" s="184"/>
      <c r="H68" s="184"/>
      <c r="I68" s="184"/>
      <c r="J68" s="184"/>
      <c r="K68" s="184"/>
      <c r="L68" s="184"/>
      <c r="M68" s="184"/>
      <c r="N68" s="184"/>
      <c r="O68" s="184"/>
    </row>
    <row r="69" spans="4:15">
      <c r="D69" s="184"/>
      <c r="E69" s="184"/>
      <c r="F69" s="184"/>
      <c r="G69" s="184"/>
      <c r="H69" s="184"/>
      <c r="I69" s="184"/>
      <c r="J69" s="184"/>
      <c r="K69" s="184"/>
      <c r="L69" s="184"/>
      <c r="M69" s="184"/>
      <c r="N69" s="184"/>
      <c r="O69" s="184"/>
    </row>
    <row r="70" spans="4:15">
      <c r="D70" s="184"/>
      <c r="E70" s="184"/>
      <c r="F70" s="184"/>
      <c r="G70" s="184"/>
      <c r="H70" s="184"/>
      <c r="I70" s="184"/>
      <c r="J70" s="184"/>
      <c r="K70" s="184"/>
      <c r="L70" s="184"/>
      <c r="M70" s="184"/>
      <c r="N70" s="184"/>
      <c r="O70" s="184"/>
    </row>
    <row r="71" spans="4:15">
      <c r="D71" s="184"/>
      <c r="E71" s="184"/>
      <c r="F71" s="184"/>
      <c r="G71" s="184"/>
      <c r="H71" s="184"/>
      <c r="I71" s="184"/>
      <c r="J71" s="184"/>
      <c r="K71" s="184"/>
      <c r="L71" s="184"/>
      <c r="M71" s="184"/>
      <c r="N71" s="184"/>
      <c r="O71" s="184"/>
    </row>
    <row r="72" spans="4:15">
      <c r="D72" s="184"/>
      <c r="E72" s="184"/>
      <c r="F72" s="184"/>
      <c r="G72" s="184"/>
      <c r="H72" s="184"/>
      <c r="I72" s="184"/>
      <c r="J72" s="184"/>
      <c r="K72" s="184"/>
      <c r="L72" s="184"/>
      <c r="M72" s="184"/>
      <c r="N72" s="184"/>
      <c r="O72" s="184"/>
    </row>
    <row r="73" spans="4:15">
      <c r="D73" s="184"/>
      <c r="E73" s="184"/>
      <c r="F73" s="184"/>
      <c r="G73" s="184"/>
      <c r="H73" s="184"/>
      <c r="I73" s="184"/>
      <c r="J73" s="184"/>
      <c r="K73" s="184"/>
      <c r="L73" s="184"/>
      <c r="M73" s="184"/>
      <c r="N73" s="184"/>
      <c r="O73" s="184"/>
    </row>
    <row r="74" spans="4:15">
      <c r="D74" s="184"/>
      <c r="E74" s="184"/>
      <c r="F74" s="184"/>
      <c r="G74" s="184"/>
      <c r="H74" s="184"/>
      <c r="I74" s="184"/>
      <c r="J74" s="184"/>
      <c r="K74" s="184"/>
      <c r="L74" s="184"/>
      <c r="M74" s="184"/>
      <c r="N74" s="184"/>
      <c r="O74" s="184"/>
    </row>
    <row r="75" spans="4:15">
      <c r="D75" s="184"/>
      <c r="E75" s="184"/>
      <c r="F75" s="184"/>
      <c r="G75" s="184"/>
      <c r="H75" s="184"/>
      <c r="I75" s="184"/>
      <c r="J75" s="184"/>
      <c r="K75" s="184"/>
      <c r="L75" s="184"/>
      <c r="M75" s="184"/>
      <c r="N75" s="184"/>
      <c r="O75" s="184"/>
    </row>
    <row r="76" spans="4:15">
      <c r="D76" s="184"/>
      <c r="E76" s="184"/>
      <c r="F76" s="184"/>
      <c r="G76" s="184"/>
      <c r="H76" s="184"/>
      <c r="I76" s="184"/>
      <c r="J76" s="184"/>
      <c r="K76" s="184"/>
      <c r="L76" s="184"/>
      <c r="M76" s="184"/>
      <c r="N76" s="184"/>
      <c r="O76" s="184"/>
    </row>
    <row r="77" spans="4:15">
      <c r="D77" s="184"/>
      <c r="E77" s="184"/>
      <c r="F77" s="184"/>
      <c r="G77" s="184"/>
      <c r="H77" s="184"/>
      <c r="I77" s="184"/>
      <c r="J77" s="184"/>
      <c r="K77" s="184"/>
      <c r="L77" s="184"/>
      <c r="M77" s="184"/>
      <c r="N77" s="184"/>
      <c r="O77" s="184"/>
    </row>
    <row r="78" spans="4:15">
      <c r="D78" s="184"/>
      <c r="E78" s="184"/>
      <c r="F78" s="184"/>
      <c r="G78" s="184"/>
      <c r="H78" s="184"/>
      <c r="I78" s="184"/>
      <c r="J78" s="184"/>
      <c r="K78" s="184"/>
      <c r="L78" s="184"/>
      <c r="M78" s="184"/>
      <c r="N78" s="184"/>
      <c r="O78" s="184"/>
    </row>
    <row r="79" spans="4:15">
      <c r="D79" s="184"/>
      <c r="E79" s="184"/>
      <c r="F79" s="184"/>
      <c r="G79" s="184"/>
      <c r="H79" s="184"/>
      <c r="I79" s="184"/>
      <c r="J79" s="184"/>
      <c r="K79" s="184"/>
      <c r="L79" s="184"/>
      <c r="M79" s="184"/>
      <c r="N79" s="184"/>
      <c r="O79" s="184"/>
    </row>
    <row r="80" spans="4:15">
      <c r="D80" s="184"/>
      <c r="E80" s="184"/>
      <c r="F80" s="184"/>
      <c r="G80" s="184"/>
      <c r="H80" s="184"/>
      <c r="I80" s="184"/>
      <c r="J80" s="184"/>
      <c r="K80" s="184"/>
      <c r="L80" s="184"/>
      <c r="M80" s="184"/>
      <c r="N80" s="184"/>
      <c r="O80" s="184"/>
    </row>
    <row r="81" spans="1:15">
      <c r="D81" s="184"/>
      <c r="E81" s="184"/>
      <c r="F81" s="184"/>
      <c r="G81" s="184"/>
      <c r="H81" s="184"/>
      <c r="I81" s="184"/>
      <c r="J81" s="184"/>
      <c r="K81" s="184"/>
      <c r="L81" s="184"/>
      <c r="M81" s="184"/>
      <c r="N81" s="184"/>
      <c r="O81" s="184"/>
    </row>
    <row r="82" spans="1:15">
      <c r="D82" s="184"/>
      <c r="E82" s="184"/>
      <c r="F82" s="184"/>
      <c r="G82" s="184"/>
      <c r="H82" s="184"/>
      <c r="I82" s="184"/>
      <c r="J82" s="184"/>
      <c r="K82" s="184"/>
      <c r="L82" s="184"/>
      <c r="M82" s="184"/>
      <c r="N82" s="184"/>
      <c r="O82" s="184"/>
    </row>
    <row r="83" spans="1:15">
      <c r="D83" s="184"/>
      <c r="E83" s="184"/>
      <c r="F83" s="184"/>
      <c r="G83" s="184"/>
      <c r="H83" s="184"/>
      <c r="I83" s="184"/>
      <c r="J83" s="184"/>
      <c r="K83" s="184"/>
      <c r="L83" s="184"/>
      <c r="M83" s="184"/>
      <c r="N83" s="184"/>
      <c r="O83" s="184"/>
    </row>
    <row r="84" spans="1:15">
      <c r="D84" s="184"/>
      <c r="E84" s="184"/>
      <c r="F84" s="184"/>
      <c r="G84" s="184"/>
      <c r="H84" s="184"/>
      <c r="I84" s="184"/>
      <c r="J84" s="184"/>
      <c r="K84" s="184"/>
      <c r="L84" s="184"/>
      <c r="M84" s="184"/>
      <c r="N84" s="184"/>
      <c r="O84" s="184"/>
    </row>
    <row r="85" spans="1:15">
      <c r="D85" s="184"/>
      <c r="E85" s="184"/>
      <c r="F85" s="184"/>
      <c r="G85" s="184"/>
      <c r="H85" s="184"/>
      <c r="I85" s="184"/>
      <c r="J85" s="184"/>
      <c r="K85" s="184"/>
      <c r="L85" s="184"/>
      <c r="M85" s="184"/>
      <c r="N85" s="184"/>
      <c r="O85" s="184"/>
    </row>
    <row r="86" spans="1:15">
      <c r="D86" s="184"/>
      <c r="E86" s="184"/>
      <c r="F86" s="184"/>
      <c r="G86" s="184"/>
      <c r="H86" s="184"/>
      <c r="I86" s="184"/>
      <c r="J86" s="184"/>
      <c r="K86" s="184"/>
      <c r="L86" s="184"/>
      <c r="M86" s="184"/>
      <c r="N86" s="184"/>
      <c r="O86" s="184"/>
    </row>
    <row r="87" spans="1:15">
      <c r="D87" s="184"/>
      <c r="E87" s="184"/>
      <c r="F87" s="184"/>
      <c r="G87" s="184"/>
      <c r="H87" s="184"/>
      <c r="I87" s="184"/>
      <c r="J87" s="184"/>
      <c r="K87" s="184"/>
      <c r="L87" s="184"/>
      <c r="M87" s="184"/>
      <c r="N87" s="184"/>
      <c r="O87" s="184"/>
    </row>
    <row r="88" spans="1:15">
      <c r="D88" s="184"/>
      <c r="E88" s="184"/>
      <c r="F88" s="184"/>
      <c r="G88" s="184"/>
      <c r="H88" s="184"/>
      <c r="I88" s="184"/>
      <c r="J88" s="184"/>
      <c r="K88" s="184"/>
      <c r="L88" s="184"/>
      <c r="M88" s="184"/>
      <c r="N88" s="184"/>
      <c r="O88" s="184"/>
    </row>
    <row r="89" spans="1:15">
      <c r="D89" s="184"/>
      <c r="E89" s="184"/>
      <c r="F89" s="184"/>
      <c r="G89" s="184"/>
      <c r="H89" s="184"/>
      <c r="I89" s="184"/>
      <c r="J89" s="184"/>
      <c r="K89" s="184"/>
      <c r="L89" s="184"/>
      <c r="M89" s="184"/>
      <c r="N89" s="184"/>
      <c r="O89" s="184"/>
    </row>
    <row r="90" spans="1:15">
      <c r="D90" s="184"/>
      <c r="E90" s="184"/>
      <c r="F90" s="184"/>
      <c r="G90" s="184"/>
      <c r="H90" s="184"/>
      <c r="I90" s="184"/>
      <c r="J90" s="184"/>
      <c r="K90" s="184"/>
      <c r="L90" s="184"/>
      <c r="M90" s="184"/>
      <c r="N90" s="184"/>
      <c r="O90" s="184"/>
    </row>
    <row r="91" spans="1:15">
      <c r="D91" s="184"/>
      <c r="E91" s="184"/>
      <c r="F91" s="184"/>
      <c r="G91" s="184"/>
      <c r="H91" s="184"/>
      <c r="I91" s="184"/>
      <c r="J91" s="184"/>
      <c r="K91" s="184"/>
      <c r="L91" s="184"/>
      <c r="M91" s="184"/>
      <c r="N91" s="184"/>
      <c r="O91" s="184"/>
    </row>
    <row r="92" spans="1:15">
      <c r="A92" s="184"/>
      <c r="B92" s="184"/>
    </row>
    <row r="93" spans="1:15">
      <c r="A93" s="184"/>
      <c r="B93" s="184"/>
    </row>
    <row r="94" spans="1:15">
      <c r="A94" s="184"/>
      <c r="B94" s="184"/>
    </row>
    <row r="95" spans="1:15">
      <c r="A95" s="184"/>
      <c r="B95" s="184"/>
    </row>
    <row r="96" spans="1:15">
      <c r="A96" s="184"/>
      <c r="B96" s="184"/>
    </row>
    <row r="97" spans="1:2">
      <c r="A97" s="184"/>
      <c r="B97" s="184"/>
    </row>
    <row r="98" spans="1:2">
      <c r="A98" s="184"/>
      <c r="B98" s="184"/>
    </row>
    <row r="99" spans="1:2">
      <c r="A99" s="184"/>
      <c r="B99" s="184"/>
    </row>
    <row r="100" spans="1:2">
      <c r="A100" s="184"/>
      <c r="B100" s="184"/>
    </row>
    <row r="101" spans="1:2">
      <c r="A101" s="184"/>
      <c r="B101" s="184"/>
    </row>
    <row r="102" spans="1:2">
      <c r="A102" s="184"/>
      <c r="B102" s="184"/>
    </row>
    <row r="103" spans="1:2">
      <c r="A103" s="184"/>
      <c r="B103" s="184"/>
    </row>
    <row r="104" spans="1:2">
      <c r="A104" s="184"/>
      <c r="B104" s="184"/>
    </row>
    <row r="105" spans="1:2">
      <c r="A105" s="184"/>
      <c r="B105" s="184"/>
    </row>
    <row r="106" spans="1:2">
      <c r="A106" s="184"/>
      <c r="B106" s="184"/>
    </row>
    <row r="107" spans="1:2">
      <c r="A107" s="184"/>
      <c r="B107" s="184"/>
    </row>
    <row r="108" spans="1:2">
      <c r="A108" s="184"/>
      <c r="B108" s="184"/>
    </row>
    <row r="109" spans="1:2">
      <c r="A109" s="184"/>
      <c r="B109" s="184"/>
    </row>
    <row r="110" spans="1:2">
      <c r="A110" s="184"/>
      <c r="B110" s="184"/>
    </row>
    <row r="111" spans="1:2">
      <c r="A111" s="184"/>
      <c r="B111" s="184"/>
    </row>
    <row r="112" spans="1:2">
      <c r="A112" s="184"/>
      <c r="B112" s="184"/>
    </row>
    <row r="113" spans="1:2">
      <c r="A113" s="184"/>
      <c r="B113" s="184"/>
    </row>
    <row r="114" spans="1:2">
      <c r="A114" s="184"/>
      <c r="B114" s="184"/>
    </row>
    <row r="115" spans="1:2">
      <c r="A115" s="184"/>
      <c r="B115" s="184"/>
    </row>
    <row r="116" spans="1:2">
      <c r="A116" s="184"/>
      <c r="B116" s="184"/>
    </row>
    <row r="117" spans="1:2">
      <c r="A117" s="184"/>
      <c r="B117" s="184"/>
    </row>
    <row r="118" spans="1:2">
      <c r="A118" s="184"/>
      <c r="B118" s="184"/>
    </row>
    <row r="119" spans="1:2">
      <c r="A119" s="184"/>
      <c r="B119" s="184"/>
    </row>
    <row r="120" spans="1:2">
      <c r="A120" s="184"/>
      <c r="B120" s="184"/>
    </row>
    <row r="121" spans="1:2">
      <c r="A121" s="184"/>
      <c r="B121" s="184"/>
    </row>
    <row r="122" spans="1:2">
      <c r="A122" s="184"/>
      <c r="B122" s="184"/>
    </row>
    <row r="123" spans="1:2">
      <c r="A123" s="184"/>
      <c r="B123" s="184"/>
    </row>
    <row r="124" spans="1:2">
      <c r="A124" s="184"/>
      <c r="B124" s="184"/>
    </row>
    <row r="125" spans="1:2">
      <c r="A125" s="184"/>
      <c r="B125" s="184"/>
    </row>
    <row r="126" spans="1:2">
      <c r="A126" s="184"/>
      <c r="B126" s="184"/>
    </row>
    <row r="127" spans="1:2">
      <c r="A127" s="184"/>
      <c r="B127" s="184"/>
    </row>
    <row r="128" spans="1:2">
      <c r="A128" s="184"/>
      <c r="B128" s="184"/>
    </row>
    <row r="129" spans="1:2">
      <c r="A129" s="184"/>
      <c r="B129" s="184"/>
    </row>
    <row r="130" spans="1:2">
      <c r="A130" s="184"/>
      <c r="B130" s="184"/>
    </row>
    <row r="131" spans="1:2">
      <c r="A131" s="184"/>
      <c r="B131" s="184"/>
    </row>
    <row r="132" spans="1:2">
      <c r="A132" s="184"/>
      <c r="B132" s="184"/>
    </row>
    <row r="133" spans="1:2">
      <c r="A133" s="184"/>
      <c r="B133" s="184"/>
    </row>
    <row r="134" spans="1:2">
      <c r="A134" s="184"/>
      <c r="B134" s="184"/>
    </row>
    <row r="135" spans="1:2">
      <c r="A135" s="184"/>
      <c r="B135" s="184"/>
    </row>
    <row r="136" spans="1:2">
      <c r="A136" s="184"/>
      <c r="B136" s="184"/>
    </row>
    <row r="137" spans="1:2">
      <c r="A137" s="184"/>
      <c r="B137" s="184"/>
    </row>
    <row r="138" spans="1:2">
      <c r="A138" s="184"/>
      <c r="B138" s="184"/>
    </row>
    <row r="139" spans="1:2">
      <c r="A139" s="184"/>
      <c r="B139" s="184"/>
    </row>
    <row r="140" spans="1:2">
      <c r="A140" s="184"/>
      <c r="B140" s="184"/>
    </row>
    <row r="141" spans="1:2">
      <c r="A141" s="184"/>
      <c r="B141" s="184"/>
    </row>
    <row r="142" spans="1:2">
      <c r="A142" s="184"/>
      <c r="B142" s="184"/>
    </row>
    <row r="143" spans="1:2">
      <c r="A143" s="184"/>
      <c r="B143" s="184"/>
    </row>
    <row r="144" spans="1:2">
      <c r="A144" s="184"/>
      <c r="B144" s="184"/>
    </row>
    <row r="145" spans="1:2">
      <c r="A145" s="184"/>
      <c r="B145" s="184"/>
    </row>
    <row r="146" spans="1:2">
      <c r="A146" s="184"/>
      <c r="B146" s="184"/>
    </row>
    <row r="147" spans="1:2">
      <c r="A147" s="184"/>
      <c r="B147" s="184"/>
    </row>
    <row r="148" spans="1:2">
      <c r="A148" s="184"/>
      <c r="B148" s="184"/>
    </row>
    <row r="149" spans="1:2">
      <c r="A149" s="184"/>
      <c r="B149" s="184"/>
    </row>
    <row r="150" spans="1:2">
      <c r="A150" s="184"/>
      <c r="B150" s="184"/>
    </row>
    <row r="151" spans="1:2">
      <c r="A151" s="184"/>
      <c r="B151" s="184"/>
    </row>
    <row r="152" spans="1:2">
      <c r="A152" s="184"/>
      <c r="B152" s="184"/>
    </row>
    <row r="153" spans="1:2">
      <c r="A153" s="184"/>
      <c r="B153" s="184"/>
    </row>
    <row r="154" spans="1:2">
      <c r="A154" s="184"/>
      <c r="B154" s="184"/>
    </row>
    <row r="155" spans="1:2">
      <c r="A155" s="184"/>
      <c r="B155" s="184"/>
    </row>
    <row r="156" spans="1:2">
      <c r="A156" s="184"/>
      <c r="B156" s="184"/>
    </row>
    <row r="157" spans="1:2">
      <c r="A157" s="184"/>
      <c r="B157" s="184"/>
    </row>
    <row r="158" spans="1:2">
      <c r="A158" s="184"/>
      <c r="B158" s="184"/>
    </row>
    <row r="159" spans="1:2">
      <c r="A159" s="184"/>
      <c r="B159" s="184"/>
    </row>
    <row r="160" spans="1:2">
      <c r="A160" s="184"/>
      <c r="B160" s="184"/>
    </row>
    <row r="161" spans="1:2">
      <c r="A161" s="184"/>
      <c r="B161" s="184"/>
    </row>
    <row r="162" spans="1:2">
      <c r="A162" s="184"/>
      <c r="B162" s="184"/>
    </row>
    <row r="163" spans="1:2">
      <c r="A163" s="184"/>
      <c r="B163" s="184"/>
    </row>
    <row r="164" spans="1:2">
      <c r="A164" s="184"/>
      <c r="B164" s="184"/>
    </row>
    <row r="165" spans="1:2">
      <c r="A165" s="184"/>
      <c r="B165" s="184"/>
    </row>
    <row r="166" spans="1:2">
      <c r="A166" s="184"/>
      <c r="B166" s="184"/>
    </row>
    <row r="167" spans="1:2">
      <c r="A167" s="184"/>
      <c r="B167" s="184"/>
    </row>
    <row r="168" spans="1:2">
      <c r="A168" s="184"/>
      <c r="B168" s="184"/>
    </row>
    <row r="169" spans="1:2">
      <c r="A169" s="184"/>
      <c r="B169" s="184"/>
    </row>
    <row r="170" spans="1:2">
      <c r="A170" s="184"/>
      <c r="B170" s="184"/>
    </row>
    <row r="171" spans="1:2">
      <c r="A171" s="184"/>
      <c r="B171" s="184"/>
    </row>
    <row r="172" spans="1:2">
      <c r="A172" s="184"/>
      <c r="B172" s="184"/>
    </row>
    <row r="173" spans="1:2">
      <c r="A173" s="184"/>
      <c r="B173" s="184"/>
    </row>
    <row r="174" spans="1:2">
      <c r="A174" s="184"/>
      <c r="B174" s="184"/>
    </row>
    <row r="175" spans="1:2">
      <c r="A175" s="184"/>
      <c r="B175" s="184"/>
    </row>
    <row r="176" spans="1:2">
      <c r="A176" s="184"/>
      <c r="B176" s="184"/>
    </row>
    <row r="177" spans="1:2">
      <c r="A177" s="184"/>
      <c r="B177" s="184"/>
    </row>
    <row r="178" spans="1:2">
      <c r="A178" s="184"/>
      <c r="B178" s="184"/>
    </row>
    <row r="179" spans="1:2">
      <c r="A179" s="184"/>
      <c r="B179" s="184"/>
    </row>
    <row r="180" spans="1:2">
      <c r="A180" s="184"/>
      <c r="B180" s="184"/>
    </row>
    <row r="181" spans="1:2">
      <c r="A181" s="184"/>
      <c r="B181" s="184"/>
    </row>
    <row r="182" spans="1:2">
      <c r="A182" s="184"/>
      <c r="B182" s="184"/>
    </row>
    <row r="183" spans="1:2">
      <c r="A183" s="184"/>
      <c r="B183" s="184"/>
    </row>
    <row r="184" spans="1:2">
      <c r="A184" s="184"/>
      <c r="B184" s="184"/>
    </row>
    <row r="185" spans="1:2">
      <c r="A185" s="184"/>
      <c r="B185" s="184"/>
    </row>
    <row r="186" spans="1:2">
      <c r="A186" s="184"/>
      <c r="B186" s="184"/>
    </row>
    <row r="187" spans="1:2">
      <c r="A187" s="184"/>
      <c r="B187" s="184"/>
    </row>
    <row r="188" spans="1:2">
      <c r="A188" s="184"/>
      <c r="B188" s="184"/>
    </row>
    <row r="189" spans="1:2">
      <c r="A189" s="184"/>
      <c r="B189" s="184"/>
    </row>
    <row r="190" spans="1:2">
      <c r="A190" s="184"/>
      <c r="B190" s="184"/>
    </row>
    <row r="191" spans="1:2">
      <c r="A191" s="184"/>
      <c r="B191" s="184"/>
    </row>
    <row r="192" spans="1:2">
      <c r="A192" s="184"/>
      <c r="B192" s="184"/>
    </row>
    <row r="193" spans="1:2">
      <c r="A193" s="184"/>
      <c r="B193" s="184"/>
    </row>
    <row r="194" spans="1:2">
      <c r="A194" s="184"/>
      <c r="B194" s="184"/>
    </row>
    <row r="195" spans="1:2">
      <c r="A195" s="184"/>
      <c r="B195" s="184"/>
    </row>
    <row r="196" spans="1:2">
      <c r="A196" s="184"/>
      <c r="B196" s="184"/>
    </row>
    <row r="197" spans="1:2">
      <c r="A197" s="184"/>
      <c r="B197" s="184"/>
    </row>
    <row r="198" spans="1:2">
      <c r="A198" s="184"/>
      <c r="B198" s="184"/>
    </row>
    <row r="199" spans="1:2">
      <c r="A199" s="184"/>
      <c r="B199" s="184"/>
    </row>
    <row r="200" spans="1:2">
      <c r="A200" s="184"/>
      <c r="B200" s="184"/>
    </row>
    <row r="201" spans="1:2">
      <c r="A201" s="184"/>
      <c r="B201" s="184"/>
    </row>
    <row r="202" spans="1:2">
      <c r="A202" s="184"/>
      <c r="B202" s="184"/>
    </row>
    <row r="203" spans="1:2">
      <c r="A203" s="184"/>
      <c r="B203" s="184"/>
    </row>
    <row r="204" spans="1:2">
      <c r="A204" s="184"/>
      <c r="B204" s="184"/>
    </row>
    <row r="205" spans="1:2">
      <c r="A205" s="184"/>
      <c r="B205" s="184"/>
    </row>
    <row r="206" spans="1:2">
      <c r="A206" s="184"/>
      <c r="B206" s="184"/>
    </row>
    <row r="207" spans="1:2">
      <c r="A207" s="184"/>
      <c r="B207" s="184"/>
    </row>
    <row r="208" spans="1:2">
      <c r="A208" s="184"/>
      <c r="B208" s="184"/>
    </row>
    <row r="209" spans="1:2">
      <c r="A209" s="184"/>
      <c r="B209" s="184"/>
    </row>
    <row r="210" spans="1:2">
      <c r="A210" s="184"/>
      <c r="B210" s="184"/>
    </row>
    <row r="211" spans="1:2">
      <c r="A211" s="184"/>
      <c r="B211" s="184"/>
    </row>
    <row r="212" spans="1:2">
      <c r="A212" s="184"/>
      <c r="B212" s="184"/>
    </row>
    <row r="213" spans="1:2">
      <c r="A213" s="184"/>
      <c r="B213" s="184"/>
    </row>
    <row r="214" spans="1:2">
      <c r="A214" s="184"/>
      <c r="B214" s="184"/>
    </row>
    <row r="215" spans="1:2">
      <c r="A215" s="184"/>
      <c r="B215" s="184"/>
    </row>
    <row r="216" spans="1:2">
      <c r="A216" s="184"/>
      <c r="B216" s="184"/>
    </row>
    <row r="217" spans="1:2">
      <c r="A217" s="184"/>
      <c r="B217" s="184"/>
    </row>
    <row r="218" spans="1:2">
      <c r="A218" s="184"/>
      <c r="B218" s="184"/>
    </row>
    <row r="219" spans="1:2">
      <c r="A219" s="184"/>
      <c r="B219" s="184"/>
    </row>
    <row r="220" spans="1:2">
      <c r="A220" s="184"/>
      <c r="B220" s="184"/>
    </row>
    <row r="221" spans="1:2">
      <c r="A221" s="184"/>
      <c r="B221" s="184"/>
    </row>
    <row r="222" spans="1:2">
      <c r="A222" s="184"/>
      <c r="B222" s="184"/>
    </row>
    <row r="223" spans="1:2">
      <c r="A223" s="184"/>
      <c r="B223" s="184"/>
    </row>
    <row r="224" spans="1:2">
      <c r="A224" s="184"/>
      <c r="B224" s="184"/>
    </row>
    <row r="225" spans="1:2">
      <c r="A225" s="184"/>
      <c r="B225" s="184"/>
    </row>
    <row r="226" spans="1:2">
      <c r="A226" s="184"/>
      <c r="B226" s="184"/>
    </row>
    <row r="227" spans="1:2">
      <c r="A227" s="184"/>
      <c r="B227" s="184"/>
    </row>
    <row r="228" spans="1:2">
      <c r="A228" s="184"/>
      <c r="B228" s="184"/>
    </row>
    <row r="229" spans="1:2">
      <c r="A229" s="184"/>
      <c r="B229" s="184"/>
    </row>
    <row r="230" spans="1:2">
      <c r="A230" s="184"/>
      <c r="B230" s="184"/>
    </row>
    <row r="231" spans="1:2">
      <c r="A231" s="184"/>
      <c r="B231" s="184"/>
    </row>
    <row r="232" spans="1:2">
      <c r="A232" s="184"/>
      <c r="B232" s="184"/>
    </row>
    <row r="233" spans="1:2">
      <c r="A233" s="184"/>
      <c r="B233" s="184"/>
    </row>
    <row r="234" spans="1:2">
      <c r="A234" s="184"/>
      <c r="B234" s="184"/>
    </row>
    <row r="235" spans="1:2">
      <c r="A235" s="184"/>
      <c r="B235" s="184"/>
    </row>
    <row r="236" spans="1:2">
      <c r="A236" s="184"/>
      <c r="B236" s="184"/>
    </row>
    <row r="237" spans="1:2">
      <c r="A237" s="184"/>
      <c r="B237" s="184"/>
    </row>
    <row r="238" spans="1:2">
      <c r="A238" s="184"/>
      <c r="B238" s="184"/>
    </row>
    <row r="239" spans="1:2">
      <c r="A239" s="184"/>
      <c r="B239" s="184"/>
    </row>
    <row r="240" spans="1:2">
      <c r="A240" s="184"/>
      <c r="B240" s="184"/>
    </row>
    <row r="241" spans="1:2">
      <c r="A241" s="184"/>
      <c r="B241" s="184"/>
    </row>
    <row r="242" spans="1:2">
      <c r="A242" s="184"/>
      <c r="B242" s="184"/>
    </row>
    <row r="243" spans="1:2">
      <c r="A243" s="184"/>
    </row>
    <row r="244" spans="1:2">
      <c r="A244" s="184"/>
    </row>
    <row r="245" spans="1:2">
      <c r="A245" s="184"/>
    </row>
    <row r="246" spans="1:2">
      <c r="A246" s="184"/>
    </row>
    <row r="247" spans="1:2">
      <c r="A247" s="184"/>
    </row>
    <row r="248" spans="1:2">
      <c r="A248" s="184"/>
    </row>
    <row r="249" spans="1:2">
      <c r="A249" s="184"/>
    </row>
    <row r="250" spans="1:2">
      <c r="A250" s="184"/>
    </row>
  </sheetData>
  <mergeCells count="8">
    <mergeCell ref="D52:O52"/>
    <mergeCell ref="D51:O51"/>
    <mergeCell ref="D45:O45"/>
    <mergeCell ref="D46:O46"/>
    <mergeCell ref="D47:O47"/>
    <mergeCell ref="D48:O48"/>
    <mergeCell ref="D49:O49"/>
    <mergeCell ref="D50:O50"/>
  </mergeCells>
  <printOptions horizontalCentered="1"/>
  <pageMargins left="0.75" right="0.75" top="0.75" bottom="0.5" header="0.5" footer="0.5"/>
  <pageSetup scale="5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3300"/>
    <pageSetUpPr fitToPage="1"/>
  </sheetPr>
  <dimension ref="A1:BG298"/>
  <sheetViews>
    <sheetView topLeftCell="A10" zoomScale="75" zoomScaleNormal="75" workbookViewId="0"/>
  </sheetViews>
  <sheetFormatPr defaultRowHeight="15"/>
  <cols>
    <col min="1" max="1" width="6" style="127" customWidth="1"/>
    <col min="2" max="2" width="1.44140625" style="127" customWidth="1"/>
    <col min="3" max="3" width="52.33203125" style="127" customWidth="1"/>
    <col min="4" max="4" width="1.109375" style="127" customWidth="1"/>
    <col min="5" max="5" width="37.109375" style="127" customWidth="1"/>
    <col min="6" max="6" width="1.21875" style="127" customWidth="1"/>
    <col min="7" max="7" width="14.109375" style="127" customWidth="1"/>
    <col min="8" max="8" width="0.88671875" style="127" customWidth="1"/>
    <col min="9" max="9" width="12.77734375" style="127" customWidth="1"/>
    <col min="10" max="10" width="3.77734375" style="127" customWidth="1"/>
    <col min="11" max="11" width="5.21875" style="127" customWidth="1"/>
    <col min="12" max="12" width="1.88671875" style="127" customWidth="1"/>
    <col min="13" max="13" width="22.5546875" style="127" customWidth="1"/>
    <col min="14" max="14" width="8.77734375" style="127"/>
    <col min="15" max="15" width="13.77734375" style="127" customWidth="1"/>
    <col min="16" max="16" width="17" style="127" bestFit="1" customWidth="1"/>
    <col min="17" max="17" width="13.77734375" style="127" customWidth="1"/>
    <col min="18" max="18" width="12.44140625" style="127" customWidth="1"/>
    <col min="19" max="19" width="13" style="127" customWidth="1"/>
    <col min="20" max="20" width="13.21875" style="127" customWidth="1"/>
    <col min="21" max="21" width="12.6640625" style="127" customWidth="1"/>
    <col min="22" max="22" width="15.21875" style="127" customWidth="1"/>
    <col min="23" max="23" width="12.5546875" style="127" customWidth="1"/>
    <col min="24" max="24" width="16.21875" style="127" customWidth="1"/>
    <col min="25" max="245" width="8.77734375" style="127"/>
    <col min="246" max="246" width="6" style="127" customWidth="1"/>
    <col min="247" max="247" width="1.44140625" style="127" customWidth="1"/>
    <col min="248" max="248" width="39.109375" style="127" customWidth="1"/>
    <col min="249" max="249" width="12" style="127" customWidth="1"/>
    <col min="250" max="250" width="14.44140625" style="127" customWidth="1"/>
    <col min="251" max="251" width="11.88671875" style="127" customWidth="1"/>
    <col min="252" max="252" width="14.109375" style="127" customWidth="1"/>
    <col min="253" max="253" width="13.88671875" style="127" customWidth="1"/>
    <col min="254" max="255" width="12.77734375" style="127" customWidth="1"/>
    <col min="256" max="256" width="13.5546875" style="127" customWidth="1"/>
    <col min="257" max="257" width="15.33203125" style="127" customWidth="1"/>
    <col min="258" max="258" width="12.77734375" style="127" customWidth="1"/>
    <col min="259" max="259" width="13.88671875" style="127" customWidth="1"/>
    <col min="260" max="260" width="1.88671875" style="127" customWidth="1"/>
    <col min="261" max="261" width="13" style="127" customWidth="1"/>
    <col min="262" max="501" width="8.77734375" style="127"/>
    <col min="502" max="502" width="6" style="127" customWidth="1"/>
    <col min="503" max="503" width="1.44140625" style="127" customWidth="1"/>
    <col min="504" max="504" width="39.109375" style="127" customWidth="1"/>
    <col min="505" max="505" width="12" style="127" customWidth="1"/>
    <col min="506" max="506" width="14.44140625" style="127" customWidth="1"/>
    <col min="507" max="507" width="11.88671875" style="127" customWidth="1"/>
    <col min="508" max="508" width="14.109375" style="127" customWidth="1"/>
    <col min="509" max="509" width="13.88671875" style="127" customWidth="1"/>
    <col min="510" max="511" width="12.77734375" style="127" customWidth="1"/>
    <col min="512" max="512" width="13.5546875" style="127" customWidth="1"/>
    <col min="513" max="513" width="15.33203125" style="127" customWidth="1"/>
    <col min="514" max="514" width="12.77734375" style="127" customWidth="1"/>
    <col min="515" max="515" width="13.88671875" style="127" customWidth="1"/>
    <col min="516" max="516" width="1.88671875" style="127" customWidth="1"/>
    <col min="517" max="517" width="13" style="127" customWidth="1"/>
    <col min="518" max="757" width="8.77734375" style="127"/>
    <col min="758" max="758" width="6" style="127" customWidth="1"/>
    <col min="759" max="759" width="1.44140625" style="127" customWidth="1"/>
    <col min="760" max="760" width="39.109375" style="127" customWidth="1"/>
    <col min="761" max="761" width="12" style="127" customWidth="1"/>
    <col min="762" max="762" width="14.44140625" style="127" customWidth="1"/>
    <col min="763" max="763" width="11.88671875" style="127" customWidth="1"/>
    <col min="764" max="764" width="14.109375" style="127" customWidth="1"/>
    <col min="765" max="765" width="13.88671875" style="127" customWidth="1"/>
    <col min="766" max="767" width="12.77734375" style="127" customWidth="1"/>
    <col min="768" max="768" width="13.5546875" style="127" customWidth="1"/>
    <col min="769" max="769" width="15.33203125" style="127" customWidth="1"/>
    <col min="770" max="770" width="12.77734375" style="127" customWidth="1"/>
    <col min="771" max="771" width="13.88671875" style="127" customWidth="1"/>
    <col min="772" max="772" width="1.88671875" style="127" customWidth="1"/>
    <col min="773" max="773" width="13" style="127" customWidth="1"/>
    <col min="774" max="1013" width="8.77734375" style="127"/>
    <col min="1014" max="1014" width="6" style="127" customWidth="1"/>
    <col min="1015" max="1015" width="1.44140625" style="127" customWidth="1"/>
    <col min="1016" max="1016" width="39.109375" style="127" customWidth="1"/>
    <col min="1017" max="1017" width="12" style="127" customWidth="1"/>
    <col min="1018" max="1018" width="14.44140625" style="127" customWidth="1"/>
    <col min="1019" max="1019" width="11.88671875" style="127" customWidth="1"/>
    <col min="1020" max="1020" width="14.109375" style="127" customWidth="1"/>
    <col min="1021" max="1021" width="13.88671875" style="127" customWidth="1"/>
    <col min="1022" max="1023" width="12.77734375" style="127" customWidth="1"/>
    <col min="1024" max="1024" width="13.5546875" style="127" customWidth="1"/>
    <col min="1025" max="1025" width="15.33203125" style="127" customWidth="1"/>
    <col min="1026" max="1026" width="12.77734375" style="127" customWidth="1"/>
    <col min="1027" max="1027" width="13.88671875" style="127" customWidth="1"/>
    <col min="1028" max="1028" width="1.88671875" style="127" customWidth="1"/>
    <col min="1029" max="1029" width="13" style="127" customWidth="1"/>
    <col min="1030" max="1269" width="8.77734375" style="127"/>
    <col min="1270" max="1270" width="6" style="127" customWidth="1"/>
    <col min="1271" max="1271" width="1.44140625" style="127" customWidth="1"/>
    <col min="1272" max="1272" width="39.109375" style="127" customWidth="1"/>
    <col min="1273" max="1273" width="12" style="127" customWidth="1"/>
    <col min="1274" max="1274" width="14.44140625" style="127" customWidth="1"/>
    <col min="1275" max="1275" width="11.88671875" style="127" customWidth="1"/>
    <col min="1276" max="1276" width="14.109375" style="127" customWidth="1"/>
    <col min="1277" max="1277" width="13.88671875" style="127" customWidth="1"/>
    <col min="1278" max="1279" width="12.77734375" style="127" customWidth="1"/>
    <col min="1280" max="1280" width="13.5546875" style="127" customWidth="1"/>
    <col min="1281" max="1281" width="15.33203125" style="127" customWidth="1"/>
    <col min="1282" max="1282" width="12.77734375" style="127" customWidth="1"/>
    <col min="1283" max="1283" width="13.88671875" style="127" customWidth="1"/>
    <col min="1284" max="1284" width="1.88671875" style="127" customWidth="1"/>
    <col min="1285" max="1285" width="13" style="127" customWidth="1"/>
    <col min="1286" max="1525" width="8.77734375" style="127"/>
    <col min="1526" max="1526" width="6" style="127" customWidth="1"/>
    <col min="1527" max="1527" width="1.44140625" style="127" customWidth="1"/>
    <col min="1528" max="1528" width="39.109375" style="127" customWidth="1"/>
    <col min="1529" max="1529" width="12" style="127" customWidth="1"/>
    <col min="1530" max="1530" width="14.44140625" style="127" customWidth="1"/>
    <col min="1531" max="1531" width="11.88671875" style="127" customWidth="1"/>
    <col min="1532" max="1532" width="14.109375" style="127" customWidth="1"/>
    <col min="1533" max="1533" width="13.88671875" style="127" customWidth="1"/>
    <col min="1534" max="1535" width="12.77734375" style="127" customWidth="1"/>
    <col min="1536" max="1536" width="13.5546875" style="127" customWidth="1"/>
    <col min="1537" max="1537" width="15.33203125" style="127" customWidth="1"/>
    <col min="1538" max="1538" width="12.77734375" style="127" customWidth="1"/>
    <col min="1539" max="1539" width="13.88671875" style="127" customWidth="1"/>
    <col min="1540" max="1540" width="1.88671875" style="127" customWidth="1"/>
    <col min="1541" max="1541" width="13" style="127" customWidth="1"/>
    <col min="1542" max="1781" width="8.77734375" style="127"/>
    <col min="1782" max="1782" width="6" style="127" customWidth="1"/>
    <col min="1783" max="1783" width="1.44140625" style="127" customWidth="1"/>
    <col min="1784" max="1784" width="39.109375" style="127" customWidth="1"/>
    <col min="1785" max="1785" width="12" style="127" customWidth="1"/>
    <col min="1786" max="1786" width="14.44140625" style="127" customWidth="1"/>
    <col min="1787" max="1787" width="11.88671875" style="127" customWidth="1"/>
    <col min="1788" max="1788" width="14.109375" style="127" customWidth="1"/>
    <col min="1789" max="1789" width="13.88671875" style="127" customWidth="1"/>
    <col min="1790" max="1791" width="12.77734375" style="127" customWidth="1"/>
    <col min="1792" max="1792" width="13.5546875" style="127" customWidth="1"/>
    <col min="1793" max="1793" width="15.33203125" style="127" customWidth="1"/>
    <col min="1794" max="1794" width="12.77734375" style="127" customWidth="1"/>
    <col min="1795" max="1795" width="13.88671875" style="127" customWidth="1"/>
    <col min="1796" max="1796" width="1.88671875" style="127" customWidth="1"/>
    <col min="1797" max="1797" width="13" style="127" customWidth="1"/>
    <col min="1798" max="2037" width="8.77734375" style="127"/>
    <col min="2038" max="2038" width="6" style="127" customWidth="1"/>
    <col min="2039" max="2039" width="1.44140625" style="127" customWidth="1"/>
    <col min="2040" max="2040" width="39.109375" style="127" customWidth="1"/>
    <col min="2041" max="2041" width="12" style="127" customWidth="1"/>
    <col min="2042" max="2042" width="14.44140625" style="127" customWidth="1"/>
    <col min="2043" max="2043" width="11.88671875" style="127" customWidth="1"/>
    <col min="2044" max="2044" width="14.109375" style="127" customWidth="1"/>
    <col min="2045" max="2045" width="13.88671875" style="127" customWidth="1"/>
    <col min="2046" max="2047" width="12.77734375" style="127" customWidth="1"/>
    <col min="2048" max="2048" width="13.5546875" style="127" customWidth="1"/>
    <col min="2049" max="2049" width="15.33203125" style="127" customWidth="1"/>
    <col min="2050" max="2050" width="12.77734375" style="127" customWidth="1"/>
    <col min="2051" max="2051" width="13.88671875" style="127" customWidth="1"/>
    <col min="2052" max="2052" width="1.88671875" style="127" customWidth="1"/>
    <col min="2053" max="2053" width="13" style="127" customWidth="1"/>
    <col min="2054" max="2293" width="8.77734375" style="127"/>
    <col min="2294" max="2294" width="6" style="127" customWidth="1"/>
    <col min="2295" max="2295" width="1.44140625" style="127" customWidth="1"/>
    <col min="2296" max="2296" width="39.109375" style="127" customWidth="1"/>
    <col min="2297" max="2297" width="12" style="127" customWidth="1"/>
    <col min="2298" max="2298" width="14.44140625" style="127" customWidth="1"/>
    <col min="2299" max="2299" width="11.88671875" style="127" customWidth="1"/>
    <col min="2300" max="2300" width="14.109375" style="127" customWidth="1"/>
    <col min="2301" max="2301" width="13.88671875" style="127" customWidth="1"/>
    <col min="2302" max="2303" width="12.77734375" style="127" customWidth="1"/>
    <col min="2304" max="2304" width="13.5546875" style="127" customWidth="1"/>
    <col min="2305" max="2305" width="15.33203125" style="127" customWidth="1"/>
    <col min="2306" max="2306" width="12.77734375" style="127" customWidth="1"/>
    <col min="2307" max="2307" width="13.88671875" style="127" customWidth="1"/>
    <col min="2308" max="2308" width="1.88671875" style="127" customWidth="1"/>
    <col min="2309" max="2309" width="13" style="127" customWidth="1"/>
    <col min="2310" max="2549" width="8.77734375" style="127"/>
    <col min="2550" max="2550" width="6" style="127" customWidth="1"/>
    <col min="2551" max="2551" width="1.44140625" style="127" customWidth="1"/>
    <col min="2552" max="2552" width="39.109375" style="127" customWidth="1"/>
    <col min="2553" max="2553" width="12" style="127" customWidth="1"/>
    <col min="2554" max="2554" width="14.44140625" style="127" customWidth="1"/>
    <col min="2555" max="2555" width="11.88671875" style="127" customWidth="1"/>
    <col min="2556" max="2556" width="14.109375" style="127" customWidth="1"/>
    <col min="2557" max="2557" width="13.88671875" style="127" customWidth="1"/>
    <col min="2558" max="2559" width="12.77734375" style="127" customWidth="1"/>
    <col min="2560" max="2560" width="13.5546875" style="127" customWidth="1"/>
    <col min="2561" max="2561" width="15.33203125" style="127" customWidth="1"/>
    <col min="2562" max="2562" width="12.77734375" style="127" customWidth="1"/>
    <col min="2563" max="2563" width="13.88671875" style="127" customWidth="1"/>
    <col min="2564" max="2564" width="1.88671875" style="127" customWidth="1"/>
    <col min="2565" max="2565" width="13" style="127" customWidth="1"/>
    <col min="2566" max="2805" width="8.77734375" style="127"/>
    <col min="2806" max="2806" width="6" style="127" customWidth="1"/>
    <col min="2807" max="2807" width="1.44140625" style="127" customWidth="1"/>
    <col min="2808" max="2808" width="39.109375" style="127" customWidth="1"/>
    <col min="2809" max="2809" width="12" style="127" customWidth="1"/>
    <col min="2810" max="2810" width="14.44140625" style="127" customWidth="1"/>
    <col min="2811" max="2811" width="11.88671875" style="127" customWidth="1"/>
    <col min="2812" max="2812" width="14.109375" style="127" customWidth="1"/>
    <col min="2813" max="2813" width="13.88671875" style="127" customWidth="1"/>
    <col min="2814" max="2815" width="12.77734375" style="127" customWidth="1"/>
    <col min="2816" max="2816" width="13.5546875" style="127" customWidth="1"/>
    <col min="2817" max="2817" width="15.33203125" style="127" customWidth="1"/>
    <col min="2818" max="2818" width="12.77734375" style="127" customWidth="1"/>
    <col min="2819" max="2819" width="13.88671875" style="127" customWidth="1"/>
    <col min="2820" max="2820" width="1.88671875" style="127" customWidth="1"/>
    <col min="2821" max="2821" width="13" style="127" customWidth="1"/>
    <col min="2822" max="3061" width="8.77734375" style="127"/>
    <col min="3062" max="3062" width="6" style="127" customWidth="1"/>
    <col min="3063" max="3063" width="1.44140625" style="127" customWidth="1"/>
    <col min="3064" max="3064" width="39.109375" style="127" customWidth="1"/>
    <col min="3065" max="3065" width="12" style="127" customWidth="1"/>
    <col min="3066" max="3066" width="14.44140625" style="127" customWidth="1"/>
    <col min="3067" max="3067" width="11.88671875" style="127" customWidth="1"/>
    <col min="3068" max="3068" width="14.109375" style="127" customWidth="1"/>
    <col min="3069" max="3069" width="13.88671875" style="127" customWidth="1"/>
    <col min="3070" max="3071" width="12.77734375" style="127" customWidth="1"/>
    <col min="3072" max="3072" width="13.5546875" style="127" customWidth="1"/>
    <col min="3073" max="3073" width="15.33203125" style="127" customWidth="1"/>
    <col min="3074" max="3074" width="12.77734375" style="127" customWidth="1"/>
    <col min="3075" max="3075" width="13.88671875" style="127" customWidth="1"/>
    <col min="3076" max="3076" width="1.88671875" style="127" customWidth="1"/>
    <col min="3077" max="3077" width="13" style="127" customWidth="1"/>
    <col min="3078" max="3317" width="8.77734375" style="127"/>
    <col min="3318" max="3318" width="6" style="127" customWidth="1"/>
    <col min="3319" max="3319" width="1.44140625" style="127" customWidth="1"/>
    <col min="3320" max="3320" width="39.109375" style="127" customWidth="1"/>
    <col min="3321" max="3321" width="12" style="127" customWidth="1"/>
    <col min="3322" max="3322" width="14.44140625" style="127" customWidth="1"/>
    <col min="3323" max="3323" width="11.88671875" style="127" customWidth="1"/>
    <col min="3324" max="3324" width="14.109375" style="127" customWidth="1"/>
    <col min="3325" max="3325" width="13.88671875" style="127" customWidth="1"/>
    <col min="3326" max="3327" width="12.77734375" style="127" customWidth="1"/>
    <col min="3328" max="3328" width="13.5546875" style="127" customWidth="1"/>
    <col min="3329" max="3329" width="15.33203125" style="127" customWidth="1"/>
    <col min="3330" max="3330" width="12.77734375" style="127" customWidth="1"/>
    <col min="3331" max="3331" width="13.88671875" style="127" customWidth="1"/>
    <col min="3332" max="3332" width="1.88671875" style="127" customWidth="1"/>
    <col min="3333" max="3333" width="13" style="127" customWidth="1"/>
    <col min="3334" max="3573" width="8.77734375" style="127"/>
    <col min="3574" max="3574" width="6" style="127" customWidth="1"/>
    <col min="3575" max="3575" width="1.44140625" style="127" customWidth="1"/>
    <col min="3576" max="3576" width="39.109375" style="127" customWidth="1"/>
    <col min="3577" max="3577" width="12" style="127" customWidth="1"/>
    <col min="3578" max="3578" width="14.44140625" style="127" customWidth="1"/>
    <col min="3579" max="3579" width="11.88671875" style="127" customWidth="1"/>
    <col min="3580" max="3580" width="14.109375" style="127" customWidth="1"/>
    <col min="3581" max="3581" width="13.88671875" style="127" customWidth="1"/>
    <col min="3582" max="3583" width="12.77734375" style="127" customWidth="1"/>
    <col min="3584" max="3584" width="13.5546875" style="127" customWidth="1"/>
    <col min="3585" max="3585" width="15.33203125" style="127" customWidth="1"/>
    <col min="3586" max="3586" width="12.77734375" style="127" customWidth="1"/>
    <col min="3587" max="3587" width="13.88671875" style="127" customWidth="1"/>
    <col min="3588" max="3588" width="1.88671875" style="127" customWidth="1"/>
    <col min="3589" max="3589" width="13" style="127" customWidth="1"/>
    <col min="3590" max="3829" width="8.77734375" style="127"/>
    <col min="3830" max="3830" width="6" style="127" customWidth="1"/>
    <col min="3831" max="3831" width="1.44140625" style="127" customWidth="1"/>
    <col min="3832" max="3832" width="39.109375" style="127" customWidth="1"/>
    <col min="3833" max="3833" width="12" style="127" customWidth="1"/>
    <col min="3834" max="3834" width="14.44140625" style="127" customWidth="1"/>
    <col min="3835" max="3835" width="11.88671875" style="127" customWidth="1"/>
    <col min="3836" max="3836" width="14.109375" style="127" customWidth="1"/>
    <col min="3837" max="3837" width="13.88671875" style="127" customWidth="1"/>
    <col min="3838" max="3839" width="12.77734375" style="127" customWidth="1"/>
    <col min="3840" max="3840" width="13.5546875" style="127" customWidth="1"/>
    <col min="3841" max="3841" width="15.33203125" style="127" customWidth="1"/>
    <col min="3842" max="3842" width="12.77734375" style="127" customWidth="1"/>
    <col min="3843" max="3843" width="13.88671875" style="127" customWidth="1"/>
    <col min="3844" max="3844" width="1.88671875" style="127" customWidth="1"/>
    <col min="3845" max="3845" width="13" style="127" customWidth="1"/>
    <col min="3846" max="4085" width="8.77734375" style="127"/>
    <col min="4086" max="4086" width="6" style="127" customWidth="1"/>
    <col min="4087" max="4087" width="1.44140625" style="127" customWidth="1"/>
    <col min="4088" max="4088" width="39.109375" style="127" customWidth="1"/>
    <col min="4089" max="4089" width="12" style="127" customWidth="1"/>
    <col min="4090" max="4090" width="14.44140625" style="127" customWidth="1"/>
    <col min="4091" max="4091" width="11.88671875" style="127" customWidth="1"/>
    <col min="4092" max="4092" width="14.109375" style="127" customWidth="1"/>
    <col min="4093" max="4093" width="13.88671875" style="127" customWidth="1"/>
    <col min="4094" max="4095" width="12.77734375" style="127" customWidth="1"/>
    <col min="4096" max="4096" width="13.5546875" style="127" customWidth="1"/>
    <col min="4097" max="4097" width="15.33203125" style="127" customWidth="1"/>
    <col min="4098" max="4098" width="12.77734375" style="127" customWidth="1"/>
    <col min="4099" max="4099" width="13.88671875" style="127" customWidth="1"/>
    <col min="4100" max="4100" width="1.88671875" style="127" customWidth="1"/>
    <col min="4101" max="4101" width="13" style="127" customWidth="1"/>
    <col min="4102" max="4341" width="8.77734375" style="127"/>
    <col min="4342" max="4342" width="6" style="127" customWidth="1"/>
    <col min="4343" max="4343" width="1.44140625" style="127" customWidth="1"/>
    <col min="4344" max="4344" width="39.109375" style="127" customWidth="1"/>
    <col min="4345" max="4345" width="12" style="127" customWidth="1"/>
    <col min="4346" max="4346" width="14.44140625" style="127" customWidth="1"/>
    <col min="4347" max="4347" width="11.88671875" style="127" customWidth="1"/>
    <col min="4348" max="4348" width="14.109375" style="127" customWidth="1"/>
    <col min="4349" max="4349" width="13.88671875" style="127" customWidth="1"/>
    <col min="4350" max="4351" width="12.77734375" style="127" customWidth="1"/>
    <col min="4352" max="4352" width="13.5546875" style="127" customWidth="1"/>
    <col min="4353" max="4353" width="15.33203125" style="127" customWidth="1"/>
    <col min="4354" max="4354" width="12.77734375" style="127" customWidth="1"/>
    <col min="4355" max="4355" width="13.88671875" style="127" customWidth="1"/>
    <col min="4356" max="4356" width="1.88671875" style="127" customWidth="1"/>
    <col min="4357" max="4357" width="13" style="127" customWidth="1"/>
    <col min="4358" max="4597" width="8.77734375" style="127"/>
    <col min="4598" max="4598" width="6" style="127" customWidth="1"/>
    <col min="4599" max="4599" width="1.44140625" style="127" customWidth="1"/>
    <col min="4600" max="4600" width="39.109375" style="127" customWidth="1"/>
    <col min="4601" max="4601" width="12" style="127" customWidth="1"/>
    <col min="4602" max="4602" width="14.44140625" style="127" customWidth="1"/>
    <col min="4603" max="4603" width="11.88671875" style="127" customWidth="1"/>
    <col min="4604" max="4604" width="14.109375" style="127" customWidth="1"/>
    <col min="4605" max="4605" width="13.88671875" style="127" customWidth="1"/>
    <col min="4606" max="4607" width="12.77734375" style="127" customWidth="1"/>
    <col min="4608" max="4608" width="13.5546875" style="127" customWidth="1"/>
    <col min="4609" max="4609" width="15.33203125" style="127" customWidth="1"/>
    <col min="4610" max="4610" width="12.77734375" style="127" customWidth="1"/>
    <col min="4611" max="4611" width="13.88671875" style="127" customWidth="1"/>
    <col min="4612" max="4612" width="1.88671875" style="127" customWidth="1"/>
    <col min="4613" max="4613" width="13" style="127" customWidth="1"/>
    <col min="4614" max="4853" width="8.77734375" style="127"/>
    <col min="4854" max="4854" width="6" style="127" customWidth="1"/>
    <col min="4855" max="4855" width="1.44140625" style="127" customWidth="1"/>
    <col min="4856" max="4856" width="39.109375" style="127" customWidth="1"/>
    <col min="4857" max="4857" width="12" style="127" customWidth="1"/>
    <col min="4858" max="4858" width="14.44140625" style="127" customWidth="1"/>
    <col min="4859" max="4859" width="11.88671875" style="127" customWidth="1"/>
    <col min="4860" max="4860" width="14.109375" style="127" customWidth="1"/>
    <col min="4861" max="4861" width="13.88671875" style="127" customWidth="1"/>
    <col min="4862" max="4863" width="12.77734375" style="127" customWidth="1"/>
    <col min="4864" max="4864" width="13.5546875" style="127" customWidth="1"/>
    <col min="4865" max="4865" width="15.33203125" style="127" customWidth="1"/>
    <col min="4866" max="4866" width="12.77734375" style="127" customWidth="1"/>
    <col min="4867" max="4867" width="13.88671875" style="127" customWidth="1"/>
    <col min="4868" max="4868" width="1.88671875" style="127" customWidth="1"/>
    <col min="4869" max="4869" width="13" style="127" customWidth="1"/>
    <col min="4870" max="5109" width="8.77734375" style="127"/>
    <col min="5110" max="5110" width="6" style="127" customWidth="1"/>
    <col min="5111" max="5111" width="1.44140625" style="127" customWidth="1"/>
    <col min="5112" max="5112" width="39.109375" style="127" customWidth="1"/>
    <col min="5113" max="5113" width="12" style="127" customWidth="1"/>
    <col min="5114" max="5114" width="14.44140625" style="127" customWidth="1"/>
    <col min="5115" max="5115" width="11.88671875" style="127" customWidth="1"/>
    <col min="5116" max="5116" width="14.109375" style="127" customWidth="1"/>
    <col min="5117" max="5117" width="13.88671875" style="127" customWidth="1"/>
    <col min="5118" max="5119" width="12.77734375" style="127" customWidth="1"/>
    <col min="5120" max="5120" width="13.5546875" style="127" customWidth="1"/>
    <col min="5121" max="5121" width="15.33203125" style="127" customWidth="1"/>
    <col min="5122" max="5122" width="12.77734375" style="127" customWidth="1"/>
    <col min="5123" max="5123" width="13.88671875" style="127" customWidth="1"/>
    <col min="5124" max="5124" width="1.88671875" style="127" customWidth="1"/>
    <col min="5125" max="5125" width="13" style="127" customWidth="1"/>
    <col min="5126" max="5365" width="8.77734375" style="127"/>
    <col min="5366" max="5366" width="6" style="127" customWidth="1"/>
    <col min="5367" max="5367" width="1.44140625" style="127" customWidth="1"/>
    <col min="5368" max="5368" width="39.109375" style="127" customWidth="1"/>
    <col min="5369" max="5369" width="12" style="127" customWidth="1"/>
    <col min="5370" max="5370" width="14.44140625" style="127" customWidth="1"/>
    <col min="5371" max="5371" width="11.88671875" style="127" customWidth="1"/>
    <col min="5372" max="5372" width="14.109375" style="127" customWidth="1"/>
    <col min="5373" max="5373" width="13.88671875" style="127" customWidth="1"/>
    <col min="5374" max="5375" width="12.77734375" style="127" customWidth="1"/>
    <col min="5376" max="5376" width="13.5546875" style="127" customWidth="1"/>
    <col min="5377" max="5377" width="15.33203125" style="127" customWidth="1"/>
    <col min="5378" max="5378" width="12.77734375" style="127" customWidth="1"/>
    <col min="5379" max="5379" width="13.88671875" style="127" customWidth="1"/>
    <col min="5380" max="5380" width="1.88671875" style="127" customWidth="1"/>
    <col min="5381" max="5381" width="13" style="127" customWidth="1"/>
    <col min="5382" max="5621" width="8.77734375" style="127"/>
    <col min="5622" max="5622" width="6" style="127" customWidth="1"/>
    <col min="5623" max="5623" width="1.44140625" style="127" customWidth="1"/>
    <col min="5624" max="5624" width="39.109375" style="127" customWidth="1"/>
    <col min="5625" max="5625" width="12" style="127" customWidth="1"/>
    <col min="5626" max="5626" width="14.44140625" style="127" customWidth="1"/>
    <col min="5627" max="5627" width="11.88671875" style="127" customWidth="1"/>
    <col min="5628" max="5628" width="14.109375" style="127" customWidth="1"/>
    <col min="5629" max="5629" width="13.88671875" style="127" customWidth="1"/>
    <col min="5630" max="5631" width="12.77734375" style="127" customWidth="1"/>
    <col min="5632" max="5632" width="13.5546875" style="127" customWidth="1"/>
    <col min="5633" max="5633" width="15.33203125" style="127" customWidth="1"/>
    <col min="5634" max="5634" width="12.77734375" style="127" customWidth="1"/>
    <col min="5635" max="5635" width="13.88671875" style="127" customWidth="1"/>
    <col min="5636" max="5636" width="1.88671875" style="127" customWidth="1"/>
    <col min="5637" max="5637" width="13" style="127" customWidth="1"/>
    <col min="5638" max="5877" width="8.77734375" style="127"/>
    <col min="5878" max="5878" width="6" style="127" customWidth="1"/>
    <col min="5879" max="5879" width="1.44140625" style="127" customWidth="1"/>
    <col min="5880" max="5880" width="39.109375" style="127" customWidth="1"/>
    <col min="5881" max="5881" width="12" style="127" customWidth="1"/>
    <col min="5882" max="5882" width="14.44140625" style="127" customWidth="1"/>
    <col min="5883" max="5883" width="11.88671875" style="127" customWidth="1"/>
    <col min="5884" max="5884" width="14.109375" style="127" customWidth="1"/>
    <col min="5885" max="5885" width="13.88671875" style="127" customWidth="1"/>
    <col min="5886" max="5887" width="12.77734375" style="127" customWidth="1"/>
    <col min="5888" max="5888" width="13.5546875" style="127" customWidth="1"/>
    <col min="5889" max="5889" width="15.33203125" style="127" customWidth="1"/>
    <col min="5890" max="5890" width="12.77734375" style="127" customWidth="1"/>
    <col min="5891" max="5891" width="13.88671875" style="127" customWidth="1"/>
    <col min="5892" max="5892" width="1.88671875" style="127" customWidth="1"/>
    <col min="5893" max="5893" width="13" style="127" customWidth="1"/>
    <col min="5894" max="6133" width="8.77734375" style="127"/>
    <col min="6134" max="6134" width="6" style="127" customWidth="1"/>
    <col min="6135" max="6135" width="1.44140625" style="127" customWidth="1"/>
    <col min="6136" max="6136" width="39.109375" style="127" customWidth="1"/>
    <col min="6137" max="6137" width="12" style="127" customWidth="1"/>
    <col min="6138" max="6138" width="14.44140625" style="127" customWidth="1"/>
    <col min="6139" max="6139" width="11.88671875" style="127" customWidth="1"/>
    <col min="6140" max="6140" width="14.109375" style="127" customWidth="1"/>
    <col min="6141" max="6141" width="13.88671875" style="127" customWidth="1"/>
    <col min="6142" max="6143" width="12.77734375" style="127" customWidth="1"/>
    <col min="6144" max="6144" width="13.5546875" style="127" customWidth="1"/>
    <col min="6145" max="6145" width="15.33203125" style="127" customWidth="1"/>
    <col min="6146" max="6146" width="12.77734375" style="127" customWidth="1"/>
    <col min="6147" max="6147" width="13.88671875" style="127" customWidth="1"/>
    <col min="6148" max="6148" width="1.88671875" style="127" customWidth="1"/>
    <col min="6149" max="6149" width="13" style="127" customWidth="1"/>
    <col min="6150" max="6389" width="8.77734375" style="127"/>
    <col min="6390" max="6390" width="6" style="127" customWidth="1"/>
    <col min="6391" max="6391" width="1.44140625" style="127" customWidth="1"/>
    <col min="6392" max="6392" width="39.109375" style="127" customWidth="1"/>
    <col min="6393" max="6393" width="12" style="127" customWidth="1"/>
    <col min="6394" max="6394" width="14.44140625" style="127" customWidth="1"/>
    <col min="6395" max="6395" width="11.88671875" style="127" customWidth="1"/>
    <col min="6396" max="6396" width="14.109375" style="127" customWidth="1"/>
    <col min="6397" max="6397" width="13.88671875" style="127" customWidth="1"/>
    <col min="6398" max="6399" width="12.77734375" style="127" customWidth="1"/>
    <col min="6400" max="6400" width="13.5546875" style="127" customWidth="1"/>
    <col min="6401" max="6401" width="15.33203125" style="127" customWidth="1"/>
    <col min="6402" max="6402" width="12.77734375" style="127" customWidth="1"/>
    <col min="6403" max="6403" width="13.88671875" style="127" customWidth="1"/>
    <col min="6404" max="6404" width="1.88671875" style="127" customWidth="1"/>
    <col min="6405" max="6405" width="13" style="127" customWidth="1"/>
    <col min="6406" max="6645" width="8.77734375" style="127"/>
    <col min="6646" max="6646" width="6" style="127" customWidth="1"/>
    <col min="6647" max="6647" width="1.44140625" style="127" customWidth="1"/>
    <col min="6648" max="6648" width="39.109375" style="127" customWidth="1"/>
    <col min="6649" max="6649" width="12" style="127" customWidth="1"/>
    <col min="6650" max="6650" width="14.44140625" style="127" customWidth="1"/>
    <col min="6651" max="6651" width="11.88671875" style="127" customWidth="1"/>
    <col min="6652" max="6652" width="14.109375" style="127" customWidth="1"/>
    <col min="6653" max="6653" width="13.88671875" style="127" customWidth="1"/>
    <col min="6654" max="6655" width="12.77734375" style="127" customWidth="1"/>
    <col min="6656" max="6656" width="13.5546875" style="127" customWidth="1"/>
    <col min="6657" max="6657" width="15.33203125" style="127" customWidth="1"/>
    <col min="6658" max="6658" width="12.77734375" style="127" customWidth="1"/>
    <col min="6659" max="6659" width="13.88671875" style="127" customWidth="1"/>
    <col min="6660" max="6660" width="1.88671875" style="127" customWidth="1"/>
    <col min="6661" max="6661" width="13" style="127" customWidth="1"/>
    <col min="6662" max="6901" width="8.77734375" style="127"/>
    <col min="6902" max="6902" width="6" style="127" customWidth="1"/>
    <col min="6903" max="6903" width="1.44140625" style="127" customWidth="1"/>
    <col min="6904" max="6904" width="39.109375" style="127" customWidth="1"/>
    <col min="6905" max="6905" width="12" style="127" customWidth="1"/>
    <col min="6906" max="6906" width="14.44140625" style="127" customWidth="1"/>
    <col min="6907" max="6907" width="11.88671875" style="127" customWidth="1"/>
    <col min="6908" max="6908" width="14.109375" style="127" customWidth="1"/>
    <col min="6909" max="6909" width="13.88671875" style="127" customWidth="1"/>
    <col min="6910" max="6911" width="12.77734375" style="127" customWidth="1"/>
    <col min="6912" max="6912" width="13.5546875" style="127" customWidth="1"/>
    <col min="6913" max="6913" width="15.33203125" style="127" customWidth="1"/>
    <col min="6914" max="6914" width="12.77734375" style="127" customWidth="1"/>
    <col min="6915" max="6915" width="13.88671875" style="127" customWidth="1"/>
    <col min="6916" max="6916" width="1.88671875" style="127" customWidth="1"/>
    <col min="6917" max="6917" width="13" style="127" customWidth="1"/>
    <col min="6918" max="7157" width="8.77734375" style="127"/>
    <col min="7158" max="7158" width="6" style="127" customWidth="1"/>
    <col min="7159" max="7159" width="1.44140625" style="127" customWidth="1"/>
    <col min="7160" max="7160" width="39.109375" style="127" customWidth="1"/>
    <col min="7161" max="7161" width="12" style="127" customWidth="1"/>
    <col min="7162" max="7162" width="14.44140625" style="127" customWidth="1"/>
    <col min="7163" max="7163" width="11.88671875" style="127" customWidth="1"/>
    <col min="7164" max="7164" width="14.109375" style="127" customWidth="1"/>
    <col min="7165" max="7165" width="13.88671875" style="127" customWidth="1"/>
    <col min="7166" max="7167" width="12.77734375" style="127" customWidth="1"/>
    <col min="7168" max="7168" width="13.5546875" style="127" customWidth="1"/>
    <col min="7169" max="7169" width="15.33203125" style="127" customWidth="1"/>
    <col min="7170" max="7170" width="12.77734375" style="127" customWidth="1"/>
    <col min="7171" max="7171" width="13.88671875" style="127" customWidth="1"/>
    <col min="7172" max="7172" width="1.88671875" style="127" customWidth="1"/>
    <col min="7173" max="7173" width="13" style="127" customWidth="1"/>
    <col min="7174" max="7413" width="8.77734375" style="127"/>
    <col min="7414" max="7414" width="6" style="127" customWidth="1"/>
    <col min="7415" max="7415" width="1.44140625" style="127" customWidth="1"/>
    <col min="7416" max="7416" width="39.109375" style="127" customWidth="1"/>
    <col min="7417" max="7417" width="12" style="127" customWidth="1"/>
    <col min="7418" max="7418" width="14.44140625" style="127" customWidth="1"/>
    <col min="7419" max="7419" width="11.88671875" style="127" customWidth="1"/>
    <col min="7420" max="7420" width="14.109375" style="127" customWidth="1"/>
    <col min="7421" max="7421" width="13.88671875" style="127" customWidth="1"/>
    <col min="7422" max="7423" width="12.77734375" style="127" customWidth="1"/>
    <col min="7424" max="7424" width="13.5546875" style="127" customWidth="1"/>
    <col min="7425" max="7425" width="15.33203125" style="127" customWidth="1"/>
    <col min="7426" max="7426" width="12.77734375" style="127" customWidth="1"/>
    <col min="7427" max="7427" width="13.88671875" style="127" customWidth="1"/>
    <col min="7428" max="7428" width="1.88671875" style="127" customWidth="1"/>
    <col min="7429" max="7429" width="13" style="127" customWidth="1"/>
    <col min="7430" max="7669" width="8.77734375" style="127"/>
    <col min="7670" max="7670" width="6" style="127" customWidth="1"/>
    <col min="7671" max="7671" width="1.44140625" style="127" customWidth="1"/>
    <col min="7672" max="7672" width="39.109375" style="127" customWidth="1"/>
    <col min="7673" max="7673" width="12" style="127" customWidth="1"/>
    <col min="7674" max="7674" width="14.44140625" style="127" customWidth="1"/>
    <col min="7675" max="7675" width="11.88671875" style="127" customWidth="1"/>
    <col min="7676" max="7676" width="14.109375" style="127" customWidth="1"/>
    <col min="7677" max="7677" width="13.88671875" style="127" customWidth="1"/>
    <col min="7678" max="7679" width="12.77734375" style="127" customWidth="1"/>
    <col min="7680" max="7680" width="13.5546875" style="127" customWidth="1"/>
    <col min="7681" max="7681" width="15.33203125" style="127" customWidth="1"/>
    <col min="7682" max="7682" width="12.77734375" style="127" customWidth="1"/>
    <col min="7683" max="7683" width="13.88671875" style="127" customWidth="1"/>
    <col min="7684" max="7684" width="1.88671875" style="127" customWidth="1"/>
    <col min="7685" max="7685" width="13" style="127" customWidth="1"/>
    <col min="7686" max="7925" width="8.77734375" style="127"/>
    <col min="7926" max="7926" width="6" style="127" customWidth="1"/>
    <col min="7927" max="7927" width="1.44140625" style="127" customWidth="1"/>
    <col min="7928" max="7928" width="39.109375" style="127" customWidth="1"/>
    <col min="7929" max="7929" width="12" style="127" customWidth="1"/>
    <col min="7930" max="7930" width="14.44140625" style="127" customWidth="1"/>
    <col min="7931" max="7931" width="11.88671875" style="127" customWidth="1"/>
    <col min="7932" max="7932" width="14.109375" style="127" customWidth="1"/>
    <col min="7933" max="7933" width="13.88671875" style="127" customWidth="1"/>
    <col min="7934" max="7935" width="12.77734375" style="127" customWidth="1"/>
    <col min="7936" max="7936" width="13.5546875" style="127" customWidth="1"/>
    <col min="7937" max="7937" width="15.33203125" style="127" customWidth="1"/>
    <col min="7938" max="7938" width="12.77734375" style="127" customWidth="1"/>
    <col min="7939" max="7939" width="13.88671875" style="127" customWidth="1"/>
    <col min="7940" max="7940" width="1.88671875" style="127" customWidth="1"/>
    <col min="7941" max="7941" width="13" style="127" customWidth="1"/>
    <col min="7942" max="8181" width="8.77734375" style="127"/>
    <col min="8182" max="8182" width="6" style="127" customWidth="1"/>
    <col min="8183" max="8183" width="1.44140625" style="127" customWidth="1"/>
    <col min="8184" max="8184" width="39.109375" style="127" customWidth="1"/>
    <col min="8185" max="8185" width="12" style="127" customWidth="1"/>
    <col min="8186" max="8186" width="14.44140625" style="127" customWidth="1"/>
    <col min="8187" max="8187" width="11.88671875" style="127" customWidth="1"/>
    <col min="8188" max="8188" width="14.109375" style="127" customWidth="1"/>
    <col min="8189" max="8189" width="13.88671875" style="127" customWidth="1"/>
    <col min="8190" max="8191" width="12.77734375" style="127" customWidth="1"/>
    <col min="8192" max="8192" width="13.5546875" style="127" customWidth="1"/>
    <col min="8193" max="8193" width="15.33203125" style="127" customWidth="1"/>
    <col min="8194" max="8194" width="12.77734375" style="127" customWidth="1"/>
    <col min="8195" max="8195" width="13.88671875" style="127" customWidth="1"/>
    <col min="8196" max="8196" width="1.88671875" style="127" customWidth="1"/>
    <col min="8197" max="8197" width="13" style="127" customWidth="1"/>
    <col min="8198" max="8437" width="8.77734375" style="127"/>
    <col min="8438" max="8438" width="6" style="127" customWidth="1"/>
    <col min="8439" max="8439" width="1.44140625" style="127" customWidth="1"/>
    <col min="8440" max="8440" width="39.109375" style="127" customWidth="1"/>
    <col min="8441" max="8441" width="12" style="127" customWidth="1"/>
    <col min="8442" max="8442" width="14.44140625" style="127" customWidth="1"/>
    <col min="8443" max="8443" width="11.88671875" style="127" customWidth="1"/>
    <col min="8444" max="8444" width="14.109375" style="127" customWidth="1"/>
    <col min="8445" max="8445" width="13.88671875" style="127" customWidth="1"/>
    <col min="8446" max="8447" width="12.77734375" style="127" customWidth="1"/>
    <col min="8448" max="8448" width="13.5546875" style="127" customWidth="1"/>
    <col min="8449" max="8449" width="15.33203125" style="127" customWidth="1"/>
    <col min="8450" max="8450" width="12.77734375" style="127" customWidth="1"/>
    <col min="8451" max="8451" width="13.88671875" style="127" customWidth="1"/>
    <col min="8452" max="8452" width="1.88671875" style="127" customWidth="1"/>
    <col min="8453" max="8453" width="13" style="127" customWidth="1"/>
    <col min="8454" max="8693" width="8.77734375" style="127"/>
    <col min="8694" max="8694" width="6" style="127" customWidth="1"/>
    <col min="8695" max="8695" width="1.44140625" style="127" customWidth="1"/>
    <col min="8696" max="8696" width="39.109375" style="127" customWidth="1"/>
    <col min="8697" max="8697" width="12" style="127" customWidth="1"/>
    <col min="8698" max="8698" width="14.44140625" style="127" customWidth="1"/>
    <col min="8699" max="8699" width="11.88671875" style="127" customWidth="1"/>
    <col min="8700" max="8700" width="14.109375" style="127" customWidth="1"/>
    <col min="8701" max="8701" width="13.88671875" style="127" customWidth="1"/>
    <col min="8702" max="8703" width="12.77734375" style="127" customWidth="1"/>
    <col min="8704" max="8704" width="13.5546875" style="127" customWidth="1"/>
    <col min="8705" max="8705" width="15.33203125" style="127" customWidth="1"/>
    <col min="8706" max="8706" width="12.77734375" style="127" customWidth="1"/>
    <col min="8707" max="8707" width="13.88671875" style="127" customWidth="1"/>
    <col min="8708" max="8708" width="1.88671875" style="127" customWidth="1"/>
    <col min="8709" max="8709" width="13" style="127" customWidth="1"/>
    <col min="8710" max="8949" width="8.77734375" style="127"/>
    <col min="8950" max="8950" width="6" style="127" customWidth="1"/>
    <col min="8951" max="8951" width="1.44140625" style="127" customWidth="1"/>
    <col min="8952" max="8952" width="39.109375" style="127" customWidth="1"/>
    <col min="8953" max="8953" width="12" style="127" customWidth="1"/>
    <col min="8954" max="8954" width="14.44140625" style="127" customWidth="1"/>
    <col min="8955" max="8955" width="11.88671875" style="127" customWidth="1"/>
    <col min="8956" max="8956" width="14.109375" style="127" customWidth="1"/>
    <col min="8957" max="8957" width="13.88671875" style="127" customWidth="1"/>
    <col min="8958" max="8959" width="12.77734375" style="127" customWidth="1"/>
    <col min="8960" max="8960" width="13.5546875" style="127" customWidth="1"/>
    <col min="8961" max="8961" width="15.33203125" style="127" customWidth="1"/>
    <col min="8962" max="8962" width="12.77734375" style="127" customWidth="1"/>
    <col min="8963" max="8963" width="13.88671875" style="127" customWidth="1"/>
    <col min="8964" max="8964" width="1.88671875" style="127" customWidth="1"/>
    <col min="8965" max="8965" width="13" style="127" customWidth="1"/>
    <col min="8966" max="9205" width="8.77734375" style="127"/>
    <col min="9206" max="9206" width="6" style="127" customWidth="1"/>
    <col min="9207" max="9207" width="1.44140625" style="127" customWidth="1"/>
    <col min="9208" max="9208" width="39.109375" style="127" customWidth="1"/>
    <col min="9209" max="9209" width="12" style="127" customWidth="1"/>
    <col min="9210" max="9210" width="14.44140625" style="127" customWidth="1"/>
    <col min="9211" max="9211" width="11.88671875" style="127" customWidth="1"/>
    <col min="9212" max="9212" width="14.109375" style="127" customWidth="1"/>
    <col min="9213" max="9213" width="13.88671875" style="127" customWidth="1"/>
    <col min="9214" max="9215" width="12.77734375" style="127" customWidth="1"/>
    <col min="9216" max="9216" width="13.5546875" style="127" customWidth="1"/>
    <col min="9217" max="9217" width="15.33203125" style="127" customWidth="1"/>
    <col min="9218" max="9218" width="12.77734375" style="127" customWidth="1"/>
    <col min="9219" max="9219" width="13.88671875" style="127" customWidth="1"/>
    <col min="9220" max="9220" width="1.88671875" style="127" customWidth="1"/>
    <col min="9221" max="9221" width="13" style="127" customWidth="1"/>
    <col min="9222" max="9461" width="8.77734375" style="127"/>
    <col min="9462" max="9462" width="6" style="127" customWidth="1"/>
    <col min="9463" max="9463" width="1.44140625" style="127" customWidth="1"/>
    <col min="9464" max="9464" width="39.109375" style="127" customWidth="1"/>
    <col min="9465" max="9465" width="12" style="127" customWidth="1"/>
    <col min="9466" max="9466" width="14.44140625" style="127" customWidth="1"/>
    <col min="9467" max="9467" width="11.88671875" style="127" customWidth="1"/>
    <col min="9468" max="9468" width="14.109375" style="127" customWidth="1"/>
    <col min="9469" max="9469" width="13.88671875" style="127" customWidth="1"/>
    <col min="9470" max="9471" width="12.77734375" style="127" customWidth="1"/>
    <col min="9472" max="9472" width="13.5546875" style="127" customWidth="1"/>
    <col min="9473" max="9473" width="15.33203125" style="127" customWidth="1"/>
    <col min="9474" max="9474" width="12.77734375" style="127" customWidth="1"/>
    <col min="9475" max="9475" width="13.88671875" style="127" customWidth="1"/>
    <col min="9476" max="9476" width="1.88671875" style="127" customWidth="1"/>
    <col min="9477" max="9477" width="13" style="127" customWidth="1"/>
    <col min="9478" max="9717" width="8.77734375" style="127"/>
    <col min="9718" max="9718" width="6" style="127" customWidth="1"/>
    <col min="9719" max="9719" width="1.44140625" style="127" customWidth="1"/>
    <col min="9720" max="9720" width="39.109375" style="127" customWidth="1"/>
    <col min="9721" max="9721" width="12" style="127" customWidth="1"/>
    <col min="9722" max="9722" width="14.44140625" style="127" customWidth="1"/>
    <col min="9723" max="9723" width="11.88671875" style="127" customWidth="1"/>
    <col min="9724" max="9724" width="14.109375" style="127" customWidth="1"/>
    <col min="9725" max="9725" width="13.88671875" style="127" customWidth="1"/>
    <col min="9726" max="9727" width="12.77734375" style="127" customWidth="1"/>
    <col min="9728" max="9728" width="13.5546875" style="127" customWidth="1"/>
    <col min="9729" max="9729" width="15.33203125" style="127" customWidth="1"/>
    <col min="9730" max="9730" width="12.77734375" style="127" customWidth="1"/>
    <col min="9731" max="9731" width="13.88671875" style="127" customWidth="1"/>
    <col min="9732" max="9732" width="1.88671875" style="127" customWidth="1"/>
    <col min="9733" max="9733" width="13" style="127" customWidth="1"/>
    <col min="9734" max="9973" width="8.77734375" style="127"/>
    <col min="9974" max="9974" width="6" style="127" customWidth="1"/>
    <col min="9975" max="9975" width="1.44140625" style="127" customWidth="1"/>
    <col min="9976" max="9976" width="39.109375" style="127" customWidth="1"/>
    <col min="9977" max="9977" width="12" style="127" customWidth="1"/>
    <col min="9978" max="9978" width="14.44140625" style="127" customWidth="1"/>
    <col min="9979" max="9979" width="11.88671875" style="127" customWidth="1"/>
    <col min="9980" max="9980" width="14.109375" style="127" customWidth="1"/>
    <col min="9981" max="9981" width="13.88671875" style="127" customWidth="1"/>
    <col min="9982" max="9983" width="12.77734375" style="127" customWidth="1"/>
    <col min="9984" max="9984" width="13.5546875" style="127" customWidth="1"/>
    <col min="9985" max="9985" width="15.33203125" style="127" customWidth="1"/>
    <col min="9986" max="9986" width="12.77734375" style="127" customWidth="1"/>
    <col min="9987" max="9987" width="13.88671875" style="127" customWidth="1"/>
    <col min="9988" max="9988" width="1.88671875" style="127" customWidth="1"/>
    <col min="9989" max="9989" width="13" style="127" customWidth="1"/>
    <col min="9990" max="10229" width="8.77734375" style="127"/>
    <col min="10230" max="10230" width="6" style="127" customWidth="1"/>
    <col min="10231" max="10231" width="1.44140625" style="127" customWidth="1"/>
    <col min="10232" max="10232" width="39.109375" style="127" customWidth="1"/>
    <col min="10233" max="10233" width="12" style="127" customWidth="1"/>
    <col min="10234" max="10234" width="14.44140625" style="127" customWidth="1"/>
    <col min="10235" max="10235" width="11.88671875" style="127" customWidth="1"/>
    <col min="10236" max="10236" width="14.109375" style="127" customWidth="1"/>
    <col min="10237" max="10237" width="13.88671875" style="127" customWidth="1"/>
    <col min="10238" max="10239" width="12.77734375" style="127" customWidth="1"/>
    <col min="10240" max="10240" width="13.5546875" style="127" customWidth="1"/>
    <col min="10241" max="10241" width="15.33203125" style="127" customWidth="1"/>
    <col min="10242" max="10242" width="12.77734375" style="127" customWidth="1"/>
    <col min="10243" max="10243" width="13.88671875" style="127" customWidth="1"/>
    <col min="10244" max="10244" width="1.88671875" style="127" customWidth="1"/>
    <col min="10245" max="10245" width="13" style="127" customWidth="1"/>
    <col min="10246" max="10485" width="8.77734375" style="127"/>
    <col min="10486" max="10486" width="6" style="127" customWidth="1"/>
    <col min="10487" max="10487" width="1.44140625" style="127" customWidth="1"/>
    <col min="10488" max="10488" width="39.109375" style="127" customWidth="1"/>
    <col min="10489" max="10489" width="12" style="127" customWidth="1"/>
    <col min="10490" max="10490" width="14.44140625" style="127" customWidth="1"/>
    <col min="10491" max="10491" width="11.88671875" style="127" customWidth="1"/>
    <col min="10492" max="10492" width="14.109375" style="127" customWidth="1"/>
    <col min="10493" max="10493" width="13.88671875" style="127" customWidth="1"/>
    <col min="10494" max="10495" width="12.77734375" style="127" customWidth="1"/>
    <col min="10496" max="10496" width="13.5546875" style="127" customWidth="1"/>
    <col min="10497" max="10497" width="15.33203125" style="127" customWidth="1"/>
    <col min="10498" max="10498" width="12.77734375" style="127" customWidth="1"/>
    <col min="10499" max="10499" width="13.88671875" style="127" customWidth="1"/>
    <col min="10500" max="10500" width="1.88671875" style="127" customWidth="1"/>
    <col min="10501" max="10501" width="13" style="127" customWidth="1"/>
    <col min="10502" max="10741" width="8.77734375" style="127"/>
    <col min="10742" max="10742" width="6" style="127" customWidth="1"/>
    <col min="10743" max="10743" width="1.44140625" style="127" customWidth="1"/>
    <col min="10744" max="10744" width="39.109375" style="127" customWidth="1"/>
    <col min="10745" max="10745" width="12" style="127" customWidth="1"/>
    <col min="10746" max="10746" width="14.44140625" style="127" customWidth="1"/>
    <col min="10747" max="10747" width="11.88671875" style="127" customWidth="1"/>
    <col min="10748" max="10748" width="14.109375" style="127" customWidth="1"/>
    <col min="10749" max="10749" width="13.88671875" style="127" customWidth="1"/>
    <col min="10750" max="10751" width="12.77734375" style="127" customWidth="1"/>
    <col min="10752" max="10752" width="13.5546875" style="127" customWidth="1"/>
    <col min="10753" max="10753" width="15.33203125" style="127" customWidth="1"/>
    <col min="10754" max="10754" width="12.77734375" style="127" customWidth="1"/>
    <col min="10755" max="10755" width="13.88671875" style="127" customWidth="1"/>
    <col min="10756" max="10756" width="1.88671875" style="127" customWidth="1"/>
    <col min="10757" max="10757" width="13" style="127" customWidth="1"/>
    <col min="10758" max="10997" width="8.77734375" style="127"/>
    <col min="10998" max="10998" width="6" style="127" customWidth="1"/>
    <col min="10999" max="10999" width="1.44140625" style="127" customWidth="1"/>
    <col min="11000" max="11000" width="39.109375" style="127" customWidth="1"/>
    <col min="11001" max="11001" width="12" style="127" customWidth="1"/>
    <col min="11002" max="11002" width="14.44140625" style="127" customWidth="1"/>
    <col min="11003" max="11003" width="11.88671875" style="127" customWidth="1"/>
    <col min="11004" max="11004" width="14.109375" style="127" customWidth="1"/>
    <col min="11005" max="11005" width="13.88671875" style="127" customWidth="1"/>
    <col min="11006" max="11007" width="12.77734375" style="127" customWidth="1"/>
    <col min="11008" max="11008" width="13.5546875" style="127" customWidth="1"/>
    <col min="11009" max="11009" width="15.33203125" style="127" customWidth="1"/>
    <col min="11010" max="11010" width="12.77734375" style="127" customWidth="1"/>
    <col min="11011" max="11011" width="13.88671875" style="127" customWidth="1"/>
    <col min="11012" max="11012" width="1.88671875" style="127" customWidth="1"/>
    <col min="11013" max="11013" width="13" style="127" customWidth="1"/>
    <col min="11014" max="11253" width="8.77734375" style="127"/>
    <col min="11254" max="11254" width="6" style="127" customWidth="1"/>
    <col min="11255" max="11255" width="1.44140625" style="127" customWidth="1"/>
    <col min="11256" max="11256" width="39.109375" style="127" customWidth="1"/>
    <col min="11257" max="11257" width="12" style="127" customWidth="1"/>
    <col min="11258" max="11258" width="14.44140625" style="127" customWidth="1"/>
    <col min="11259" max="11259" width="11.88671875" style="127" customWidth="1"/>
    <col min="11260" max="11260" width="14.109375" style="127" customWidth="1"/>
    <col min="11261" max="11261" width="13.88671875" style="127" customWidth="1"/>
    <col min="11262" max="11263" width="12.77734375" style="127" customWidth="1"/>
    <col min="11264" max="11264" width="13.5546875" style="127" customWidth="1"/>
    <col min="11265" max="11265" width="15.33203125" style="127" customWidth="1"/>
    <col min="11266" max="11266" width="12.77734375" style="127" customWidth="1"/>
    <col min="11267" max="11267" width="13.88671875" style="127" customWidth="1"/>
    <col min="11268" max="11268" width="1.88671875" style="127" customWidth="1"/>
    <col min="11269" max="11269" width="13" style="127" customWidth="1"/>
    <col min="11270" max="11509" width="8.77734375" style="127"/>
    <col min="11510" max="11510" width="6" style="127" customWidth="1"/>
    <col min="11511" max="11511" width="1.44140625" style="127" customWidth="1"/>
    <col min="11512" max="11512" width="39.109375" style="127" customWidth="1"/>
    <col min="11513" max="11513" width="12" style="127" customWidth="1"/>
    <col min="11514" max="11514" width="14.44140625" style="127" customWidth="1"/>
    <col min="11515" max="11515" width="11.88671875" style="127" customWidth="1"/>
    <col min="11516" max="11516" width="14.109375" style="127" customWidth="1"/>
    <col min="11517" max="11517" width="13.88671875" style="127" customWidth="1"/>
    <col min="11518" max="11519" width="12.77734375" style="127" customWidth="1"/>
    <col min="11520" max="11520" width="13.5546875" style="127" customWidth="1"/>
    <col min="11521" max="11521" width="15.33203125" style="127" customWidth="1"/>
    <col min="11522" max="11522" width="12.77734375" style="127" customWidth="1"/>
    <col min="11523" max="11523" width="13.88671875" style="127" customWidth="1"/>
    <col min="11524" max="11524" width="1.88671875" style="127" customWidth="1"/>
    <col min="11525" max="11525" width="13" style="127" customWidth="1"/>
    <col min="11526" max="11765" width="8.77734375" style="127"/>
    <col min="11766" max="11766" width="6" style="127" customWidth="1"/>
    <col min="11767" max="11767" width="1.44140625" style="127" customWidth="1"/>
    <col min="11768" max="11768" width="39.109375" style="127" customWidth="1"/>
    <col min="11769" max="11769" width="12" style="127" customWidth="1"/>
    <col min="11770" max="11770" width="14.44140625" style="127" customWidth="1"/>
    <col min="11771" max="11771" width="11.88671875" style="127" customWidth="1"/>
    <col min="11772" max="11772" width="14.109375" style="127" customWidth="1"/>
    <col min="11773" max="11773" width="13.88671875" style="127" customWidth="1"/>
    <col min="11774" max="11775" width="12.77734375" style="127" customWidth="1"/>
    <col min="11776" max="11776" width="13.5546875" style="127" customWidth="1"/>
    <col min="11777" max="11777" width="15.33203125" style="127" customWidth="1"/>
    <col min="11778" max="11778" width="12.77734375" style="127" customWidth="1"/>
    <col min="11779" max="11779" width="13.88671875" style="127" customWidth="1"/>
    <col min="11780" max="11780" width="1.88671875" style="127" customWidth="1"/>
    <col min="11781" max="11781" width="13" style="127" customWidth="1"/>
    <col min="11782" max="12021" width="8.77734375" style="127"/>
    <col min="12022" max="12022" width="6" style="127" customWidth="1"/>
    <col min="12023" max="12023" width="1.44140625" style="127" customWidth="1"/>
    <col min="12024" max="12024" width="39.109375" style="127" customWidth="1"/>
    <col min="12025" max="12025" width="12" style="127" customWidth="1"/>
    <col min="12026" max="12026" width="14.44140625" style="127" customWidth="1"/>
    <col min="12027" max="12027" width="11.88671875" style="127" customWidth="1"/>
    <col min="12028" max="12028" width="14.109375" style="127" customWidth="1"/>
    <col min="12029" max="12029" width="13.88671875" style="127" customWidth="1"/>
    <col min="12030" max="12031" width="12.77734375" style="127" customWidth="1"/>
    <col min="12032" max="12032" width="13.5546875" style="127" customWidth="1"/>
    <col min="12033" max="12033" width="15.33203125" style="127" customWidth="1"/>
    <col min="12034" max="12034" width="12.77734375" style="127" customWidth="1"/>
    <col min="12035" max="12035" width="13.88671875" style="127" customWidth="1"/>
    <col min="12036" max="12036" width="1.88671875" style="127" customWidth="1"/>
    <col min="12037" max="12037" width="13" style="127" customWidth="1"/>
    <col min="12038" max="12277" width="8.77734375" style="127"/>
    <col min="12278" max="12278" width="6" style="127" customWidth="1"/>
    <col min="12279" max="12279" width="1.44140625" style="127" customWidth="1"/>
    <col min="12280" max="12280" width="39.109375" style="127" customWidth="1"/>
    <col min="12281" max="12281" width="12" style="127" customWidth="1"/>
    <col min="12282" max="12282" width="14.44140625" style="127" customWidth="1"/>
    <col min="12283" max="12283" width="11.88671875" style="127" customWidth="1"/>
    <col min="12284" max="12284" width="14.109375" style="127" customWidth="1"/>
    <col min="12285" max="12285" width="13.88671875" style="127" customWidth="1"/>
    <col min="12286" max="12287" width="12.77734375" style="127" customWidth="1"/>
    <col min="12288" max="12288" width="13.5546875" style="127" customWidth="1"/>
    <col min="12289" max="12289" width="15.33203125" style="127" customWidth="1"/>
    <col min="12290" max="12290" width="12.77734375" style="127" customWidth="1"/>
    <col min="12291" max="12291" width="13.88671875" style="127" customWidth="1"/>
    <col min="12292" max="12292" width="1.88671875" style="127" customWidth="1"/>
    <col min="12293" max="12293" width="13" style="127" customWidth="1"/>
    <col min="12294" max="12533" width="8.77734375" style="127"/>
    <col min="12534" max="12534" width="6" style="127" customWidth="1"/>
    <col min="12535" max="12535" width="1.44140625" style="127" customWidth="1"/>
    <col min="12536" max="12536" width="39.109375" style="127" customWidth="1"/>
    <col min="12537" max="12537" width="12" style="127" customWidth="1"/>
    <col min="12538" max="12538" width="14.44140625" style="127" customWidth="1"/>
    <col min="12539" max="12539" width="11.88671875" style="127" customWidth="1"/>
    <col min="12540" max="12540" width="14.109375" style="127" customWidth="1"/>
    <col min="12541" max="12541" width="13.88671875" style="127" customWidth="1"/>
    <col min="12542" max="12543" width="12.77734375" style="127" customWidth="1"/>
    <col min="12544" max="12544" width="13.5546875" style="127" customWidth="1"/>
    <col min="12545" max="12545" width="15.33203125" style="127" customWidth="1"/>
    <col min="12546" max="12546" width="12.77734375" style="127" customWidth="1"/>
    <col min="12547" max="12547" width="13.88671875" style="127" customWidth="1"/>
    <col min="12548" max="12548" width="1.88671875" style="127" customWidth="1"/>
    <col min="12549" max="12549" width="13" style="127" customWidth="1"/>
    <col min="12550" max="12789" width="8.77734375" style="127"/>
    <col min="12790" max="12790" width="6" style="127" customWidth="1"/>
    <col min="12791" max="12791" width="1.44140625" style="127" customWidth="1"/>
    <col min="12792" max="12792" width="39.109375" style="127" customWidth="1"/>
    <col min="12793" max="12793" width="12" style="127" customWidth="1"/>
    <col min="12794" max="12794" width="14.44140625" style="127" customWidth="1"/>
    <col min="12795" max="12795" width="11.88671875" style="127" customWidth="1"/>
    <col min="12796" max="12796" width="14.109375" style="127" customWidth="1"/>
    <col min="12797" max="12797" width="13.88671875" style="127" customWidth="1"/>
    <col min="12798" max="12799" width="12.77734375" style="127" customWidth="1"/>
    <col min="12800" max="12800" width="13.5546875" style="127" customWidth="1"/>
    <col min="12801" max="12801" width="15.33203125" style="127" customWidth="1"/>
    <col min="12802" max="12802" width="12.77734375" style="127" customWidth="1"/>
    <col min="12803" max="12803" width="13.88671875" style="127" customWidth="1"/>
    <col min="12804" max="12804" width="1.88671875" style="127" customWidth="1"/>
    <col min="12805" max="12805" width="13" style="127" customWidth="1"/>
    <col min="12806" max="13045" width="8.77734375" style="127"/>
    <col min="13046" max="13046" width="6" style="127" customWidth="1"/>
    <col min="13047" max="13047" width="1.44140625" style="127" customWidth="1"/>
    <col min="13048" max="13048" width="39.109375" style="127" customWidth="1"/>
    <col min="13049" max="13049" width="12" style="127" customWidth="1"/>
    <col min="13050" max="13050" width="14.44140625" style="127" customWidth="1"/>
    <col min="13051" max="13051" width="11.88671875" style="127" customWidth="1"/>
    <col min="13052" max="13052" width="14.109375" style="127" customWidth="1"/>
    <col min="13053" max="13053" width="13.88671875" style="127" customWidth="1"/>
    <col min="13054" max="13055" width="12.77734375" style="127" customWidth="1"/>
    <col min="13056" max="13056" width="13.5546875" style="127" customWidth="1"/>
    <col min="13057" max="13057" width="15.33203125" style="127" customWidth="1"/>
    <col min="13058" max="13058" width="12.77734375" style="127" customWidth="1"/>
    <col min="13059" max="13059" width="13.88671875" style="127" customWidth="1"/>
    <col min="13060" max="13060" width="1.88671875" style="127" customWidth="1"/>
    <col min="13061" max="13061" width="13" style="127" customWidth="1"/>
    <col min="13062" max="13301" width="8.77734375" style="127"/>
    <col min="13302" max="13302" width="6" style="127" customWidth="1"/>
    <col min="13303" max="13303" width="1.44140625" style="127" customWidth="1"/>
    <col min="13304" max="13304" width="39.109375" style="127" customWidth="1"/>
    <col min="13305" max="13305" width="12" style="127" customWidth="1"/>
    <col min="13306" max="13306" width="14.44140625" style="127" customWidth="1"/>
    <col min="13307" max="13307" width="11.88671875" style="127" customWidth="1"/>
    <col min="13308" max="13308" width="14.109375" style="127" customWidth="1"/>
    <col min="13309" max="13309" width="13.88671875" style="127" customWidth="1"/>
    <col min="13310" max="13311" width="12.77734375" style="127" customWidth="1"/>
    <col min="13312" max="13312" width="13.5546875" style="127" customWidth="1"/>
    <col min="13313" max="13313" width="15.33203125" style="127" customWidth="1"/>
    <col min="13314" max="13314" width="12.77734375" style="127" customWidth="1"/>
    <col min="13315" max="13315" width="13.88671875" style="127" customWidth="1"/>
    <col min="13316" max="13316" width="1.88671875" style="127" customWidth="1"/>
    <col min="13317" max="13317" width="13" style="127" customWidth="1"/>
    <col min="13318" max="13557" width="8.77734375" style="127"/>
    <col min="13558" max="13558" width="6" style="127" customWidth="1"/>
    <col min="13559" max="13559" width="1.44140625" style="127" customWidth="1"/>
    <col min="13560" max="13560" width="39.109375" style="127" customWidth="1"/>
    <col min="13561" max="13561" width="12" style="127" customWidth="1"/>
    <col min="13562" max="13562" width="14.44140625" style="127" customWidth="1"/>
    <col min="13563" max="13563" width="11.88671875" style="127" customWidth="1"/>
    <col min="13564" max="13564" width="14.109375" style="127" customWidth="1"/>
    <col min="13565" max="13565" width="13.88671875" style="127" customWidth="1"/>
    <col min="13566" max="13567" width="12.77734375" style="127" customWidth="1"/>
    <col min="13568" max="13568" width="13.5546875" style="127" customWidth="1"/>
    <col min="13569" max="13569" width="15.33203125" style="127" customWidth="1"/>
    <col min="13570" max="13570" width="12.77734375" style="127" customWidth="1"/>
    <col min="13571" max="13571" width="13.88671875" style="127" customWidth="1"/>
    <col min="13572" max="13572" width="1.88671875" style="127" customWidth="1"/>
    <col min="13573" max="13573" width="13" style="127" customWidth="1"/>
    <col min="13574" max="13813" width="8.77734375" style="127"/>
    <col min="13814" max="13814" width="6" style="127" customWidth="1"/>
    <col min="13815" max="13815" width="1.44140625" style="127" customWidth="1"/>
    <col min="13816" max="13816" width="39.109375" style="127" customWidth="1"/>
    <col min="13817" max="13817" width="12" style="127" customWidth="1"/>
    <col min="13818" max="13818" width="14.44140625" style="127" customWidth="1"/>
    <col min="13819" max="13819" width="11.88671875" style="127" customWidth="1"/>
    <col min="13820" max="13820" width="14.109375" style="127" customWidth="1"/>
    <col min="13821" max="13821" width="13.88671875" style="127" customWidth="1"/>
    <col min="13822" max="13823" width="12.77734375" style="127" customWidth="1"/>
    <col min="13824" max="13824" width="13.5546875" style="127" customWidth="1"/>
    <col min="13825" max="13825" width="15.33203125" style="127" customWidth="1"/>
    <col min="13826" max="13826" width="12.77734375" style="127" customWidth="1"/>
    <col min="13827" max="13827" width="13.88671875" style="127" customWidth="1"/>
    <col min="13828" max="13828" width="1.88671875" style="127" customWidth="1"/>
    <col min="13829" max="13829" width="13" style="127" customWidth="1"/>
    <col min="13830" max="14069" width="8.77734375" style="127"/>
    <col min="14070" max="14070" width="6" style="127" customWidth="1"/>
    <col min="14071" max="14071" width="1.44140625" style="127" customWidth="1"/>
    <col min="14072" max="14072" width="39.109375" style="127" customWidth="1"/>
    <col min="14073" max="14073" width="12" style="127" customWidth="1"/>
    <col min="14074" max="14074" width="14.44140625" style="127" customWidth="1"/>
    <col min="14075" max="14075" width="11.88671875" style="127" customWidth="1"/>
    <col min="14076" max="14076" width="14.109375" style="127" customWidth="1"/>
    <col min="14077" max="14077" width="13.88671875" style="127" customWidth="1"/>
    <col min="14078" max="14079" width="12.77734375" style="127" customWidth="1"/>
    <col min="14080" max="14080" width="13.5546875" style="127" customWidth="1"/>
    <col min="14081" max="14081" width="15.33203125" style="127" customWidth="1"/>
    <col min="14082" max="14082" width="12.77734375" style="127" customWidth="1"/>
    <col min="14083" max="14083" width="13.88671875" style="127" customWidth="1"/>
    <col min="14084" max="14084" width="1.88671875" style="127" customWidth="1"/>
    <col min="14085" max="14085" width="13" style="127" customWidth="1"/>
    <col min="14086" max="14325" width="8.77734375" style="127"/>
    <col min="14326" max="14326" width="6" style="127" customWidth="1"/>
    <col min="14327" max="14327" width="1.44140625" style="127" customWidth="1"/>
    <col min="14328" max="14328" width="39.109375" style="127" customWidth="1"/>
    <col min="14329" max="14329" width="12" style="127" customWidth="1"/>
    <col min="14330" max="14330" width="14.44140625" style="127" customWidth="1"/>
    <col min="14331" max="14331" width="11.88671875" style="127" customWidth="1"/>
    <col min="14332" max="14332" width="14.109375" style="127" customWidth="1"/>
    <col min="14333" max="14333" width="13.88671875" style="127" customWidth="1"/>
    <col min="14334" max="14335" width="12.77734375" style="127" customWidth="1"/>
    <col min="14336" max="14336" width="13.5546875" style="127" customWidth="1"/>
    <col min="14337" max="14337" width="15.33203125" style="127" customWidth="1"/>
    <col min="14338" max="14338" width="12.77734375" style="127" customWidth="1"/>
    <col min="14339" max="14339" width="13.88671875" style="127" customWidth="1"/>
    <col min="14340" max="14340" width="1.88671875" style="127" customWidth="1"/>
    <col min="14341" max="14341" width="13" style="127" customWidth="1"/>
    <col min="14342" max="14581" width="8.77734375" style="127"/>
    <col min="14582" max="14582" width="6" style="127" customWidth="1"/>
    <col min="14583" max="14583" width="1.44140625" style="127" customWidth="1"/>
    <col min="14584" max="14584" width="39.109375" style="127" customWidth="1"/>
    <col min="14585" max="14585" width="12" style="127" customWidth="1"/>
    <col min="14586" max="14586" width="14.44140625" style="127" customWidth="1"/>
    <col min="14587" max="14587" width="11.88671875" style="127" customWidth="1"/>
    <col min="14588" max="14588" width="14.109375" style="127" customWidth="1"/>
    <col min="14589" max="14589" width="13.88671875" style="127" customWidth="1"/>
    <col min="14590" max="14591" width="12.77734375" style="127" customWidth="1"/>
    <col min="14592" max="14592" width="13.5546875" style="127" customWidth="1"/>
    <col min="14593" max="14593" width="15.33203125" style="127" customWidth="1"/>
    <col min="14594" max="14594" width="12.77734375" style="127" customWidth="1"/>
    <col min="14595" max="14595" width="13.88671875" style="127" customWidth="1"/>
    <col min="14596" max="14596" width="1.88671875" style="127" customWidth="1"/>
    <col min="14597" max="14597" width="13" style="127" customWidth="1"/>
    <col min="14598" max="14837" width="8.77734375" style="127"/>
    <col min="14838" max="14838" width="6" style="127" customWidth="1"/>
    <col min="14839" max="14839" width="1.44140625" style="127" customWidth="1"/>
    <col min="14840" max="14840" width="39.109375" style="127" customWidth="1"/>
    <col min="14841" max="14841" width="12" style="127" customWidth="1"/>
    <col min="14842" max="14842" width="14.44140625" style="127" customWidth="1"/>
    <col min="14843" max="14843" width="11.88671875" style="127" customWidth="1"/>
    <col min="14844" max="14844" width="14.109375" style="127" customWidth="1"/>
    <col min="14845" max="14845" width="13.88671875" style="127" customWidth="1"/>
    <col min="14846" max="14847" width="12.77734375" style="127" customWidth="1"/>
    <col min="14848" max="14848" width="13.5546875" style="127" customWidth="1"/>
    <col min="14849" max="14849" width="15.33203125" style="127" customWidth="1"/>
    <col min="14850" max="14850" width="12.77734375" style="127" customWidth="1"/>
    <col min="14851" max="14851" width="13.88671875" style="127" customWidth="1"/>
    <col min="14852" max="14852" width="1.88671875" style="127" customWidth="1"/>
    <col min="14853" max="14853" width="13" style="127" customWidth="1"/>
    <col min="14854" max="15093" width="8.77734375" style="127"/>
    <col min="15094" max="15094" width="6" style="127" customWidth="1"/>
    <col min="15095" max="15095" width="1.44140625" style="127" customWidth="1"/>
    <col min="15096" max="15096" width="39.109375" style="127" customWidth="1"/>
    <col min="15097" max="15097" width="12" style="127" customWidth="1"/>
    <col min="15098" max="15098" width="14.44140625" style="127" customWidth="1"/>
    <col min="15099" max="15099" width="11.88671875" style="127" customWidth="1"/>
    <col min="15100" max="15100" width="14.109375" style="127" customWidth="1"/>
    <col min="15101" max="15101" width="13.88671875" style="127" customWidth="1"/>
    <col min="15102" max="15103" width="12.77734375" style="127" customWidth="1"/>
    <col min="15104" max="15104" width="13.5546875" style="127" customWidth="1"/>
    <col min="15105" max="15105" width="15.33203125" style="127" customWidth="1"/>
    <col min="15106" max="15106" width="12.77734375" style="127" customWidth="1"/>
    <col min="15107" max="15107" width="13.88671875" style="127" customWidth="1"/>
    <col min="15108" max="15108" width="1.88671875" style="127" customWidth="1"/>
    <col min="15109" max="15109" width="13" style="127" customWidth="1"/>
    <col min="15110" max="15349" width="8.77734375" style="127"/>
    <col min="15350" max="15350" width="6" style="127" customWidth="1"/>
    <col min="15351" max="15351" width="1.44140625" style="127" customWidth="1"/>
    <col min="15352" max="15352" width="39.109375" style="127" customWidth="1"/>
    <col min="15353" max="15353" width="12" style="127" customWidth="1"/>
    <col min="15354" max="15354" width="14.44140625" style="127" customWidth="1"/>
    <col min="15355" max="15355" width="11.88671875" style="127" customWidth="1"/>
    <col min="15356" max="15356" width="14.109375" style="127" customWidth="1"/>
    <col min="15357" max="15357" width="13.88671875" style="127" customWidth="1"/>
    <col min="15358" max="15359" width="12.77734375" style="127" customWidth="1"/>
    <col min="15360" max="15360" width="13.5546875" style="127" customWidth="1"/>
    <col min="15361" max="15361" width="15.33203125" style="127" customWidth="1"/>
    <col min="15362" max="15362" width="12.77734375" style="127" customWidth="1"/>
    <col min="15363" max="15363" width="13.88671875" style="127" customWidth="1"/>
    <col min="15364" max="15364" width="1.88671875" style="127" customWidth="1"/>
    <col min="15365" max="15365" width="13" style="127" customWidth="1"/>
    <col min="15366" max="15605" width="8.77734375" style="127"/>
    <col min="15606" max="15606" width="6" style="127" customWidth="1"/>
    <col min="15607" max="15607" width="1.44140625" style="127" customWidth="1"/>
    <col min="15608" max="15608" width="39.109375" style="127" customWidth="1"/>
    <col min="15609" max="15609" width="12" style="127" customWidth="1"/>
    <col min="15610" max="15610" width="14.44140625" style="127" customWidth="1"/>
    <col min="15611" max="15611" width="11.88671875" style="127" customWidth="1"/>
    <col min="15612" max="15612" width="14.109375" style="127" customWidth="1"/>
    <col min="15613" max="15613" width="13.88671875" style="127" customWidth="1"/>
    <col min="15614" max="15615" width="12.77734375" style="127" customWidth="1"/>
    <col min="15616" max="15616" width="13.5546875" style="127" customWidth="1"/>
    <col min="15617" max="15617" width="15.33203125" style="127" customWidth="1"/>
    <col min="15618" max="15618" width="12.77734375" style="127" customWidth="1"/>
    <col min="15619" max="15619" width="13.88671875" style="127" customWidth="1"/>
    <col min="15620" max="15620" width="1.88671875" style="127" customWidth="1"/>
    <col min="15621" max="15621" width="13" style="127" customWidth="1"/>
    <col min="15622" max="15861" width="8.77734375" style="127"/>
    <col min="15862" max="15862" width="6" style="127" customWidth="1"/>
    <col min="15863" max="15863" width="1.44140625" style="127" customWidth="1"/>
    <col min="15864" max="15864" width="39.109375" style="127" customWidth="1"/>
    <col min="15865" max="15865" width="12" style="127" customWidth="1"/>
    <col min="15866" max="15866" width="14.44140625" style="127" customWidth="1"/>
    <col min="15867" max="15867" width="11.88671875" style="127" customWidth="1"/>
    <col min="15868" max="15868" width="14.109375" style="127" customWidth="1"/>
    <col min="15869" max="15869" width="13.88671875" style="127" customWidth="1"/>
    <col min="15870" max="15871" width="12.77734375" style="127" customWidth="1"/>
    <col min="15872" max="15872" width="13.5546875" style="127" customWidth="1"/>
    <col min="15873" max="15873" width="15.33203125" style="127" customWidth="1"/>
    <col min="15874" max="15874" width="12.77734375" style="127" customWidth="1"/>
    <col min="15875" max="15875" width="13.88671875" style="127" customWidth="1"/>
    <col min="15876" max="15876" width="1.88671875" style="127" customWidth="1"/>
    <col min="15877" max="15877" width="13" style="127" customWidth="1"/>
    <col min="15878" max="16117" width="8.77734375" style="127"/>
    <col min="16118" max="16118" width="6" style="127" customWidth="1"/>
    <col min="16119" max="16119" width="1.44140625" style="127" customWidth="1"/>
    <col min="16120" max="16120" width="39.109375" style="127" customWidth="1"/>
    <col min="16121" max="16121" width="12" style="127" customWidth="1"/>
    <col min="16122" max="16122" width="14.44140625" style="127" customWidth="1"/>
    <col min="16123" max="16123" width="11.88671875" style="127" customWidth="1"/>
    <col min="16124" max="16124" width="14.109375" style="127" customWidth="1"/>
    <col min="16125" max="16125" width="13.88671875" style="127" customWidth="1"/>
    <col min="16126" max="16127" width="12.77734375" style="127" customWidth="1"/>
    <col min="16128" max="16128" width="13.5546875" style="127" customWidth="1"/>
    <col min="16129" max="16129" width="15.33203125" style="127" customWidth="1"/>
    <col min="16130" max="16130" width="12.77734375" style="127" customWidth="1"/>
    <col min="16131" max="16131" width="13.88671875" style="127" customWidth="1"/>
    <col min="16132" max="16132" width="1.88671875" style="127" customWidth="1"/>
    <col min="16133" max="16133" width="13" style="127" customWidth="1"/>
    <col min="16134" max="16373" width="8.77734375" style="127"/>
    <col min="16374" max="16384" width="8.77734375" style="127" customWidth="1"/>
  </cols>
  <sheetData>
    <row r="1" spans="1:54">
      <c r="I1" s="74" t="s">
        <v>318</v>
      </c>
    </row>
    <row r="2" spans="1:54">
      <c r="I2" s="74" t="s">
        <v>316</v>
      </c>
    </row>
    <row r="3" spans="1:54">
      <c r="I3" s="389" t="s">
        <v>204</v>
      </c>
    </row>
    <row r="4" spans="1:54">
      <c r="I4" s="275" t="str">
        <f>"For the 12 months ended: "&amp;TEXT(INPUT!B1,"mm/dd/yyyy")</f>
        <v>For the 12 months ended: 12/31/2017</v>
      </c>
    </row>
    <row r="5" spans="1:54">
      <c r="C5" s="104"/>
    </row>
    <row r="6" spans="1:54">
      <c r="A6" s="206" t="s">
        <v>275</v>
      </c>
      <c r="B6" s="263"/>
      <c r="C6" s="263"/>
      <c r="D6" s="206"/>
      <c r="E6" s="206"/>
      <c r="F6" s="206"/>
      <c r="G6" s="263"/>
      <c r="H6" s="206"/>
      <c r="I6" s="206"/>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row>
    <row r="7" spans="1:54">
      <c r="A7" s="207" t="s">
        <v>319</v>
      </c>
      <c r="B7" s="263"/>
      <c r="C7" s="263"/>
      <c r="D7" s="208"/>
      <c r="E7" s="208"/>
      <c r="F7" s="208"/>
      <c r="G7" s="263"/>
      <c r="H7" s="208"/>
      <c r="I7" s="208"/>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row>
    <row r="8" spans="1:54">
      <c r="A8" s="208"/>
      <c r="B8" s="263"/>
      <c r="C8" s="263"/>
      <c r="D8" s="208"/>
      <c r="E8" s="208"/>
      <c r="F8" s="208"/>
      <c r="G8" s="263"/>
      <c r="H8" s="208"/>
      <c r="I8" s="208"/>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row>
    <row r="9" spans="1:54">
      <c r="A9" s="399" t="str">
        <f>DEO!A11</f>
        <v>DUKE ENERGY OHIO (DEO)</v>
      </c>
      <c r="B9" s="263"/>
      <c r="C9" s="263"/>
      <c r="D9" s="208"/>
      <c r="E9" s="208"/>
      <c r="F9" s="208"/>
      <c r="G9" s="263"/>
      <c r="H9" s="266"/>
      <c r="I9" s="208"/>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row>
    <row r="10" spans="1:54">
      <c r="A10" s="265" t="s">
        <v>698</v>
      </c>
      <c r="B10" s="263"/>
      <c r="C10" s="208"/>
      <c r="D10" s="208"/>
      <c r="E10" s="208"/>
      <c r="F10" s="208"/>
      <c r="G10" s="263"/>
      <c r="H10" s="266"/>
      <c r="I10" s="208"/>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row>
    <row r="11" spans="1:54">
      <c r="A11" s="388"/>
      <c r="B11" s="263"/>
      <c r="C11" s="208"/>
      <c r="D11" s="208"/>
      <c r="E11" s="208"/>
      <c r="F11" s="208"/>
      <c r="G11" s="266"/>
      <c r="H11" s="208"/>
      <c r="I11" s="208"/>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row>
    <row r="12" spans="1:54">
      <c r="A12" s="208" t="s">
        <v>543</v>
      </c>
      <c r="B12" s="263"/>
      <c r="C12" s="263"/>
      <c r="D12" s="208"/>
      <c r="E12" s="208"/>
      <c r="F12" s="208"/>
      <c r="G12" s="266"/>
      <c r="H12" s="208"/>
      <c r="I12" s="208"/>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row>
    <row r="13" spans="1:54">
      <c r="A13" s="131"/>
      <c r="C13" s="102"/>
      <c r="D13" s="102"/>
      <c r="E13" s="102"/>
      <c r="F13" s="102"/>
      <c r="G13" s="132"/>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row>
    <row r="14" spans="1:54">
      <c r="A14" s="131"/>
      <c r="C14" s="102"/>
      <c r="D14" s="102"/>
      <c r="E14" s="102"/>
      <c r="F14" s="102"/>
      <c r="G14" s="102"/>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row>
    <row r="15" spans="1:54">
      <c r="C15" s="100" t="s">
        <v>19</v>
      </c>
      <c r="D15" s="100"/>
      <c r="E15" s="100" t="s">
        <v>20</v>
      </c>
      <c r="F15" s="100"/>
      <c r="G15" s="100" t="s">
        <v>21</v>
      </c>
      <c r="I15" s="133" t="s">
        <v>22</v>
      </c>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row>
    <row r="16" spans="1:54">
      <c r="C16" s="99"/>
      <c r="D16" s="99"/>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row>
    <row r="17" spans="1:59">
      <c r="A17" s="347" t="s">
        <v>9</v>
      </c>
      <c r="B17" s="130"/>
      <c r="C17" s="99"/>
      <c r="D17" s="99"/>
      <c r="E17" s="142" t="s">
        <v>318</v>
      </c>
      <c r="F17" s="142"/>
      <c r="G17" s="103"/>
      <c r="H17" s="130"/>
      <c r="I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row>
    <row r="18" spans="1:59">
      <c r="A18" s="384" t="s">
        <v>11</v>
      </c>
      <c r="B18" s="385"/>
      <c r="C18" s="386"/>
      <c r="D18" s="386"/>
      <c r="E18" s="387" t="s">
        <v>26</v>
      </c>
      <c r="F18" s="387"/>
      <c r="G18" s="384" t="s">
        <v>25</v>
      </c>
      <c r="H18" s="385"/>
      <c r="I18" s="384" t="s">
        <v>14</v>
      </c>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row>
    <row r="19" spans="1:59" ht="15.75">
      <c r="A19" s="140"/>
      <c r="C19" s="99" t="s">
        <v>359</v>
      </c>
      <c r="D19" s="99"/>
      <c r="E19" s="103"/>
      <c r="F19" s="103"/>
      <c r="G19" s="103"/>
      <c r="I19" s="103"/>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row>
    <row r="20" spans="1:59">
      <c r="A20" s="141">
        <v>1</v>
      </c>
      <c r="C20" s="99" t="s">
        <v>232</v>
      </c>
      <c r="D20" s="99"/>
      <c r="E20" s="608" t="s">
        <v>797</v>
      </c>
      <c r="F20" s="142"/>
      <c r="G20" s="143">
        <f>DEO!J63</f>
        <v>809377209</v>
      </c>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row>
    <row r="21" spans="1:59">
      <c r="A21" s="141">
        <v>2</v>
      </c>
      <c r="C21" s="99" t="s">
        <v>233</v>
      </c>
      <c r="D21" s="99"/>
      <c r="E21" s="608" t="s">
        <v>798</v>
      </c>
      <c r="F21" s="142"/>
      <c r="G21" s="143">
        <f>DEO!J79</f>
        <v>571154972</v>
      </c>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row>
    <row r="22" spans="1:59">
      <c r="A22" s="141"/>
      <c r="E22" s="608"/>
      <c r="F22" s="142"/>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row>
    <row r="23" spans="1:59">
      <c r="A23" s="141"/>
      <c r="C23" s="99" t="s">
        <v>205</v>
      </c>
      <c r="D23" s="99"/>
      <c r="E23" s="608"/>
      <c r="F23" s="142"/>
      <c r="G23" s="103"/>
      <c r="I23" s="103"/>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row>
    <row r="24" spans="1:59">
      <c r="A24" s="141">
        <v>3</v>
      </c>
      <c r="C24" s="99" t="s">
        <v>234</v>
      </c>
      <c r="D24" s="99"/>
      <c r="E24" s="608" t="s">
        <v>796</v>
      </c>
      <c r="F24" s="142"/>
      <c r="G24" s="143">
        <f>DEO!J135</f>
        <v>22679207</v>
      </c>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row>
    <row r="25" spans="1:59">
      <c r="A25" s="141">
        <v>4</v>
      </c>
      <c r="C25" s="99" t="s">
        <v>235</v>
      </c>
      <c r="D25" s="99"/>
      <c r="E25" s="608" t="s">
        <v>803</v>
      </c>
      <c r="F25" s="142"/>
      <c r="G25" s="144">
        <f>IF(G24=0,0,G24/G20)</f>
        <v>2.8020565377693998E-2</v>
      </c>
      <c r="I25" s="145">
        <f>G25</f>
        <v>2.8020565377693998E-2</v>
      </c>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row>
    <row r="26" spans="1:59">
      <c r="A26" s="141"/>
      <c r="E26" s="608"/>
      <c r="F26" s="142"/>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row>
    <row r="27" spans="1:59" ht="30">
      <c r="A27" s="154"/>
      <c r="C27" s="721" t="s">
        <v>663</v>
      </c>
      <c r="D27" s="99"/>
      <c r="E27" s="606"/>
      <c r="F27" s="142"/>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row>
    <row r="28" spans="1:59">
      <c r="A28" s="154" t="s">
        <v>236</v>
      </c>
      <c r="C28" s="99" t="s">
        <v>664</v>
      </c>
      <c r="D28" s="99"/>
      <c r="E28" s="608" t="s">
        <v>607</v>
      </c>
      <c r="F28" s="142"/>
      <c r="G28" s="143">
        <f>DEO!J139+DEO!J140</f>
        <v>3615985</v>
      </c>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row>
    <row r="29" spans="1:59" ht="30">
      <c r="A29" s="722" t="s">
        <v>237</v>
      </c>
      <c r="C29" s="721" t="s">
        <v>665</v>
      </c>
      <c r="D29" s="99"/>
      <c r="E29" s="723" t="s">
        <v>800</v>
      </c>
      <c r="F29" s="723"/>
      <c r="G29" s="724">
        <f>IF(G28=0,0,G28/G20)</f>
        <v>4.4676140615172669E-3</v>
      </c>
      <c r="H29" s="725"/>
      <c r="I29" s="726">
        <f>G29</f>
        <v>4.4676140615172669E-3</v>
      </c>
      <c r="K29" s="134"/>
      <c r="L29" s="135"/>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row>
    <row r="30" spans="1:59">
      <c r="A30" s="141"/>
      <c r="E30" s="608"/>
      <c r="F30" s="142"/>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row>
    <row r="31" spans="1:59">
      <c r="A31" s="148"/>
      <c r="C31" s="99" t="s">
        <v>208</v>
      </c>
      <c r="D31" s="99"/>
      <c r="E31" s="606"/>
      <c r="F31" s="105"/>
      <c r="G31" s="103"/>
      <c r="I31" s="103"/>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row>
    <row r="32" spans="1:59">
      <c r="A32" s="148" t="s">
        <v>239</v>
      </c>
      <c r="C32" s="99" t="s">
        <v>210</v>
      </c>
      <c r="D32" s="99"/>
      <c r="E32" s="608" t="s">
        <v>795</v>
      </c>
      <c r="F32" s="142"/>
      <c r="G32" s="143">
        <f>DEO!J152</f>
        <v>31287882</v>
      </c>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row>
    <row r="33" spans="1:54">
      <c r="A33" s="148" t="s">
        <v>241</v>
      </c>
      <c r="C33" s="99" t="s">
        <v>238</v>
      </c>
      <c r="D33" s="99"/>
      <c r="E33" s="608" t="s">
        <v>801</v>
      </c>
      <c r="F33" s="142"/>
      <c r="G33" s="144">
        <f>IF(G32=0,0,G32/G20)</f>
        <v>3.8656737120948512E-2</v>
      </c>
      <c r="I33" s="145">
        <f>G33</f>
        <v>3.8656737120948512E-2</v>
      </c>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row>
    <row r="34" spans="1:54">
      <c r="A34" s="148"/>
      <c r="C34" s="99"/>
      <c r="D34" s="99"/>
      <c r="E34" s="608"/>
      <c r="F34" s="142"/>
      <c r="G34" s="103"/>
      <c r="I34" s="103"/>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row>
    <row r="35" spans="1:54" ht="15.75">
      <c r="A35" s="150" t="s">
        <v>206</v>
      </c>
      <c r="B35" s="151"/>
      <c r="C35" s="139" t="s">
        <v>240</v>
      </c>
      <c r="D35" s="139"/>
      <c r="E35" s="607" t="s">
        <v>438</v>
      </c>
      <c r="F35" s="136"/>
      <c r="G35" s="152"/>
      <c r="I35" s="153">
        <f>I25+I29+I33</f>
        <v>7.1144916560159782E-2</v>
      </c>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row>
    <row r="36" spans="1:54">
      <c r="A36" s="343"/>
      <c r="C36" s="99"/>
      <c r="D36" s="99"/>
      <c r="E36" s="608"/>
      <c r="F36" s="142"/>
      <c r="G36" s="103"/>
      <c r="I36" s="103"/>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row>
    <row r="37" spans="1:54">
      <c r="A37" s="154"/>
      <c r="B37" s="155"/>
      <c r="C37" s="103" t="s">
        <v>212</v>
      </c>
      <c r="D37" s="103"/>
      <c r="E37" s="608"/>
      <c r="F37" s="142"/>
      <c r="G37" s="103"/>
      <c r="I37" s="103"/>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row>
    <row r="38" spans="1:54">
      <c r="A38" s="148" t="s">
        <v>207</v>
      </c>
      <c r="B38" s="155"/>
      <c r="C38" s="103" t="s">
        <v>133</v>
      </c>
      <c r="D38" s="103"/>
      <c r="E38" s="608" t="s">
        <v>794</v>
      </c>
      <c r="F38" s="142"/>
      <c r="G38" s="143">
        <f>DEO!J165</f>
        <v>7298466</v>
      </c>
      <c r="I38" s="103"/>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row>
    <row r="39" spans="1:54">
      <c r="A39" s="148" t="s">
        <v>209</v>
      </c>
      <c r="B39" s="155"/>
      <c r="C39" s="103" t="s">
        <v>242</v>
      </c>
      <c r="D39" s="103"/>
      <c r="E39" s="608" t="s">
        <v>802</v>
      </c>
      <c r="F39" s="142"/>
      <c r="G39" s="144">
        <f>IF(G38=0,0,G38/G21)</f>
        <v>1.2778433801325642E-2</v>
      </c>
      <c r="I39" s="145">
        <f>G39</f>
        <v>1.2778433801325642E-2</v>
      </c>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row>
    <row r="40" spans="1:54">
      <c r="A40" s="148"/>
      <c r="C40" s="103"/>
      <c r="D40" s="103"/>
      <c r="E40" s="608"/>
      <c r="F40" s="142"/>
      <c r="G40" s="103"/>
      <c r="I40" s="103"/>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row>
    <row r="41" spans="1:54">
      <c r="A41" s="148"/>
      <c r="C41" s="99" t="s">
        <v>63</v>
      </c>
      <c r="D41" s="99"/>
      <c r="E41" s="609"/>
      <c r="F41" s="156"/>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row>
    <row r="42" spans="1:54">
      <c r="A42" s="148" t="s">
        <v>211</v>
      </c>
      <c r="C42" s="99" t="s">
        <v>213</v>
      </c>
      <c r="D42" s="99"/>
      <c r="E42" s="608" t="s">
        <v>793</v>
      </c>
      <c r="F42" s="142"/>
      <c r="G42" s="143">
        <f>DEO!J167</f>
        <v>38911000</v>
      </c>
      <c r="I42" s="103"/>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row>
    <row r="43" spans="1:54">
      <c r="A43" s="148" t="s">
        <v>282</v>
      </c>
      <c r="B43" s="155"/>
      <c r="C43" s="103" t="s">
        <v>243</v>
      </c>
      <c r="D43" s="103"/>
      <c r="E43" s="608" t="s">
        <v>799</v>
      </c>
      <c r="F43" s="142"/>
      <c r="G43" s="157">
        <f>IF(G42=0,0,G42/G21)</f>
        <v>6.8126869076787097E-2</v>
      </c>
      <c r="I43" s="145">
        <f>G43</f>
        <v>6.8126869076787097E-2</v>
      </c>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row>
    <row r="44" spans="1:54">
      <c r="A44" s="148"/>
      <c r="C44" s="99"/>
      <c r="D44" s="99"/>
      <c r="E44" s="608"/>
      <c r="F44" s="142"/>
      <c r="G44" s="103"/>
      <c r="I44" s="103"/>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row>
    <row r="45" spans="1:54" ht="15.75">
      <c r="A45" s="150" t="s">
        <v>283</v>
      </c>
      <c r="B45" s="151"/>
      <c r="C45" s="139" t="s">
        <v>244</v>
      </c>
      <c r="D45" s="139"/>
      <c r="E45" s="607" t="s">
        <v>361</v>
      </c>
      <c r="F45" s="136"/>
      <c r="G45" s="152"/>
      <c r="I45" s="153">
        <f>I39+I43</f>
        <v>8.0905302878112734E-2</v>
      </c>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row>
    <row r="46" spans="1:54">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row>
    <row r="47" spans="1:54">
      <c r="A47" s="160"/>
      <c r="B47" s="130"/>
      <c r="C47" s="154"/>
      <c r="D47" s="154"/>
      <c r="E47" s="105"/>
      <c r="F47" s="105"/>
      <c r="G47" s="103"/>
      <c r="H47" s="98"/>
      <c r="I47" s="98"/>
      <c r="J47" s="144"/>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row>
    <row r="48" spans="1:54">
      <c r="A48" s="131"/>
      <c r="C48" s="98"/>
      <c r="D48" s="98"/>
      <c r="E48" s="98"/>
      <c r="F48" s="98"/>
      <c r="G48" s="103"/>
      <c r="H48" s="98"/>
      <c r="I48" s="98"/>
      <c r="J48" s="98"/>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row>
    <row r="49" spans="11:54">
      <c r="X49" s="74" t="s">
        <v>318</v>
      </c>
    </row>
    <row r="50" spans="11:54">
      <c r="X50" s="74" t="s">
        <v>316</v>
      </c>
    </row>
    <row r="51" spans="11:54">
      <c r="X51" s="161" t="s">
        <v>214</v>
      </c>
    </row>
    <row r="52" spans="11:54">
      <c r="K52" s="131"/>
      <c r="M52" s="98"/>
      <c r="N52" s="98"/>
      <c r="O52" s="98"/>
      <c r="P52" s="98"/>
      <c r="Q52" s="103"/>
      <c r="R52" s="98"/>
      <c r="S52" s="98"/>
      <c r="T52" s="98"/>
      <c r="U52" s="98"/>
      <c r="W52" s="103"/>
      <c r="X52" s="161" t="str">
        <f>I4</f>
        <v>For the 12 months ended: 12/31/2017</v>
      </c>
      <c r="Y52" s="134"/>
      <c r="Z52" s="128"/>
      <c r="AA52" s="134"/>
      <c r="AB52" s="135"/>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row>
    <row r="53" spans="11:54">
      <c r="K53" s="131"/>
      <c r="M53" s="99"/>
      <c r="N53" s="98"/>
      <c r="O53" s="98"/>
      <c r="P53" s="98"/>
      <c r="Q53" s="103"/>
      <c r="R53" s="98"/>
      <c r="S53" s="98"/>
      <c r="T53" s="98"/>
      <c r="U53" s="98"/>
      <c r="W53" s="103"/>
      <c r="Y53" s="134"/>
      <c r="Z53" s="128"/>
      <c r="AA53" s="134"/>
      <c r="AB53" s="135"/>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row>
    <row r="54" spans="11:54">
      <c r="K54" s="209" t="str">
        <f>A6</f>
        <v>Rate Formula Template</v>
      </c>
      <c r="L54" s="263"/>
      <c r="M54" s="263"/>
      <c r="N54" s="208"/>
      <c r="O54" s="209"/>
      <c r="P54" s="209"/>
      <c r="Q54" s="263"/>
      <c r="R54" s="209"/>
      <c r="S54" s="209"/>
      <c r="T54" s="209"/>
      <c r="U54" s="209"/>
      <c r="V54" s="263"/>
      <c r="W54" s="207"/>
      <c r="X54" s="263"/>
      <c r="Y54" s="134"/>
      <c r="Z54" s="128"/>
      <c r="AA54" s="134"/>
      <c r="AB54" s="135"/>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row>
    <row r="55" spans="11:54">
      <c r="K55" s="209" t="str">
        <f>A7</f>
        <v>Utilizing Attachment H-22A Data</v>
      </c>
      <c r="L55" s="263"/>
      <c r="M55" s="208"/>
      <c r="N55" s="208"/>
      <c r="O55" s="209"/>
      <c r="P55" s="209"/>
      <c r="Q55" s="263"/>
      <c r="R55" s="209"/>
      <c r="S55" s="209"/>
      <c r="T55" s="209"/>
      <c r="U55" s="209"/>
      <c r="V55" s="207"/>
      <c r="W55" s="207"/>
      <c r="X55" s="263"/>
      <c r="Y55" s="134"/>
      <c r="Z55" s="128"/>
      <c r="AA55" s="134"/>
      <c r="AB55" s="135"/>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row>
    <row r="56" spans="11:54" ht="14.25" customHeight="1">
      <c r="K56" s="262"/>
      <c r="M56" s="98"/>
      <c r="N56" s="98"/>
      <c r="O56" s="98"/>
      <c r="P56" s="98"/>
      <c r="R56" s="209"/>
      <c r="S56" s="98"/>
      <c r="T56" s="98"/>
      <c r="U56" s="98"/>
      <c r="W56" s="103"/>
      <c r="X56" s="98"/>
      <c r="Y56" s="134"/>
      <c r="Z56" s="128"/>
      <c r="AA56" s="134"/>
      <c r="AB56" s="135"/>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row>
    <row r="57" spans="11:54">
      <c r="K57" s="209" t="str">
        <f>A9</f>
        <v>DUKE ENERGY OHIO (DEO)</v>
      </c>
      <c r="L57" s="263"/>
      <c r="M57" s="263"/>
      <c r="N57" s="263"/>
      <c r="O57" s="209"/>
      <c r="P57" s="209"/>
      <c r="Q57" s="263"/>
      <c r="R57" s="209"/>
      <c r="S57" s="209"/>
      <c r="T57" s="209"/>
      <c r="U57" s="209"/>
      <c r="V57" s="209"/>
      <c r="W57" s="207"/>
      <c r="X57" s="207"/>
      <c r="Y57" s="134"/>
      <c r="Z57" s="128"/>
      <c r="AA57" s="134"/>
      <c r="AB57" s="135"/>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30"/>
      <c r="BA57" s="130"/>
      <c r="BB57" s="130"/>
    </row>
    <row r="58" spans="11:54">
      <c r="K58" s="209" t="str">
        <f>A10</f>
        <v>MTEP - Transmission Enhancement Charges</v>
      </c>
      <c r="L58" s="263"/>
      <c r="M58" s="263"/>
      <c r="N58" s="263"/>
      <c r="O58" s="208"/>
      <c r="P58" s="208"/>
      <c r="Q58" s="208"/>
      <c r="R58" s="208"/>
      <c r="S58" s="208"/>
      <c r="T58" s="208"/>
      <c r="U58" s="208"/>
      <c r="V58" s="208"/>
      <c r="W58" s="208"/>
      <c r="X58" s="208"/>
      <c r="Y58" s="134"/>
      <c r="Z58" s="128"/>
      <c r="AA58" s="134"/>
      <c r="AB58" s="135"/>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30"/>
      <c r="BA58" s="130"/>
      <c r="BB58" s="130"/>
    </row>
    <row r="59" spans="11:54">
      <c r="K59" s="131"/>
      <c r="O59" s="99"/>
      <c r="P59" s="99"/>
      <c r="Q59" s="99"/>
      <c r="R59" s="99"/>
      <c r="S59" s="99"/>
      <c r="T59" s="99"/>
      <c r="U59" s="99"/>
      <c r="V59" s="99"/>
      <c r="W59" s="99"/>
      <c r="X59" s="99"/>
      <c r="Y59" s="134"/>
      <c r="Z59" s="128"/>
      <c r="AA59" s="134"/>
      <c r="AB59" s="135"/>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c r="AZ59" s="130"/>
      <c r="BA59" s="130"/>
      <c r="BB59" s="130"/>
    </row>
    <row r="60" spans="11:54" ht="15.75">
      <c r="K60" s="264" t="s">
        <v>291</v>
      </c>
      <c r="L60" s="263"/>
      <c r="M60" s="209"/>
      <c r="N60" s="209"/>
      <c r="O60" s="263"/>
      <c r="P60" s="264"/>
      <c r="Q60" s="263"/>
      <c r="R60" s="208"/>
      <c r="S60" s="208"/>
      <c r="T60" s="208"/>
      <c r="U60" s="208"/>
      <c r="V60" s="208"/>
      <c r="W60" s="207"/>
      <c r="X60" s="207"/>
      <c r="Y60" s="134"/>
      <c r="Z60" s="128"/>
      <c r="AA60" s="134"/>
      <c r="AB60" s="135"/>
      <c r="AC60" s="130"/>
      <c r="AD60" s="130"/>
      <c r="AE60" s="130"/>
      <c r="AF60" s="130"/>
      <c r="AG60" s="130"/>
      <c r="AH60" s="130"/>
      <c r="AI60" s="130"/>
      <c r="AJ60" s="130"/>
      <c r="AK60" s="130"/>
      <c r="AL60" s="130"/>
      <c r="AM60" s="130"/>
      <c r="AN60" s="130"/>
      <c r="AO60" s="130"/>
      <c r="AP60" s="130"/>
      <c r="AQ60" s="130"/>
      <c r="AR60" s="130"/>
      <c r="AS60" s="130"/>
      <c r="AT60" s="130"/>
      <c r="AU60" s="130"/>
      <c r="AV60" s="130"/>
      <c r="AW60" s="130"/>
      <c r="AX60" s="130"/>
      <c r="AY60" s="130"/>
      <c r="AZ60" s="130"/>
      <c r="BA60" s="130"/>
      <c r="BB60" s="130"/>
    </row>
    <row r="61" spans="11:54" ht="15.75">
      <c r="K61" s="131"/>
      <c r="M61" s="98"/>
      <c r="N61" s="98"/>
      <c r="O61" s="139"/>
      <c r="P61" s="139"/>
      <c r="R61" s="102"/>
      <c r="S61" s="102"/>
      <c r="T61" s="102"/>
      <c r="U61" s="102"/>
      <c r="V61" s="102"/>
      <c r="W61" s="103"/>
      <c r="X61" s="103"/>
      <c r="Y61" s="134"/>
      <c r="Z61" s="128"/>
      <c r="AA61" s="134"/>
      <c r="AB61" s="135"/>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0"/>
      <c r="AZ61" s="130"/>
      <c r="BA61" s="130"/>
      <c r="BB61" s="130"/>
    </row>
    <row r="62" spans="11:54" ht="15.75">
      <c r="K62" s="131"/>
      <c r="M62" s="162">
        <v>-1</v>
      </c>
      <c r="N62" s="162">
        <v>-2</v>
      </c>
      <c r="O62" s="162">
        <v>-3</v>
      </c>
      <c r="P62" s="162">
        <v>-4</v>
      </c>
      <c r="Q62" s="162">
        <v>-5</v>
      </c>
      <c r="R62" s="162">
        <v>-6</v>
      </c>
      <c r="S62" s="162">
        <v>-7</v>
      </c>
      <c r="T62" s="162">
        <v>-8</v>
      </c>
      <c r="U62" s="162">
        <v>-9</v>
      </c>
      <c r="V62" s="162">
        <v>-10</v>
      </c>
      <c r="W62" s="162">
        <v>-11</v>
      </c>
      <c r="X62" s="162">
        <v>-12</v>
      </c>
      <c r="Y62" s="134"/>
      <c r="Z62" s="128"/>
      <c r="AA62" s="134"/>
      <c r="AB62" s="135"/>
      <c r="AC62" s="130"/>
      <c r="AD62" s="130"/>
      <c r="AE62" s="130"/>
      <c r="AF62" s="130"/>
      <c r="AG62" s="130"/>
      <c r="AH62" s="130"/>
      <c r="AI62" s="130"/>
      <c r="AJ62" s="130"/>
      <c r="AK62" s="130"/>
      <c r="AL62" s="130"/>
      <c r="AM62" s="130"/>
      <c r="AN62" s="130"/>
      <c r="AO62" s="130"/>
      <c r="AP62" s="130"/>
      <c r="AQ62" s="130"/>
      <c r="AR62" s="130"/>
      <c r="AS62" s="130"/>
      <c r="AT62" s="130"/>
      <c r="AU62" s="130"/>
      <c r="AV62" s="130"/>
      <c r="AW62" s="130"/>
      <c r="AX62" s="130"/>
      <c r="AY62" s="130"/>
      <c r="AZ62" s="130"/>
      <c r="BA62" s="130"/>
      <c r="BB62" s="130"/>
    </row>
    <row r="63" spans="11:54" ht="63">
      <c r="K63" s="163" t="s">
        <v>245</v>
      </c>
      <c r="L63" s="164"/>
      <c r="M63" s="164" t="s">
        <v>221</v>
      </c>
      <c r="N63" s="165" t="s">
        <v>246</v>
      </c>
      <c r="O63" s="166" t="s">
        <v>247</v>
      </c>
      <c r="P63" s="166" t="s">
        <v>240</v>
      </c>
      <c r="Q63" s="167" t="s">
        <v>248</v>
      </c>
      <c r="R63" s="166" t="s">
        <v>249</v>
      </c>
      <c r="S63" s="166" t="s">
        <v>244</v>
      </c>
      <c r="T63" s="167" t="s">
        <v>250</v>
      </c>
      <c r="U63" s="166" t="s">
        <v>251</v>
      </c>
      <c r="V63" s="168" t="s">
        <v>252</v>
      </c>
      <c r="W63" s="169" t="s">
        <v>253</v>
      </c>
      <c r="X63" s="168" t="s">
        <v>254</v>
      </c>
      <c r="Y63" s="147"/>
      <c r="Z63" s="128"/>
      <c r="AA63" s="134"/>
      <c r="AB63" s="135"/>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row>
    <row r="64" spans="11:54" ht="46.5" customHeight="1">
      <c r="K64" s="170"/>
      <c r="L64" s="171"/>
      <c r="M64" s="171"/>
      <c r="N64" s="171"/>
      <c r="O64" s="172" t="s">
        <v>17</v>
      </c>
      <c r="P64" s="610" t="s">
        <v>865</v>
      </c>
      <c r="Q64" s="173" t="s">
        <v>255</v>
      </c>
      <c r="R64" s="610" t="s">
        <v>18</v>
      </c>
      <c r="S64" s="610" t="s">
        <v>866</v>
      </c>
      <c r="T64" s="173" t="s">
        <v>256</v>
      </c>
      <c r="U64" s="610" t="s">
        <v>257</v>
      </c>
      <c r="V64" s="173" t="s">
        <v>258</v>
      </c>
      <c r="W64" s="174" t="s">
        <v>215</v>
      </c>
      <c r="X64" s="175" t="s">
        <v>259</v>
      </c>
      <c r="Y64" s="134"/>
      <c r="Z64" s="128"/>
      <c r="AA64" s="134"/>
      <c r="AB64" s="135"/>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c r="AZ64" s="130"/>
      <c r="BA64" s="130"/>
      <c r="BB64" s="130"/>
    </row>
    <row r="65" spans="11:54">
      <c r="K65" s="176"/>
      <c r="L65" s="102"/>
      <c r="M65" s="102"/>
      <c r="N65" s="102"/>
      <c r="O65" s="102"/>
      <c r="P65" s="102"/>
      <c r="Q65" s="177"/>
      <c r="R65" s="102"/>
      <c r="S65" s="102"/>
      <c r="T65" s="177"/>
      <c r="U65" s="102"/>
      <c r="V65" s="177"/>
      <c r="W65" s="103"/>
      <c r="X65" s="178"/>
      <c r="Y65" s="134"/>
      <c r="Z65" s="128"/>
      <c r="AA65" s="134"/>
      <c r="AB65" s="135"/>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row>
    <row r="66" spans="11:54">
      <c r="K66" s="179" t="s">
        <v>1</v>
      </c>
      <c r="M66" s="395" t="s">
        <v>274</v>
      </c>
      <c r="N66" s="857">
        <v>91</v>
      </c>
      <c r="O66" s="1054">
        <v>17801478</v>
      </c>
      <c r="P66" s="145">
        <f>$I$35</f>
        <v>7.1144916560159782E-2</v>
      </c>
      <c r="Q66" s="181">
        <f>O66*P66</f>
        <v>1266484.6669575199</v>
      </c>
      <c r="R66" s="1054">
        <v>14884913</v>
      </c>
      <c r="S66" s="145">
        <f>$I$45</f>
        <v>8.0905302878112734E-2</v>
      </c>
      <c r="T66" s="181">
        <f>R66*S66</f>
        <v>1204268.3945793577</v>
      </c>
      <c r="U66" s="1055">
        <v>320132</v>
      </c>
      <c r="V66" s="181">
        <f>Q66+T66+U66</f>
        <v>2790885.0615368774</v>
      </c>
      <c r="W66" s="183">
        <v>0</v>
      </c>
      <c r="X66" s="181">
        <f>V66+W66</f>
        <v>2790885.0615368774</v>
      </c>
      <c r="Y66" s="184"/>
      <c r="Z66" s="184"/>
      <c r="AA66" s="184"/>
      <c r="AB66" s="184"/>
    </row>
    <row r="67" spans="11:54">
      <c r="K67" s="179" t="s">
        <v>262</v>
      </c>
      <c r="M67" s="395" t="s">
        <v>263</v>
      </c>
      <c r="N67" s="395" t="s">
        <v>264</v>
      </c>
      <c r="O67" s="236">
        <v>0</v>
      </c>
      <c r="P67" s="145">
        <f>$I$35</f>
        <v>7.1144916560159782E-2</v>
      </c>
      <c r="Q67" s="181">
        <f>O67*P67</f>
        <v>0</v>
      </c>
      <c r="R67" s="180">
        <v>0</v>
      </c>
      <c r="S67" s="145">
        <f>$I$45</f>
        <v>8.0905302878112734E-2</v>
      </c>
      <c r="T67" s="181">
        <f>R67*S67</f>
        <v>0</v>
      </c>
      <c r="U67" s="182">
        <v>0</v>
      </c>
      <c r="V67" s="181">
        <f>Q67+T67+U67</f>
        <v>0</v>
      </c>
      <c r="W67" s="183">
        <v>0</v>
      </c>
      <c r="X67" s="181">
        <f>V67+W67</f>
        <v>0</v>
      </c>
      <c r="Y67" s="184"/>
      <c r="Z67" s="184"/>
      <c r="AA67" s="184"/>
      <c r="AB67" s="184"/>
    </row>
    <row r="68" spans="11:54">
      <c r="K68" s="179" t="s">
        <v>265</v>
      </c>
      <c r="M68" s="395" t="s">
        <v>266</v>
      </c>
      <c r="N68" s="395" t="s">
        <v>267</v>
      </c>
      <c r="O68" s="236">
        <v>0</v>
      </c>
      <c r="P68" s="145">
        <f>$I$35</f>
        <v>7.1144916560159782E-2</v>
      </c>
      <c r="Q68" s="181">
        <f>O68*P68</f>
        <v>0</v>
      </c>
      <c r="R68" s="180">
        <v>0</v>
      </c>
      <c r="S68" s="145">
        <f>$I$45</f>
        <v>8.0905302878112734E-2</v>
      </c>
      <c r="T68" s="181">
        <f>R68*S68</f>
        <v>0</v>
      </c>
      <c r="U68" s="182">
        <v>0</v>
      </c>
      <c r="V68" s="181">
        <f>Q68+T68+U68</f>
        <v>0</v>
      </c>
      <c r="W68" s="180">
        <v>0</v>
      </c>
      <c r="X68" s="181">
        <f>V68+W68</f>
        <v>0</v>
      </c>
      <c r="Y68" s="184"/>
      <c r="Z68" s="184"/>
      <c r="AA68" s="184"/>
      <c r="AB68" s="184"/>
    </row>
    <row r="69" spans="11:54">
      <c r="K69" s="179"/>
      <c r="Q69" s="181"/>
      <c r="T69" s="181"/>
      <c r="V69" s="181"/>
      <c r="X69" s="181"/>
      <c r="Y69" s="184"/>
      <c r="Z69" s="184"/>
      <c r="AA69" s="184"/>
      <c r="AB69" s="184"/>
    </row>
    <row r="70" spans="11:54">
      <c r="K70" s="179"/>
      <c r="Q70" s="181"/>
      <c r="T70" s="181"/>
      <c r="V70" s="181"/>
      <c r="X70" s="181"/>
      <c r="Y70" s="184"/>
      <c r="Z70" s="184"/>
      <c r="AA70" s="184"/>
      <c r="AB70" s="184"/>
    </row>
    <row r="71" spans="11:54">
      <c r="K71" s="179"/>
      <c r="Q71" s="181"/>
      <c r="T71" s="181"/>
      <c r="V71" s="181"/>
      <c r="X71" s="181"/>
      <c r="Y71" s="184"/>
      <c r="Z71" s="184"/>
      <c r="AA71" s="184"/>
      <c r="AB71" s="184"/>
    </row>
    <row r="72" spans="11:54">
      <c r="K72" s="179"/>
      <c r="Q72" s="181"/>
      <c r="T72" s="181"/>
      <c r="V72" s="181"/>
      <c r="X72" s="181"/>
      <c r="Y72" s="184"/>
      <c r="Z72" s="184"/>
      <c r="AA72" s="184"/>
      <c r="AB72" s="184"/>
    </row>
    <row r="73" spans="11:54">
      <c r="K73" s="179"/>
      <c r="Q73" s="181"/>
      <c r="T73" s="181"/>
      <c r="V73" s="181"/>
      <c r="X73" s="181"/>
      <c r="Y73" s="184"/>
      <c r="Z73" s="184"/>
      <c r="AA73" s="184"/>
      <c r="AB73" s="184"/>
    </row>
    <row r="74" spans="11:54">
      <c r="K74" s="179"/>
      <c r="M74" s="184"/>
      <c r="N74" s="184"/>
      <c r="O74" s="184"/>
      <c r="P74" s="184"/>
      <c r="Q74" s="185"/>
      <c r="R74" s="184"/>
      <c r="S74" s="184"/>
      <c r="T74" s="185"/>
      <c r="U74" s="184"/>
      <c r="V74" s="185"/>
      <c r="W74" s="184"/>
      <c r="X74" s="185"/>
      <c r="Y74" s="184"/>
      <c r="Z74" s="184"/>
      <c r="AA74" s="184"/>
      <c r="AB74" s="184"/>
    </row>
    <row r="75" spans="11:54">
      <c r="K75" s="179"/>
      <c r="M75" s="184"/>
      <c r="N75" s="184"/>
      <c r="O75" s="184"/>
      <c r="P75" s="184"/>
      <c r="Q75" s="185"/>
      <c r="R75" s="184"/>
      <c r="S75" s="184"/>
      <c r="T75" s="185"/>
      <c r="U75" s="184"/>
      <c r="V75" s="185"/>
      <c r="W75" s="184"/>
      <c r="X75" s="185"/>
      <c r="Y75" s="184"/>
      <c r="Z75" s="184"/>
      <c r="AA75" s="184"/>
      <c r="AB75" s="184"/>
    </row>
    <row r="76" spans="11:54">
      <c r="K76" s="179"/>
      <c r="M76" s="184"/>
      <c r="N76" s="184"/>
      <c r="O76" s="184"/>
      <c r="P76" s="184"/>
      <c r="Q76" s="185"/>
      <c r="R76" s="184"/>
      <c r="S76" s="184"/>
      <c r="T76" s="185"/>
      <c r="U76" s="184"/>
      <c r="V76" s="185"/>
      <c r="W76" s="184"/>
      <c r="X76" s="185"/>
      <c r="Y76" s="184"/>
      <c r="Z76" s="184"/>
      <c r="AA76" s="184"/>
      <c r="AB76" s="184"/>
    </row>
    <row r="77" spans="11:54">
      <c r="K77" s="179"/>
      <c r="M77" s="184"/>
      <c r="N77" s="184"/>
      <c r="O77" s="184"/>
      <c r="P77" s="184"/>
      <c r="Q77" s="185"/>
      <c r="R77" s="184"/>
      <c r="S77" s="184"/>
      <c r="T77" s="185"/>
      <c r="U77" s="184"/>
      <c r="V77" s="185"/>
      <c r="W77" s="184"/>
      <c r="X77" s="185"/>
      <c r="Y77" s="184"/>
      <c r="Z77" s="184"/>
      <c r="AA77" s="184"/>
      <c r="AB77" s="184"/>
    </row>
    <row r="78" spans="11:54">
      <c r="K78" s="179"/>
      <c r="M78" s="184"/>
      <c r="N78" s="184"/>
      <c r="O78" s="184"/>
      <c r="P78" s="184"/>
      <c r="Q78" s="185"/>
      <c r="R78" s="184"/>
      <c r="S78" s="184"/>
      <c r="T78" s="185"/>
      <c r="U78" s="184"/>
      <c r="V78" s="185"/>
      <c r="W78" s="184"/>
      <c r="X78" s="185"/>
      <c r="Y78" s="184"/>
      <c r="Z78" s="184"/>
      <c r="AA78" s="184"/>
      <c r="AB78" s="184"/>
    </row>
    <row r="79" spans="11:54">
      <c r="K79" s="179"/>
      <c r="M79" s="184"/>
      <c r="N79" s="184"/>
      <c r="O79" s="184"/>
      <c r="P79" s="184"/>
      <c r="Q79" s="185"/>
      <c r="R79" s="184"/>
      <c r="S79" s="184"/>
      <c r="T79" s="185"/>
      <c r="U79" s="184"/>
      <c r="V79" s="185"/>
      <c r="W79" s="184"/>
      <c r="X79" s="185"/>
      <c r="Y79" s="184"/>
      <c r="Z79" s="184"/>
      <c r="AA79" s="184"/>
      <c r="AB79" s="184"/>
    </row>
    <row r="80" spans="11:54">
      <c r="K80" s="179"/>
      <c r="M80" s="184"/>
      <c r="N80" s="184"/>
      <c r="O80" s="184"/>
      <c r="P80" s="184"/>
      <c r="Q80" s="185"/>
      <c r="R80" s="184"/>
      <c r="S80" s="184"/>
      <c r="T80" s="185"/>
      <c r="U80" s="184"/>
      <c r="V80" s="185"/>
      <c r="W80" s="184"/>
      <c r="X80" s="185"/>
      <c r="Y80" s="184"/>
      <c r="Z80" s="184"/>
      <c r="AA80" s="184"/>
      <c r="AB80" s="184"/>
    </row>
    <row r="81" spans="11:28">
      <c r="K81" s="179"/>
      <c r="M81" s="184"/>
      <c r="N81" s="184"/>
      <c r="O81" s="184"/>
      <c r="P81" s="184"/>
      <c r="Q81" s="185"/>
      <c r="R81" s="184"/>
      <c r="S81" s="184"/>
      <c r="T81" s="185"/>
      <c r="U81" s="184"/>
      <c r="V81" s="185"/>
      <c r="W81" s="184"/>
      <c r="X81" s="185"/>
      <c r="Y81" s="184"/>
      <c r="Z81" s="184"/>
      <c r="AA81" s="184"/>
      <c r="AB81" s="184"/>
    </row>
    <row r="82" spans="11:28">
      <c r="K82" s="179"/>
      <c r="M82" s="184"/>
      <c r="N82" s="184"/>
      <c r="O82" s="184"/>
      <c r="P82" s="184"/>
      <c r="Q82" s="185"/>
      <c r="R82" s="184"/>
      <c r="S82" s="184"/>
      <c r="T82" s="185"/>
      <c r="U82" s="184"/>
      <c r="V82" s="185"/>
      <c r="W82" s="184"/>
      <c r="X82" s="185"/>
      <c r="Y82" s="184"/>
      <c r="Z82" s="184"/>
      <c r="AA82" s="184"/>
      <c r="AB82" s="184"/>
    </row>
    <row r="83" spans="11:28">
      <c r="K83" s="179"/>
      <c r="M83" s="184"/>
      <c r="N83" s="184"/>
      <c r="O83" s="184"/>
      <c r="P83" s="184"/>
      <c r="Q83" s="185"/>
      <c r="R83" s="184"/>
      <c r="S83" s="184"/>
      <c r="T83" s="185"/>
      <c r="U83" s="184"/>
      <c r="V83" s="185"/>
      <c r="W83" s="184"/>
      <c r="X83" s="185"/>
      <c r="Y83" s="184"/>
      <c r="Z83" s="184"/>
      <c r="AA83" s="184"/>
      <c r="AB83" s="184"/>
    </row>
    <row r="84" spans="11:28">
      <c r="K84" s="179"/>
      <c r="M84" s="184"/>
      <c r="N84" s="184"/>
      <c r="O84" s="184"/>
      <c r="P84" s="184"/>
      <c r="Q84" s="185"/>
      <c r="R84" s="184"/>
      <c r="S84" s="184"/>
      <c r="T84" s="185"/>
      <c r="U84" s="184"/>
      <c r="V84" s="185"/>
      <c r="W84" s="184"/>
      <c r="X84" s="185"/>
      <c r="Y84" s="184"/>
      <c r="Z84" s="184"/>
      <c r="AA84" s="184"/>
      <c r="AB84" s="184"/>
    </row>
    <row r="85" spans="11:28">
      <c r="K85" s="186"/>
      <c r="L85" s="187"/>
      <c r="M85" s="188"/>
      <c r="N85" s="188"/>
      <c r="O85" s="188"/>
      <c r="P85" s="188"/>
      <c r="Q85" s="189"/>
      <c r="R85" s="188"/>
      <c r="S85" s="188"/>
      <c r="T85" s="189"/>
      <c r="U85" s="188"/>
      <c r="V85" s="189"/>
      <c r="W85" s="188"/>
      <c r="X85" s="189"/>
      <c r="Y85" s="184"/>
      <c r="Z85" s="184"/>
      <c r="AA85" s="184"/>
      <c r="AB85" s="184"/>
    </row>
    <row r="86" spans="11:28">
      <c r="K86" s="133" t="s">
        <v>268</v>
      </c>
      <c r="L86" s="155"/>
      <c r="M86" s="99" t="s">
        <v>269</v>
      </c>
      <c r="N86" s="99"/>
      <c r="O86" s="105"/>
      <c r="P86" s="105"/>
      <c r="Q86" s="103"/>
      <c r="R86" s="103"/>
      <c r="S86" s="103"/>
      <c r="T86" s="103"/>
      <c r="U86" s="103"/>
      <c r="V86" s="962">
        <f>SUM(V66:V85)</f>
        <v>2790885.0615368774</v>
      </c>
      <c r="W86" s="962">
        <f>SUM(W66:W85)</f>
        <v>0</v>
      </c>
      <c r="X86" s="962">
        <f>SUM(X66:X85)</f>
        <v>2790885.0615368774</v>
      </c>
      <c r="Y86" s="184"/>
      <c r="Z86" s="184"/>
      <c r="AA86" s="184"/>
      <c r="AB86" s="184"/>
    </row>
    <row r="87" spans="11:28">
      <c r="K87" s="93"/>
      <c r="L87" s="184"/>
      <c r="M87" s="184"/>
      <c r="N87" s="184"/>
      <c r="O87" s="184"/>
      <c r="P87" s="184"/>
      <c r="Q87" s="184"/>
      <c r="R87" s="184"/>
      <c r="S87" s="184"/>
      <c r="T87" s="184"/>
      <c r="U87" s="184"/>
      <c r="V87" s="963"/>
      <c r="W87" s="963"/>
      <c r="X87" s="963"/>
      <c r="Y87" s="184"/>
      <c r="Z87" s="184"/>
      <c r="AA87" s="184"/>
      <c r="AB87" s="184"/>
    </row>
    <row r="88" spans="11:28">
      <c r="K88" s="190">
        <v>3</v>
      </c>
      <c r="L88" s="184"/>
      <c r="M88" s="614" t="str">
        <f>'Appx C - DEOK(MTEP)'!D40</f>
        <v>MTEP Transmission Enhancement Charges</v>
      </c>
      <c r="N88" s="184"/>
      <c r="O88" s="184"/>
      <c r="P88" s="184"/>
      <c r="Q88" s="184"/>
      <c r="R88" s="184"/>
      <c r="S88" s="184"/>
      <c r="T88" s="184"/>
      <c r="U88" s="184"/>
      <c r="V88" s="962"/>
      <c r="W88" s="963"/>
      <c r="X88" s="962">
        <f>X86</f>
        <v>2790885.0615368774</v>
      </c>
      <c r="Y88" s="184"/>
      <c r="Z88" s="184"/>
      <c r="AA88" s="184"/>
      <c r="AB88" s="184"/>
    </row>
    <row r="89" spans="11:28">
      <c r="K89" s="184"/>
      <c r="L89" s="184"/>
      <c r="M89" s="184"/>
      <c r="N89" s="184"/>
      <c r="O89" s="184"/>
      <c r="P89" s="184"/>
      <c r="Q89" s="184"/>
      <c r="R89" s="184"/>
      <c r="S89" s="184"/>
      <c r="T89" s="184"/>
      <c r="U89" s="184"/>
      <c r="V89" s="184"/>
      <c r="W89" s="184"/>
      <c r="X89" s="184"/>
      <c r="Y89" s="184"/>
      <c r="Z89" s="184"/>
      <c r="AA89" s="184"/>
      <c r="AB89" s="184"/>
    </row>
    <row r="90" spans="11:28">
      <c r="K90" s="184"/>
      <c r="L90" s="184"/>
      <c r="M90" s="184"/>
      <c r="N90" s="184"/>
      <c r="O90" s="184"/>
      <c r="P90" s="184"/>
      <c r="Q90" s="184"/>
      <c r="R90" s="184"/>
      <c r="S90" s="184"/>
      <c r="T90" s="184"/>
      <c r="U90" s="184"/>
      <c r="V90" s="184"/>
      <c r="W90" s="184"/>
      <c r="X90" s="184"/>
      <c r="Y90" s="184"/>
      <c r="Z90" s="184"/>
      <c r="AA90" s="184"/>
      <c r="AB90" s="184"/>
    </row>
    <row r="91" spans="11:28">
      <c r="K91" s="98" t="s">
        <v>98</v>
      </c>
      <c r="L91" s="184"/>
      <c r="M91" s="184"/>
      <c r="N91" s="184"/>
      <c r="O91" s="184"/>
      <c r="P91" s="184"/>
      <c r="Q91" s="184"/>
      <c r="R91" s="184"/>
      <c r="S91" s="184"/>
      <c r="T91" s="184"/>
      <c r="U91" s="184"/>
      <c r="V91" s="184"/>
      <c r="W91" s="184"/>
      <c r="X91" s="184"/>
      <c r="Y91" s="184"/>
      <c r="Z91" s="184"/>
      <c r="AA91" s="184"/>
      <c r="AB91" s="184"/>
    </row>
    <row r="92" spans="11:28" ht="15.75" thickBot="1">
      <c r="K92" s="191" t="s">
        <v>99</v>
      </c>
      <c r="L92" s="184"/>
      <c r="M92" s="184"/>
      <c r="N92" s="184"/>
      <c r="O92" s="184"/>
      <c r="P92" s="184"/>
      <c r="Q92" s="184"/>
      <c r="R92" s="184"/>
      <c r="S92" s="184"/>
      <c r="T92" s="184"/>
      <c r="U92" s="184"/>
      <c r="V92" s="184"/>
      <c r="W92" s="184"/>
      <c r="X92" s="184"/>
      <c r="Y92" s="184"/>
      <c r="Z92" s="184"/>
      <c r="AA92" s="184"/>
      <c r="AB92" s="184"/>
    </row>
    <row r="93" spans="11:28">
      <c r="K93" s="192" t="s">
        <v>100</v>
      </c>
      <c r="L93" s="101"/>
      <c r="M93" s="1079" t="s">
        <v>667</v>
      </c>
      <c r="N93" s="1080"/>
      <c r="O93" s="1080"/>
      <c r="P93" s="1080"/>
      <c r="Q93" s="1080"/>
      <c r="R93" s="1080"/>
      <c r="S93" s="1080"/>
      <c r="T93" s="1080"/>
      <c r="U93" s="1080"/>
      <c r="V93" s="1080"/>
      <c r="W93" s="1080"/>
      <c r="X93" s="1080"/>
      <c r="Y93" s="184"/>
      <c r="Z93" s="184"/>
      <c r="AA93" s="184"/>
      <c r="AB93" s="184"/>
    </row>
    <row r="94" spans="11:28">
      <c r="K94" s="192" t="s">
        <v>101</v>
      </c>
      <c r="L94" s="101"/>
      <c r="M94" s="1079" t="s">
        <v>668</v>
      </c>
      <c r="N94" s="1080"/>
      <c r="O94" s="1080"/>
      <c r="P94" s="1080"/>
      <c r="Q94" s="1080"/>
      <c r="R94" s="1080"/>
      <c r="S94" s="1080"/>
      <c r="T94" s="1080"/>
      <c r="U94" s="1080"/>
      <c r="V94" s="1080"/>
      <c r="W94" s="1080"/>
      <c r="X94" s="1080"/>
      <c r="Y94" s="184"/>
      <c r="Z94" s="184"/>
      <c r="AA94" s="184"/>
      <c r="AB94" s="184"/>
    </row>
    <row r="95" spans="11:28" ht="27.75" customHeight="1">
      <c r="K95" s="193" t="s">
        <v>102</v>
      </c>
      <c r="L95" s="101"/>
      <c r="M95" s="1081" t="s">
        <v>270</v>
      </c>
      <c r="N95" s="1081"/>
      <c r="O95" s="1081"/>
      <c r="P95" s="1081"/>
      <c r="Q95" s="1081"/>
      <c r="R95" s="1081"/>
      <c r="S95" s="1081"/>
      <c r="T95" s="1081"/>
      <c r="U95" s="1081"/>
      <c r="V95" s="1081"/>
      <c r="W95" s="1081"/>
      <c r="X95" s="1081"/>
      <c r="Y95" s="184"/>
      <c r="Z95" s="184"/>
      <c r="AA95" s="184"/>
      <c r="AB95" s="184"/>
    </row>
    <row r="96" spans="11:28" ht="15" customHeight="1">
      <c r="K96" s="193" t="s">
        <v>103</v>
      </c>
      <c r="L96" s="101"/>
      <c r="M96" s="1081" t="s">
        <v>271</v>
      </c>
      <c r="N96" s="1081"/>
      <c r="O96" s="1081"/>
      <c r="P96" s="1081"/>
      <c r="Q96" s="1081"/>
      <c r="R96" s="1081"/>
      <c r="S96" s="1081"/>
      <c r="T96" s="1081"/>
      <c r="U96" s="1081"/>
      <c r="V96" s="1081"/>
      <c r="W96" s="1081"/>
      <c r="X96" s="1081"/>
      <c r="Y96" s="184"/>
      <c r="Z96" s="184"/>
      <c r="AA96" s="184"/>
      <c r="AB96" s="184"/>
    </row>
    <row r="97" spans="3:28">
      <c r="K97" s="192" t="s">
        <v>104</v>
      </c>
      <c r="L97" s="101"/>
      <c r="M97" s="1080" t="s">
        <v>334</v>
      </c>
      <c r="N97" s="1080"/>
      <c r="O97" s="1080"/>
      <c r="P97" s="1080"/>
      <c r="Q97" s="1080"/>
      <c r="R97" s="1080"/>
      <c r="S97" s="1080"/>
      <c r="T97" s="1080"/>
      <c r="U97" s="1080"/>
      <c r="V97" s="1080"/>
      <c r="W97" s="1080"/>
      <c r="X97" s="1080"/>
      <c r="Y97" s="184"/>
      <c r="Z97" s="184"/>
      <c r="AA97" s="184"/>
      <c r="AB97" s="184"/>
    </row>
    <row r="98" spans="3:28">
      <c r="K98" s="192" t="s">
        <v>105</v>
      </c>
      <c r="L98" s="101"/>
      <c r="M98" s="1080" t="s">
        <v>272</v>
      </c>
      <c r="N98" s="1080"/>
      <c r="O98" s="1080"/>
      <c r="P98" s="1080"/>
      <c r="Q98" s="1080"/>
      <c r="R98" s="1080"/>
      <c r="S98" s="1080"/>
      <c r="T98" s="1080"/>
      <c r="U98" s="1080"/>
      <c r="V98" s="1080"/>
      <c r="W98" s="1080"/>
      <c r="X98" s="1080"/>
      <c r="Y98" s="184"/>
      <c r="Z98" s="184"/>
      <c r="AA98" s="184"/>
      <c r="AB98" s="184"/>
    </row>
    <row r="99" spans="3:28">
      <c r="K99" s="192" t="s">
        <v>106</v>
      </c>
      <c r="L99" s="101"/>
      <c r="M99" s="1080" t="s">
        <v>273</v>
      </c>
      <c r="N99" s="1080"/>
      <c r="O99" s="1080"/>
      <c r="P99" s="1080"/>
      <c r="Q99" s="1080"/>
      <c r="R99" s="1080"/>
      <c r="S99" s="1080"/>
      <c r="T99" s="1080"/>
      <c r="U99" s="1080"/>
      <c r="V99" s="1080"/>
      <c r="W99" s="1080"/>
      <c r="X99" s="1080"/>
      <c r="Y99" s="184"/>
      <c r="Z99" s="184"/>
      <c r="AA99" s="184"/>
      <c r="AB99" s="184"/>
    </row>
    <row r="100" spans="3:28">
      <c r="K100" s="383" t="s">
        <v>108</v>
      </c>
      <c r="L100" s="130"/>
      <c r="M100" s="1079" t="s">
        <v>358</v>
      </c>
      <c r="N100" s="1079"/>
      <c r="O100" s="1079"/>
      <c r="P100" s="1079"/>
      <c r="Q100" s="1079"/>
      <c r="R100" s="1079"/>
      <c r="S100" s="1079"/>
      <c r="T100" s="1079"/>
      <c r="U100" s="1079"/>
      <c r="V100" s="1079"/>
      <c r="W100" s="1079"/>
      <c r="X100" s="1079"/>
      <c r="Y100" s="184"/>
      <c r="Z100" s="184"/>
      <c r="AA100" s="184"/>
      <c r="AB100" s="184"/>
    </row>
    <row r="101" spans="3:28" ht="15.75">
      <c r="K101" s="158"/>
      <c r="L101" s="194"/>
      <c r="M101" s="195"/>
      <c r="N101" s="154"/>
      <c r="O101" s="105"/>
      <c r="P101" s="105"/>
      <c r="Q101" s="103"/>
      <c r="R101" s="98"/>
      <c r="S101" s="98"/>
      <c r="T101" s="144"/>
      <c r="U101" s="98"/>
      <c r="W101" s="103"/>
      <c r="X101" s="159"/>
      <c r="Y101" s="184"/>
      <c r="Z101" s="184"/>
      <c r="AA101" s="184"/>
      <c r="AB101" s="184"/>
    </row>
    <row r="102" spans="3:28" ht="15.75">
      <c r="K102" s="158"/>
      <c r="L102" s="194"/>
      <c r="M102" s="195"/>
      <c r="N102" s="154"/>
      <c r="O102" s="105"/>
      <c r="P102" s="105"/>
      <c r="Q102" s="103"/>
      <c r="R102" s="98"/>
      <c r="S102" s="98"/>
      <c r="T102" s="144"/>
      <c r="U102" s="98"/>
      <c r="W102" s="103"/>
      <c r="X102" s="146"/>
      <c r="Y102" s="184"/>
      <c r="Z102" s="184"/>
      <c r="AA102" s="184"/>
      <c r="AB102" s="184"/>
    </row>
    <row r="103" spans="3:28">
      <c r="M103" s="184"/>
      <c r="N103" s="184"/>
      <c r="O103" s="184"/>
      <c r="P103" s="184"/>
      <c r="Q103" s="184"/>
      <c r="R103" s="184"/>
      <c r="S103" s="184"/>
      <c r="T103" s="184"/>
      <c r="U103" s="184"/>
      <c r="V103" s="184"/>
      <c r="W103" s="184"/>
      <c r="X103" s="184"/>
      <c r="Y103" s="184"/>
      <c r="Z103" s="184"/>
      <c r="AA103" s="184"/>
      <c r="AB103" s="184"/>
    </row>
    <row r="104" spans="3:28">
      <c r="C104" s="184"/>
      <c r="D104" s="184"/>
      <c r="E104" s="184"/>
      <c r="F104" s="184"/>
      <c r="G104" s="184"/>
      <c r="H104" s="184"/>
      <c r="I104" s="184"/>
      <c r="J104" s="184"/>
    </row>
    <row r="105" spans="3:28">
      <c r="C105" s="184"/>
      <c r="D105" s="184"/>
      <c r="E105" s="184"/>
      <c r="F105" s="184"/>
      <c r="G105" s="184"/>
      <c r="H105" s="184"/>
      <c r="I105" s="184"/>
      <c r="J105" s="184"/>
    </row>
    <row r="106" spans="3:28">
      <c r="C106" s="184"/>
      <c r="D106" s="184"/>
      <c r="E106" s="184"/>
      <c r="F106" s="184"/>
      <c r="G106" s="184"/>
      <c r="H106" s="184"/>
      <c r="I106" s="184"/>
      <c r="J106" s="184"/>
    </row>
    <row r="107" spans="3:28">
      <c r="C107" s="184"/>
      <c r="D107" s="184"/>
      <c r="E107" s="184"/>
      <c r="F107" s="184"/>
      <c r="G107" s="184"/>
      <c r="H107" s="184"/>
      <c r="I107" s="184"/>
      <c r="J107" s="184"/>
    </row>
    <row r="108" spans="3:28">
      <c r="C108" s="184"/>
      <c r="D108" s="184"/>
      <c r="E108" s="184"/>
      <c r="F108" s="184"/>
      <c r="G108" s="184"/>
      <c r="H108" s="184"/>
      <c r="I108" s="184"/>
      <c r="J108" s="184"/>
    </row>
    <row r="109" spans="3:28">
      <c r="C109" s="184"/>
      <c r="D109" s="184"/>
      <c r="E109" s="184"/>
      <c r="F109" s="184"/>
      <c r="G109" s="184"/>
      <c r="H109" s="184"/>
      <c r="I109" s="184"/>
      <c r="J109" s="184"/>
    </row>
    <row r="110" spans="3:28">
      <c r="C110" s="184"/>
      <c r="D110" s="184"/>
      <c r="E110" s="184"/>
      <c r="F110" s="184"/>
      <c r="G110" s="184"/>
      <c r="H110" s="184"/>
      <c r="I110" s="184"/>
      <c r="J110" s="184"/>
    </row>
    <row r="111" spans="3:28">
      <c r="C111" s="184"/>
      <c r="D111" s="184"/>
      <c r="E111" s="184"/>
      <c r="F111" s="184"/>
      <c r="G111" s="184"/>
      <c r="H111" s="184"/>
      <c r="I111" s="184"/>
      <c r="J111" s="184"/>
    </row>
    <row r="112" spans="3:28">
      <c r="C112" s="184"/>
      <c r="D112" s="184"/>
      <c r="E112" s="184"/>
      <c r="F112" s="184"/>
      <c r="G112" s="184"/>
      <c r="H112" s="184"/>
      <c r="I112" s="184"/>
      <c r="J112" s="184"/>
    </row>
    <row r="113" spans="3:10">
      <c r="C113" s="184"/>
      <c r="D113" s="184"/>
      <c r="E113" s="184"/>
      <c r="F113" s="184"/>
      <c r="G113" s="184"/>
      <c r="H113" s="184"/>
      <c r="I113" s="184"/>
      <c r="J113" s="184"/>
    </row>
    <row r="114" spans="3:10">
      <c r="C114" s="184"/>
      <c r="D114" s="184"/>
      <c r="E114" s="184"/>
      <c r="F114" s="184"/>
      <c r="G114" s="184"/>
      <c r="H114" s="184"/>
      <c r="I114" s="184"/>
      <c r="J114" s="184"/>
    </row>
    <row r="115" spans="3:10">
      <c r="C115" s="184"/>
      <c r="D115" s="184"/>
      <c r="E115" s="184"/>
      <c r="F115" s="184"/>
      <c r="G115" s="184"/>
      <c r="H115" s="184"/>
      <c r="I115" s="184"/>
      <c r="J115" s="184"/>
    </row>
    <row r="116" spans="3:10">
      <c r="C116" s="184"/>
      <c r="D116" s="184"/>
      <c r="E116" s="184"/>
      <c r="F116" s="184"/>
      <c r="G116" s="184"/>
      <c r="H116" s="184"/>
      <c r="I116" s="184"/>
      <c r="J116" s="184"/>
    </row>
    <row r="117" spans="3:10">
      <c r="C117" s="184"/>
      <c r="D117" s="184"/>
      <c r="E117" s="184"/>
      <c r="F117" s="184"/>
      <c r="G117" s="184"/>
      <c r="H117" s="184"/>
      <c r="I117" s="184"/>
      <c r="J117" s="184"/>
    </row>
    <row r="118" spans="3:10">
      <c r="C118" s="184"/>
      <c r="D118" s="184"/>
      <c r="E118" s="184"/>
      <c r="F118" s="184"/>
      <c r="G118" s="184"/>
      <c r="H118" s="184"/>
      <c r="I118" s="184"/>
      <c r="J118" s="184"/>
    </row>
    <row r="119" spans="3:10">
      <c r="C119" s="184"/>
      <c r="D119" s="184"/>
      <c r="E119" s="184"/>
      <c r="F119" s="184"/>
      <c r="G119" s="184"/>
      <c r="H119" s="184"/>
      <c r="I119" s="184"/>
      <c r="J119" s="184"/>
    </row>
    <row r="120" spans="3:10">
      <c r="C120" s="184"/>
      <c r="D120" s="184"/>
      <c r="E120" s="184"/>
      <c r="F120" s="184"/>
      <c r="G120" s="184"/>
      <c r="H120" s="184"/>
      <c r="I120" s="184"/>
      <c r="J120" s="184"/>
    </row>
    <row r="121" spans="3:10">
      <c r="C121" s="184"/>
      <c r="D121" s="184"/>
      <c r="E121" s="184"/>
      <c r="F121" s="184"/>
      <c r="G121" s="184"/>
      <c r="H121" s="184"/>
      <c r="I121" s="184"/>
      <c r="J121" s="184"/>
    </row>
    <row r="122" spans="3:10">
      <c r="C122" s="184"/>
      <c r="D122" s="184"/>
      <c r="E122" s="184"/>
      <c r="F122" s="184"/>
      <c r="G122" s="184"/>
      <c r="H122" s="184"/>
      <c r="I122" s="184"/>
      <c r="J122" s="184"/>
    </row>
    <row r="123" spans="3:10">
      <c r="C123" s="184"/>
      <c r="D123" s="184"/>
      <c r="E123" s="184"/>
      <c r="F123" s="184"/>
      <c r="G123" s="184"/>
      <c r="H123" s="184"/>
      <c r="I123" s="184"/>
      <c r="J123" s="184"/>
    </row>
    <row r="124" spans="3:10">
      <c r="C124" s="184"/>
      <c r="D124" s="184"/>
      <c r="E124" s="184"/>
      <c r="F124" s="184"/>
      <c r="G124" s="184"/>
      <c r="H124" s="184"/>
      <c r="I124" s="184"/>
      <c r="J124" s="184"/>
    </row>
    <row r="125" spans="3:10">
      <c r="C125" s="184"/>
      <c r="D125" s="184"/>
      <c r="E125" s="184"/>
      <c r="F125" s="184"/>
      <c r="G125" s="184"/>
      <c r="H125" s="184"/>
      <c r="I125" s="184"/>
      <c r="J125" s="184"/>
    </row>
    <row r="126" spans="3:10">
      <c r="C126" s="184"/>
      <c r="D126" s="184"/>
      <c r="E126" s="184"/>
      <c r="F126" s="184"/>
      <c r="G126" s="184"/>
      <c r="H126" s="184"/>
      <c r="I126" s="184"/>
      <c r="J126" s="184"/>
    </row>
    <row r="127" spans="3:10">
      <c r="C127" s="184"/>
      <c r="D127" s="184"/>
      <c r="E127" s="184"/>
      <c r="F127" s="184"/>
      <c r="G127" s="184"/>
      <c r="H127" s="184"/>
      <c r="I127" s="184"/>
      <c r="J127" s="184"/>
    </row>
    <row r="128" spans="3:10">
      <c r="C128" s="184"/>
      <c r="D128" s="184"/>
      <c r="E128" s="184"/>
      <c r="F128" s="184"/>
      <c r="G128" s="184"/>
      <c r="H128" s="184"/>
      <c r="I128" s="184"/>
      <c r="J128" s="184"/>
    </row>
    <row r="129" spans="3:10">
      <c r="C129" s="184"/>
      <c r="D129" s="184"/>
      <c r="E129" s="184"/>
      <c r="F129" s="184"/>
      <c r="G129" s="184"/>
      <c r="H129" s="184"/>
      <c r="I129" s="184"/>
      <c r="J129" s="184"/>
    </row>
    <row r="130" spans="3:10">
      <c r="C130" s="184"/>
      <c r="D130" s="184"/>
      <c r="E130" s="184"/>
      <c r="F130" s="184"/>
      <c r="G130" s="184"/>
      <c r="H130" s="184"/>
      <c r="I130" s="184"/>
      <c r="J130" s="184"/>
    </row>
    <row r="131" spans="3:10">
      <c r="C131" s="184"/>
      <c r="D131" s="184"/>
      <c r="E131" s="184"/>
      <c r="F131" s="184"/>
      <c r="G131" s="184"/>
      <c r="H131" s="184"/>
      <c r="I131" s="184"/>
      <c r="J131" s="184"/>
    </row>
    <row r="132" spans="3:10">
      <c r="C132" s="184"/>
      <c r="D132" s="184"/>
      <c r="E132" s="184"/>
      <c r="F132" s="184"/>
      <c r="G132" s="184"/>
      <c r="H132" s="184"/>
      <c r="I132" s="184"/>
      <c r="J132" s="184"/>
    </row>
    <row r="133" spans="3:10">
      <c r="C133" s="184"/>
      <c r="D133" s="184"/>
      <c r="E133" s="184"/>
      <c r="F133" s="184"/>
      <c r="G133" s="184"/>
      <c r="H133" s="184"/>
      <c r="I133" s="184"/>
      <c r="J133" s="184"/>
    </row>
    <row r="134" spans="3:10">
      <c r="C134" s="184"/>
      <c r="D134" s="184"/>
      <c r="E134" s="184"/>
      <c r="F134" s="184"/>
      <c r="G134" s="184"/>
      <c r="H134" s="184"/>
      <c r="I134" s="184"/>
      <c r="J134" s="184"/>
    </row>
    <row r="135" spans="3:10">
      <c r="C135" s="184"/>
      <c r="D135" s="184"/>
      <c r="E135" s="184"/>
      <c r="F135" s="184"/>
      <c r="G135" s="184"/>
      <c r="H135" s="184"/>
      <c r="I135" s="184"/>
      <c r="J135" s="184"/>
    </row>
    <row r="136" spans="3:10">
      <c r="C136" s="184"/>
      <c r="D136" s="184"/>
      <c r="E136" s="184"/>
      <c r="F136" s="184"/>
      <c r="G136" s="184"/>
      <c r="H136" s="184"/>
      <c r="I136" s="184"/>
      <c r="J136" s="184"/>
    </row>
    <row r="137" spans="3:10">
      <c r="C137" s="184"/>
      <c r="D137" s="184"/>
      <c r="E137" s="184"/>
      <c r="F137" s="184"/>
      <c r="G137" s="184"/>
      <c r="H137" s="184"/>
      <c r="I137" s="184"/>
      <c r="J137" s="184"/>
    </row>
    <row r="138" spans="3:10">
      <c r="C138" s="184"/>
      <c r="D138" s="184"/>
      <c r="E138" s="184"/>
      <c r="F138" s="184"/>
      <c r="G138" s="184"/>
      <c r="H138" s="184"/>
      <c r="I138" s="184"/>
      <c r="J138" s="184"/>
    </row>
    <row r="139" spans="3:10">
      <c r="C139" s="184"/>
      <c r="D139" s="184"/>
      <c r="E139" s="184"/>
      <c r="F139" s="184"/>
      <c r="G139" s="184"/>
      <c r="H139" s="184"/>
      <c r="I139" s="184"/>
      <c r="J139" s="184"/>
    </row>
    <row r="140" spans="3:10">
      <c r="C140" s="184"/>
      <c r="D140" s="184"/>
      <c r="E140" s="184"/>
      <c r="F140" s="184"/>
      <c r="G140" s="184"/>
      <c r="H140" s="184"/>
      <c r="I140" s="184"/>
      <c r="J140" s="184"/>
    </row>
    <row r="141" spans="3:10">
      <c r="C141" s="184"/>
      <c r="D141" s="184"/>
      <c r="E141" s="184"/>
      <c r="F141" s="184"/>
      <c r="G141" s="184"/>
      <c r="H141" s="184"/>
      <c r="I141" s="184"/>
      <c r="J141" s="184"/>
    </row>
    <row r="142" spans="3:10">
      <c r="C142" s="184"/>
      <c r="D142" s="184"/>
      <c r="E142" s="184"/>
      <c r="F142" s="184"/>
      <c r="G142" s="184"/>
      <c r="H142" s="184"/>
      <c r="I142" s="184"/>
      <c r="J142" s="184"/>
    </row>
    <row r="143" spans="3:10">
      <c r="C143" s="184"/>
      <c r="D143" s="184"/>
      <c r="E143" s="184"/>
      <c r="F143" s="184"/>
      <c r="G143" s="184"/>
      <c r="H143" s="184"/>
      <c r="I143" s="184"/>
      <c r="J143" s="184"/>
    </row>
    <row r="144" spans="3:10">
      <c r="C144" s="184"/>
      <c r="D144" s="184"/>
      <c r="E144" s="184"/>
      <c r="F144" s="184"/>
      <c r="G144" s="184"/>
      <c r="H144" s="184"/>
      <c r="I144" s="184"/>
      <c r="J144" s="184"/>
    </row>
    <row r="145" spans="3:10">
      <c r="C145" s="184"/>
      <c r="D145" s="184"/>
      <c r="E145" s="184"/>
      <c r="F145" s="184"/>
      <c r="G145" s="184"/>
      <c r="H145" s="184"/>
      <c r="I145" s="184"/>
      <c r="J145" s="184"/>
    </row>
    <row r="146" spans="3:10">
      <c r="C146" s="184"/>
      <c r="D146" s="184"/>
      <c r="E146" s="184"/>
      <c r="F146" s="184"/>
      <c r="G146" s="184"/>
      <c r="H146" s="184"/>
      <c r="I146" s="184"/>
      <c r="J146" s="184"/>
    </row>
    <row r="147" spans="3:10">
      <c r="C147" s="184"/>
      <c r="D147" s="184"/>
      <c r="E147" s="184"/>
      <c r="F147" s="184"/>
      <c r="G147" s="184"/>
      <c r="H147" s="184"/>
      <c r="I147" s="184"/>
      <c r="J147" s="184"/>
    </row>
    <row r="148" spans="3:10">
      <c r="C148" s="184"/>
      <c r="D148" s="184"/>
      <c r="E148" s="184"/>
      <c r="F148" s="184"/>
      <c r="G148" s="184"/>
      <c r="H148" s="184"/>
      <c r="I148" s="184"/>
      <c r="J148" s="184"/>
    </row>
    <row r="149" spans="3:10">
      <c r="C149" s="184"/>
      <c r="D149" s="184"/>
      <c r="E149" s="184"/>
      <c r="F149" s="184"/>
      <c r="G149" s="184"/>
      <c r="H149" s="184"/>
      <c r="I149" s="184"/>
      <c r="J149" s="184"/>
    </row>
    <row r="150" spans="3:10">
      <c r="C150" s="184"/>
      <c r="D150" s="184"/>
      <c r="E150" s="184"/>
      <c r="F150" s="184"/>
      <c r="G150" s="184"/>
      <c r="H150" s="184"/>
      <c r="I150" s="184"/>
      <c r="J150" s="184"/>
    </row>
    <row r="151" spans="3:10">
      <c r="C151" s="184"/>
      <c r="D151" s="184"/>
      <c r="E151" s="184"/>
      <c r="F151" s="184"/>
      <c r="G151" s="184"/>
      <c r="H151" s="184"/>
      <c r="I151" s="184"/>
      <c r="J151" s="184"/>
    </row>
    <row r="152" spans="3:10">
      <c r="C152" s="184"/>
      <c r="D152" s="184"/>
      <c r="E152" s="184"/>
      <c r="F152" s="184"/>
      <c r="G152" s="184"/>
      <c r="H152" s="184"/>
      <c r="I152" s="184"/>
      <c r="J152" s="184"/>
    </row>
    <row r="153" spans="3:10">
      <c r="C153" s="184"/>
      <c r="D153" s="184"/>
      <c r="E153" s="184"/>
      <c r="F153" s="184"/>
      <c r="G153" s="184"/>
      <c r="H153" s="184"/>
      <c r="I153" s="184"/>
      <c r="J153" s="184"/>
    </row>
    <row r="154" spans="3:10">
      <c r="C154" s="184"/>
      <c r="D154" s="184"/>
      <c r="E154" s="184"/>
      <c r="F154" s="184"/>
      <c r="G154" s="184"/>
      <c r="H154" s="184"/>
      <c r="I154" s="184"/>
      <c r="J154" s="184"/>
    </row>
    <row r="155" spans="3:10">
      <c r="C155" s="184"/>
      <c r="D155" s="184"/>
      <c r="E155" s="184"/>
      <c r="F155" s="184"/>
      <c r="G155" s="184"/>
      <c r="H155" s="184"/>
      <c r="I155" s="184"/>
      <c r="J155" s="184"/>
    </row>
    <row r="156" spans="3:10">
      <c r="C156" s="184"/>
      <c r="D156" s="184"/>
      <c r="E156" s="184"/>
      <c r="F156" s="184"/>
      <c r="G156" s="184"/>
      <c r="H156" s="184"/>
      <c r="I156" s="184"/>
      <c r="J156" s="184"/>
    </row>
    <row r="157" spans="3:10">
      <c r="C157" s="184"/>
      <c r="D157" s="184"/>
      <c r="E157" s="184"/>
      <c r="F157" s="184"/>
      <c r="G157" s="184"/>
      <c r="H157" s="184"/>
      <c r="I157" s="184"/>
      <c r="J157" s="184"/>
    </row>
    <row r="158" spans="3:10">
      <c r="C158" s="184"/>
      <c r="D158" s="184"/>
      <c r="E158" s="184"/>
      <c r="F158" s="184"/>
      <c r="G158" s="184"/>
      <c r="H158" s="184"/>
      <c r="I158" s="184"/>
      <c r="J158" s="184"/>
    </row>
    <row r="159" spans="3:10">
      <c r="C159" s="184"/>
      <c r="D159" s="184"/>
      <c r="E159" s="184"/>
      <c r="F159" s="184"/>
      <c r="G159" s="184"/>
      <c r="H159" s="184"/>
      <c r="I159" s="184"/>
      <c r="J159" s="184"/>
    </row>
    <row r="160" spans="3:10">
      <c r="C160" s="184"/>
      <c r="D160" s="184"/>
      <c r="E160" s="184"/>
      <c r="F160" s="184"/>
      <c r="G160" s="184"/>
      <c r="H160" s="184"/>
      <c r="I160" s="184"/>
      <c r="J160" s="184"/>
    </row>
    <row r="161" spans="3:10">
      <c r="C161" s="184"/>
      <c r="D161" s="184"/>
      <c r="E161" s="184"/>
      <c r="F161" s="184"/>
      <c r="G161" s="184"/>
      <c r="H161" s="184"/>
      <c r="I161" s="184"/>
      <c r="J161" s="184"/>
    </row>
    <row r="162" spans="3:10">
      <c r="C162" s="184"/>
      <c r="D162" s="184"/>
      <c r="E162" s="184"/>
      <c r="F162" s="184"/>
      <c r="G162" s="184"/>
      <c r="H162" s="184"/>
      <c r="I162" s="184"/>
      <c r="J162" s="184"/>
    </row>
    <row r="163" spans="3:10">
      <c r="C163" s="184"/>
      <c r="D163" s="184"/>
      <c r="E163" s="184"/>
      <c r="F163" s="184"/>
      <c r="G163" s="184"/>
      <c r="H163" s="184"/>
      <c r="I163" s="184"/>
      <c r="J163" s="184"/>
    </row>
    <row r="164" spans="3:10">
      <c r="C164" s="184"/>
      <c r="D164" s="184"/>
      <c r="E164" s="184"/>
      <c r="F164" s="184"/>
      <c r="G164" s="184"/>
      <c r="H164" s="184"/>
      <c r="I164" s="184"/>
      <c r="J164" s="184"/>
    </row>
    <row r="165" spans="3:10">
      <c r="C165" s="184"/>
      <c r="D165" s="184"/>
      <c r="E165" s="184"/>
      <c r="F165" s="184"/>
      <c r="G165" s="184"/>
      <c r="H165" s="184"/>
      <c r="I165" s="184"/>
      <c r="J165" s="184"/>
    </row>
    <row r="166" spans="3:10">
      <c r="C166" s="184"/>
      <c r="D166" s="184"/>
      <c r="E166" s="184"/>
      <c r="F166" s="184"/>
      <c r="G166" s="184"/>
      <c r="H166" s="184"/>
      <c r="I166" s="184"/>
      <c r="J166" s="184"/>
    </row>
    <row r="167" spans="3:10">
      <c r="C167" s="184"/>
      <c r="D167" s="184"/>
      <c r="E167" s="184"/>
      <c r="F167" s="184"/>
      <c r="G167" s="184"/>
      <c r="H167" s="184"/>
      <c r="I167" s="184"/>
      <c r="J167" s="184"/>
    </row>
    <row r="168" spans="3:10">
      <c r="C168" s="184"/>
      <c r="D168" s="184"/>
      <c r="E168" s="184"/>
      <c r="F168" s="184"/>
      <c r="G168" s="184"/>
      <c r="H168" s="184"/>
      <c r="I168" s="184"/>
      <c r="J168" s="184"/>
    </row>
    <row r="169" spans="3:10">
      <c r="C169" s="184"/>
      <c r="D169" s="184"/>
      <c r="E169" s="184"/>
      <c r="F169" s="184"/>
      <c r="G169" s="184"/>
      <c r="H169" s="184"/>
      <c r="I169" s="184"/>
      <c r="J169" s="184"/>
    </row>
    <row r="170" spans="3:10">
      <c r="C170" s="184"/>
      <c r="D170" s="184"/>
      <c r="E170" s="184"/>
      <c r="F170" s="184"/>
      <c r="G170" s="184"/>
      <c r="H170" s="184"/>
      <c r="I170" s="184"/>
      <c r="J170" s="184"/>
    </row>
    <row r="171" spans="3:10">
      <c r="C171" s="184"/>
      <c r="D171" s="184"/>
      <c r="E171" s="184"/>
      <c r="F171" s="184"/>
      <c r="G171" s="184"/>
      <c r="H171" s="184"/>
      <c r="I171" s="184"/>
      <c r="J171" s="184"/>
    </row>
    <row r="172" spans="3:10">
      <c r="C172" s="184"/>
      <c r="D172" s="184"/>
      <c r="E172" s="184"/>
      <c r="F172" s="184"/>
      <c r="G172" s="184"/>
      <c r="H172" s="184"/>
      <c r="I172" s="184"/>
      <c r="J172" s="184"/>
    </row>
    <row r="173" spans="3:10">
      <c r="C173" s="184"/>
      <c r="D173" s="184"/>
      <c r="E173" s="184"/>
      <c r="F173" s="184"/>
      <c r="G173" s="184"/>
      <c r="H173" s="184"/>
      <c r="I173" s="184"/>
      <c r="J173" s="184"/>
    </row>
    <row r="174" spans="3:10">
      <c r="C174" s="184"/>
      <c r="D174" s="184"/>
      <c r="E174" s="184"/>
      <c r="F174" s="184"/>
      <c r="G174" s="184"/>
      <c r="H174" s="184"/>
      <c r="I174" s="184"/>
      <c r="J174" s="184"/>
    </row>
    <row r="175" spans="3:10">
      <c r="C175" s="184"/>
      <c r="D175" s="184"/>
      <c r="E175" s="184"/>
      <c r="F175" s="184"/>
      <c r="G175" s="184"/>
      <c r="H175" s="184"/>
      <c r="I175" s="184"/>
      <c r="J175" s="184"/>
    </row>
    <row r="176" spans="3:10">
      <c r="C176" s="184"/>
      <c r="D176" s="184"/>
      <c r="E176" s="184"/>
      <c r="F176" s="184"/>
      <c r="G176" s="184"/>
      <c r="H176" s="184"/>
      <c r="I176" s="184"/>
      <c r="J176" s="184"/>
    </row>
    <row r="177" spans="3:10">
      <c r="C177" s="184"/>
      <c r="D177" s="184"/>
      <c r="E177" s="184"/>
      <c r="F177" s="184"/>
      <c r="G177" s="184"/>
      <c r="H177" s="184"/>
      <c r="I177" s="184"/>
      <c r="J177" s="184"/>
    </row>
    <row r="178" spans="3:10">
      <c r="C178" s="184"/>
      <c r="D178" s="184"/>
      <c r="E178" s="184"/>
      <c r="F178" s="184"/>
      <c r="G178" s="184"/>
      <c r="H178" s="184"/>
      <c r="I178" s="184"/>
      <c r="J178" s="184"/>
    </row>
    <row r="179" spans="3:10">
      <c r="C179" s="184"/>
      <c r="D179" s="184"/>
      <c r="E179" s="184"/>
      <c r="F179" s="184"/>
      <c r="G179" s="184"/>
      <c r="H179" s="184"/>
      <c r="I179" s="184"/>
      <c r="J179" s="184"/>
    </row>
    <row r="180" spans="3:10">
      <c r="C180" s="184"/>
      <c r="D180" s="184"/>
      <c r="E180" s="184"/>
      <c r="F180" s="184"/>
      <c r="G180" s="184"/>
      <c r="H180" s="184"/>
      <c r="I180" s="184"/>
      <c r="J180" s="184"/>
    </row>
    <row r="181" spans="3:10">
      <c r="C181" s="184"/>
      <c r="D181" s="184"/>
      <c r="E181" s="184"/>
      <c r="F181" s="184"/>
      <c r="G181" s="184"/>
      <c r="H181" s="184"/>
      <c r="I181" s="184"/>
      <c r="J181" s="184"/>
    </row>
    <row r="182" spans="3:10">
      <c r="C182" s="184"/>
      <c r="D182" s="184"/>
      <c r="E182" s="184"/>
      <c r="F182" s="184"/>
      <c r="G182" s="184"/>
      <c r="H182" s="184"/>
      <c r="I182" s="184"/>
      <c r="J182" s="184"/>
    </row>
    <row r="183" spans="3:10">
      <c r="C183" s="184"/>
      <c r="D183" s="184"/>
      <c r="E183" s="184"/>
      <c r="F183" s="184"/>
      <c r="G183" s="184"/>
      <c r="H183" s="184"/>
      <c r="I183" s="184"/>
      <c r="J183" s="184"/>
    </row>
    <row r="184" spans="3:10">
      <c r="C184" s="184"/>
      <c r="D184" s="184"/>
      <c r="E184" s="184"/>
      <c r="F184" s="184"/>
      <c r="G184" s="184"/>
      <c r="H184" s="184"/>
      <c r="I184" s="184"/>
      <c r="J184" s="184"/>
    </row>
    <row r="185" spans="3:10">
      <c r="C185" s="184"/>
      <c r="D185" s="184"/>
      <c r="E185" s="184"/>
      <c r="F185" s="184"/>
      <c r="G185" s="184"/>
      <c r="H185" s="184"/>
      <c r="I185" s="184"/>
      <c r="J185" s="184"/>
    </row>
    <row r="186" spans="3:10">
      <c r="C186" s="184"/>
      <c r="D186" s="184"/>
      <c r="E186" s="184"/>
      <c r="F186" s="184"/>
      <c r="G186" s="184"/>
      <c r="H186" s="184"/>
      <c r="I186" s="184"/>
      <c r="J186" s="184"/>
    </row>
    <row r="187" spans="3:10">
      <c r="C187" s="184"/>
      <c r="D187" s="184"/>
      <c r="E187" s="184"/>
      <c r="F187" s="184"/>
      <c r="G187" s="184"/>
      <c r="H187" s="184"/>
      <c r="I187" s="184"/>
      <c r="J187" s="184"/>
    </row>
    <row r="188" spans="3:10">
      <c r="C188" s="184"/>
      <c r="D188" s="184"/>
      <c r="E188" s="184"/>
      <c r="F188" s="184"/>
      <c r="G188" s="184"/>
      <c r="H188" s="184"/>
      <c r="I188" s="184"/>
      <c r="J188" s="184"/>
    </row>
    <row r="189" spans="3:10">
      <c r="C189" s="184"/>
      <c r="D189" s="184"/>
      <c r="E189" s="184"/>
      <c r="F189" s="184"/>
      <c r="G189" s="184"/>
      <c r="H189" s="184"/>
      <c r="I189" s="184"/>
      <c r="J189" s="184"/>
    </row>
    <row r="190" spans="3:10">
      <c r="C190" s="184"/>
      <c r="D190" s="184"/>
      <c r="E190" s="184"/>
      <c r="F190" s="184"/>
      <c r="G190" s="184"/>
      <c r="H190" s="184"/>
      <c r="I190" s="184"/>
      <c r="J190" s="184"/>
    </row>
    <row r="191" spans="3:10">
      <c r="C191" s="184"/>
      <c r="D191" s="184"/>
      <c r="E191" s="184"/>
      <c r="F191" s="184"/>
      <c r="G191" s="184"/>
      <c r="H191" s="184"/>
      <c r="I191" s="184"/>
      <c r="J191" s="184"/>
    </row>
    <row r="192" spans="3:10">
      <c r="C192" s="184"/>
      <c r="D192" s="184"/>
      <c r="E192" s="184"/>
      <c r="F192" s="184"/>
      <c r="G192" s="184"/>
      <c r="H192" s="184"/>
      <c r="I192" s="184"/>
      <c r="J192" s="184"/>
    </row>
    <row r="193" spans="3:10">
      <c r="C193" s="184"/>
      <c r="D193" s="184"/>
      <c r="E193" s="184"/>
      <c r="F193" s="184"/>
      <c r="G193" s="184"/>
      <c r="H193" s="184"/>
      <c r="I193" s="184"/>
      <c r="J193" s="184"/>
    </row>
    <row r="194" spans="3:10">
      <c r="C194" s="184"/>
      <c r="D194" s="184"/>
      <c r="E194" s="184"/>
      <c r="F194" s="184"/>
      <c r="G194" s="184"/>
      <c r="H194" s="184"/>
      <c r="I194" s="184"/>
      <c r="J194" s="184"/>
    </row>
    <row r="195" spans="3:10">
      <c r="C195" s="184"/>
      <c r="D195" s="184"/>
      <c r="E195" s="184"/>
      <c r="F195" s="184"/>
      <c r="G195" s="184"/>
      <c r="H195" s="184"/>
      <c r="I195" s="184"/>
      <c r="J195" s="184"/>
    </row>
    <row r="196" spans="3:10">
      <c r="C196" s="184"/>
      <c r="D196" s="184"/>
      <c r="E196" s="184"/>
      <c r="F196" s="184"/>
      <c r="G196" s="184"/>
      <c r="H196" s="184"/>
      <c r="I196" s="184"/>
      <c r="J196" s="184"/>
    </row>
    <row r="197" spans="3:10">
      <c r="C197" s="184"/>
      <c r="D197" s="184"/>
      <c r="E197" s="184"/>
      <c r="F197" s="184"/>
      <c r="G197" s="184"/>
      <c r="H197" s="184"/>
      <c r="I197" s="184"/>
      <c r="J197" s="184"/>
    </row>
    <row r="198" spans="3:10">
      <c r="C198" s="184"/>
      <c r="D198" s="184"/>
      <c r="E198" s="184"/>
      <c r="F198" s="184"/>
      <c r="G198" s="184"/>
      <c r="H198" s="184"/>
      <c r="I198" s="184"/>
      <c r="J198" s="184"/>
    </row>
    <row r="199" spans="3:10">
      <c r="C199" s="184"/>
      <c r="D199" s="184"/>
      <c r="E199" s="184"/>
      <c r="F199" s="184"/>
      <c r="G199" s="184"/>
      <c r="H199" s="184"/>
      <c r="I199" s="184"/>
      <c r="J199" s="184"/>
    </row>
    <row r="200" spans="3:10">
      <c r="C200" s="184"/>
      <c r="D200" s="184"/>
      <c r="E200" s="184"/>
      <c r="F200" s="184"/>
      <c r="G200" s="184"/>
      <c r="H200" s="184"/>
      <c r="I200" s="184"/>
      <c r="J200" s="184"/>
    </row>
    <row r="201" spans="3:10">
      <c r="C201" s="184"/>
      <c r="D201" s="184"/>
      <c r="E201" s="184"/>
      <c r="F201" s="184"/>
      <c r="G201" s="184"/>
      <c r="H201" s="184"/>
      <c r="I201" s="184"/>
      <c r="J201" s="184"/>
    </row>
    <row r="202" spans="3:10">
      <c r="C202" s="184"/>
      <c r="D202" s="184"/>
      <c r="E202" s="184"/>
      <c r="F202" s="184"/>
      <c r="G202" s="184"/>
      <c r="H202" s="184"/>
      <c r="I202" s="184"/>
      <c r="J202" s="184"/>
    </row>
    <row r="203" spans="3:10">
      <c r="C203" s="184"/>
      <c r="D203" s="184"/>
      <c r="E203" s="184"/>
      <c r="F203" s="184"/>
      <c r="G203" s="184"/>
      <c r="H203" s="184"/>
      <c r="I203" s="184"/>
      <c r="J203" s="184"/>
    </row>
    <row r="204" spans="3:10">
      <c r="C204" s="184"/>
      <c r="D204" s="184"/>
      <c r="E204" s="184"/>
      <c r="F204" s="184"/>
      <c r="G204" s="184"/>
      <c r="H204" s="184"/>
      <c r="I204" s="184"/>
      <c r="J204" s="184"/>
    </row>
    <row r="205" spans="3:10">
      <c r="C205" s="184"/>
      <c r="D205" s="184"/>
      <c r="E205" s="184"/>
      <c r="F205" s="184"/>
      <c r="G205" s="184"/>
      <c r="H205" s="184"/>
      <c r="I205" s="184"/>
      <c r="J205" s="184"/>
    </row>
    <row r="206" spans="3:10">
      <c r="C206" s="184"/>
      <c r="D206" s="184"/>
      <c r="E206" s="184"/>
      <c r="F206" s="184"/>
      <c r="G206" s="184"/>
      <c r="H206" s="184"/>
      <c r="I206" s="184"/>
      <c r="J206" s="184"/>
    </row>
    <row r="207" spans="3:10">
      <c r="C207" s="184"/>
      <c r="D207" s="184"/>
      <c r="E207" s="184"/>
      <c r="F207" s="184"/>
      <c r="G207" s="184"/>
      <c r="H207" s="184"/>
      <c r="I207" s="184"/>
      <c r="J207" s="184"/>
    </row>
    <row r="208" spans="3:10">
      <c r="C208" s="184"/>
      <c r="D208" s="184"/>
      <c r="E208" s="184"/>
      <c r="F208" s="184"/>
      <c r="G208" s="184"/>
      <c r="H208" s="184"/>
      <c r="I208" s="184"/>
      <c r="J208" s="184"/>
    </row>
    <row r="209" spans="3:10">
      <c r="C209" s="184"/>
      <c r="D209" s="184"/>
      <c r="E209" s="184"/>
      <c r="F209" s="184"/>
      <c r="G209" s="184"/>
      <c r="H209" s="184"/>
      <c r="I209" s="184"/>
      <c r="J209" s="184"/>
    </row>
    <row r="210" spans="3:10">
      <c r="C210" s="184"/>
      <c r="D210" s="184"/>
      <c r="E210" s="184"/>
      <c r="F210" s="184"/>
      <c r="G210" s="184"/>
      <c r="H210" s="184"/>
      <c r="I210" s="184"/>
      <c r="J210" s="184"/>
    </row>
    <row r="211" spans="3:10">
      <c r="C211" s="184"/>
      <c r="D211" s="184"/>
      <c r="E211" s="184"/>
      <c r="F211" s="184"/>
      <c r="G211" s="184"/>
      <c r="H211" s="184"/>
      <c r="I211" s="184"/>
      <c r="J211" s="184"/>
    </row>
    <row r="212" spans="3:10">
      <c r="C212" s="184"/>
      <c r="D212" s="184"/>
      <c r="E212" s="184"/>
      <c r="F212" s="184"/>
      <c r="G212" s="184"/>
      <c r="H212" s="184"/>
      <c r="I212" s="184"/>
      <c r="J212" s="184"/>
    </row>
    <row r="213" spans="3:10">
      <c r="C213" s="184"/>
      <c r="D213" s="184"/>
      <c r="E213" s="184"/>
      <c r="F213" s="184"/>
      <c r="G213" s="184"/>
      <c r="H213" s="184"/>
      <c r="I213" s="184"/>
      <c r="J213" s="184"/>
    </row>
    <row r="214" spans="3:10">
      <c r="C214" s="184"/>
      <c r="D214" s="184"/>
      <c r="E214" s="184"/>
      <c r="F214" s="184"/>
      <c r="G214" s="184"/>
      <c r="H214" s="184"/>
      <c r="I214" s="184"/>
      <c r="J214" s="184"/>
    </row>
    <row r="215" spans="3:10">
      <c r="C215" s="184"/>
      <c r="D215" s="184"/>
      <c r="E215" s="184"/>
      <c r="F215" s="184"/>
      <c r="G215" s="184"/>
      <c r="H215" s="184"/>
      <c r="I215" s="184"/>
      <c r="J215" s="184"/>
    </row>
    <row r="216" spans="3:10">
      <c r="C216" s="184"/>
      <c r="D216" s="184"/>
      <c r="E216" s="184"/>
      <c r="F216" s="184"/>
      <c r="G216" s="184"/>
      <c r="H216" s="184"/>
      <c r="I216" s="184"/>
      <c r="J216" s="184"/>
    </row>
    <row r="217" spans="3:10">
      <c r="C217" s="184"/>
      <c r="D217" s="184"/>
      <c r="E217" s="184"/>
      <c r="F217" s="184"/>
      <c r="G217" s="184"/>
      <c r="H217" s="184"/>
      <c r="I217" s="184"/>
      <c r="J217" s="184"/>
    </row>
    <row r="218" spans="3:10">
      <c r="C218" s="184"/>
      <c r="D218" s="184"/>
      <c r="E218" s="184"/>
      <c r="F218" s="184"/>
      <c r="G218" s="184"/>
      <c r="H218" s="184"/>
      <c r="I218" s="184"/>
      <c r="J218" s="184"/>
    </row>
    <row r="219" spans="3:10">
      <c r="C219" s="184"/>
      <c r="D219" s="184"/>
      <c r="E219" s="184"/>
      <c r="F219" s="184"/>
      <c r="G219" s="184"/>
      <c r="H219" s="184"/>
      <c r="I219" s="184"/>
      <c r="J219" s="184"/>
    </row>
    <row r="220" spans="3:10">
      <c r="C220" s="184"/>
      <c r="D220" s="184"/>
      <c r="E220" s="184"/>
      <c r="F220" s="184"/>
      <c r="G220" s="184"/>
      <c r="H220" s="184"/>
      <c r="I220" s="184"/>
      <c r="J220" s="184"/>
    </row>
    <row r="221" spans="3:10">
      <c r="C221" s="184"/>
      <c r="D221" s="184"/>
      <c r="E221" s="184"/>
      <c r="F221" s="184"/>
      <c r="G221" s="184"/>
      <c r="H221" s="184"/>
      <c r="I221" s="184"/>
      <c r="J221" s="184"/>
    </row>
    <row r="222" spans="3:10">
      <c r="C222" s="184"/>
      <c r="D222" s="184"/>
      <c r="E222" s="184"/>
      <c r="F222" s="184"/>
      <c r="G222" s="184"/>
      <c r="H222" s="184"/>
      <c r="I222" s="184"/>
      <c r="J222" s="184"/>
    </row>
    <row r="223" spans="3:10">
      <c r="C223" s="184"/>
      <c r="D223" s="184"/>
      <c r="E223" s="184"/>
      <c r="F223" s="184"/>
      <c r="G223" s="184"/>
      <c r="H223" s="184"/>
      <c r="I223" s="184"/>
      <c r="J223" s="184"/>
    </row>
    <row r="224" spans="3:10">
      <c r="C224" s="184"/>
      <c r="D224" s="184"/>
      <c r="E224" s="184"/>
      <c r="F224" s="184"/>
      <c r="G224" s="184"/>
      <c r="H224" s="184"/>
      <c r="I224" s="184"/>
      <c r="J224" s="184"/>
    </row>
    <row r="225" spans="3:10">
      <c r="C225" s="184"/>
      <c r="D225" s="184"/>
      <c r="E225" s="184"/>
      <c r="F225" s="184"/>
      <c r="G225" s="184"/>
      <c r="H225" s="184"/>
      <c r="I225" s="184"/>
      <c r="J225" s="184"/>
    </row>
    <row r="226" spans="3:10">
      <c r="C226" s="184"/>
      <c r="D226" s="184"/>
      <c r="E226" s="184"/>
      <c r="F226" s="184"/>
      <c r="G226" s="184"/>
      <c r="H226" s="184"/>
      <c r="I226" s="184"/>
      <c r="J226" s="184"/>
    </row>
    <row r="227" spans="3:10">
      <c r="C227" s="184"/>
      <c r="D227" s="184"/>
      <c r="E227" s="184"/>
      <c r="F227" s="184"/>
      <c r="G227" s="184"/>
      <c r="H227" s="184"/>
      <c r="I227" s="184"/>
      <c r="J227" s="184"/>
    </row>
    <row r="228" spans="3:10">
      <c r="C228" s="184"/>
      <c r="D228" s="184"/>
      <c r="E228" s="184"/>
      <c r="F228" s="184"/>
      <c r="G228" s="184"/>
      <c r="H228" s="184"/>
      <c r="I228" s="184"/>
      <c r="J228" s="184"/>
    </row>
    <row r="229" spans="3:10">
      <c r="C229" s="184"/>
      <c r="D229" s="184"/>
      <c r="E229" s="184"/>
      <c r="F229" s="184"/>
      <c r="G229" s="184"/>
      <c r="H229" s="184"/>
      <c r="I229" s="184"/>
      <c r="J229" s="184"/>
    </row>
    <row r="230" spans="3:10">
      <c r="C230" s="184"/>
      <c r="D230" s="184"/>
      <c r="E230" s="184"/>
      <c r="F230" s="184"/>
      <c r="G230" s="184"/>
      <c r="H230" s="184"/>
      <c r="I230" s="184"/>
      <c r="J230" s="184"/>
    </row>
    <row r="231" spans="3:10">
      <c r="C231" s="184"/>
      <c r="D231" s="184"/>
      <c r="E231" s="184"/>
      <c r="F231" s="184"/>
      <c r="G231" s="184"/>
      <c r="H231" s="184"/>
      <c r="I231" s="184"/>
      <c r="J231" s="184"/>
    </row>
    <row r="232" spans="3:10">
      <c r="C232" s="184"/>
      <c r="D232" s="184"/>
      <c r="E232" s="184"/>
      <c r="F232" s="184"/>
      <c r="G232" s="184"/>
      <c r="H232" s="184"/>
      <c r="I232" s="184"/>
      <c r="J232" s="184"/>
    </row>
    <row r="233" spans="3:10">
      <c r="C233" s="184"/>
      <c r="D233" s="184"/>
      <c r="E233" s="184"/>
      <c r="F233" s="184"/>
      <c r="G233" s="184"/>
      <c r="H233" s="184"/>
      <c r="I233" s="184"/>
      <c r="J233" s="184"/>
    </row>
    <row r="234" spans="3:10">
      <c r="C234" s="184"/>
      <c r="D234" s="184"/>
      <c r="E234" s="184"/>
      <c r="F234" s="184"/>
      <c r="G234" s="184"/>
      <c r="H234" s="184"/>
      <c r="I234" s="184"/>
      <c r="J234" s="184"/>
    </row>
    <row r="235" spans="3:10">
      <c r="C235" s="184"/>
      <c r="D235" s="184"/>
      <c r="E235" s="184"/>
      <c r="F235" s="184"/>
      <c r="G235" s="184"/>
      <c r="H235" s="184"/>
      <c r="I235" s="184"/>
      <c r="J235" s="184"/>
    </row>
    <row r="236" spans="3:10">
      <c r="C236" s="184"/>
      <c r="D236" s="184"/>
      <c r="E236" s="184"/>
      <c r="F236" s="184"/>
      <c r="G236" s="184"/>
      <c r="H236" s="184"/>
      <c r="I236" s="184"/>
      <c r="J236" s="184"/>
    </row>
    <row r="237" spans="3:10">
      <c r="C237" s="184"/>
      <c r="D237" s="184"/>
      <c r="E237" s="184"/>
      <c r="F237" s="184"/>
      <c r="G237" s="184"/>
      <c r="H237" s="184"/>
      <c r="I237" s="184"/>
      <c r="J237" s="184"/>
    </row>
    <row r="238" spans="3:10">
      <c r="C238" s="184"/>
      <c r="D238" s="184"/>
      <c r="E238" s="184"/>
      <c r="F238" s="184"/>
      <c r="G238" s="184"/>
      <c r="H238" s="184"/>
      <c r="I238" s="184"/>
      <c r="J238" s="184"/>
    </row>
    <row r="239" spans="3:10">
      <c r="C239" s="184"/>
      <c r="D239" s="184"/>
      <c r="E239" s="184"/>
      <c r="F239" s="184"/>
      <c r="G239" s="184"/>
      <c r="H239" s="184"/>
      <c r="I239" s="184"/>
      <c r="J239" s="184"/>
    </row>
    <row r="240" spans="3:10">
      <c r="C240" s="184"/>
      <c r="D240" s="184"/>
      <c r="E240" s="184"/>
      <c r="F240" s="184"/>
      <c r="G240" s="184"/>
      <c r="H240" s="184"/>
      <c r="I240" s="184"/>
      <c r="J240" s="184"/>
    </row>
    <row r="241" spans="3:10">
      <c r="C241" s="184"/>
      <c r="D241" s="184"/>
      <c r="E241" s="184"/>
      <c r="F241" s="184"/>
      <c r="G241" s="184"/>
      <c r="H241" s="184"/>
      <c r="I241" s="184"/>
      <c r="J241" s="184"/>
    </row>
    <row r="242" spans="3:10">
      <c r="C242" s="184"/>
      <c r="D242" s="184"/>
      <c r="E242" s="184"/>
      <c r="F242" s="184"/>
      <c r="G242" s="184"/>
      <c r="H242" s="184"/>
      <c r="I242" s="184"/>
      <c r="J242" s="184"/>
    </row>
    <row r="243" spans="3:10">
      <c r="C243" s="184"/>
      <c r="D243" s="184"/>
      <c r="E243" s="184"/>
      <c r="F243" s="184"/>
      <c r="G243" s="184"/>
      <c r="H243" s="184"/>
      <c r="I243" s="184"/>
      <c r="J243" s="184"/>
    </row>
    <row r="244" spans="3:10">
      <c r="C244" s="184"/>
      <c r="D244" s="184"/>
      <c r="E244" s="184"/>
      <c r="F244" s="184"/>
      <c r="G244" s="184"/>
      <c r="H244" s="184"/>
      <c r="I244" s="184"/>
      <c r="J244" s="184"/>
    </row>
    <row r="245" spans="3:10">
      <c r="C245" s="184"/>
      <c r="D245" s="184"/>
      <c r="E245" s="184"/>
      <c r="F245" s="184"/>
      <c r="G245" s="184"/>
      <c r="H245" s="184"/>
      <c r="I245" s="184"/>
      <c r="J245" s="184"/>
    </row>
    <row r="246" spans="3:10">
      <c r="C246" s="184"/>
      <c r="D246" s="184"/>
      <c r="E246" s="184"/>
      <c r="F246" s="184"/>
      <c r="G246" s="184"/>
      <c r="H246" s="184"/>
      <c r="I246" s="184"/>
      <c r="J246" s="184"/>
    </row>
    <row r="247" spans="3:10">
      <c r="C247" s="184"/>
      <c r="D247" s="184"/>
      <c r="E247" s="184"/>
      <c r="F247" s="184"/>
      <c r="G247" s="184"/>
      <c r="H247" s="184"/>
      <c r="I247" s="184"/>
      <c r="J247" s="184"/>
    </row>
    <row r="248" spans="3:10">
      <c r="C248" s="184"/>
      <c r="D248" s="184"/>
      <c r="E248" s="184"/>
      <c r="F248" s="184"/>
      <c r="G248" s="184"/>
      <c r="H248" s="184"/>
      <c r="I248" s="184"/>
      <c r="J248" s="184"/>
    </row>
    <row r="249" spans="3:10">
      <c r="C249" s="184"/>
      <c r="D249" s="184"/>
      <c r="E249" s="184"/>
      <c r="F249" s="184"/>
      <c r="G249" s="184"/>
      <c r="H249" s="184"/>
      <c r="I249" s="184"/>
      <c r="J249" s="184"/>
    </row>
    <row r="250" spans="3:10">
      <c r="C250" s="184"/>
      <c r="D250" s="184"/>
      <c r="E250" s="184"/>
      <c r="F250" s="184"/>
      <c r="G250" s="184"/>
      <c r="H250" s="184"/>
      <c r="I250" s="184"/>
      <c r="J250" s="184"/>
    </row>
    <row r="251" spans="3:10">
      <c r="C251" s="184"/>
      <c r="D251" s="184"/>
      <c r="E251" s="184"/>
      <c r="F251" s="184"/>
      <c r="G251" s="184"/>
      <c r="H251" s="184"/>
      <c r="I251" s="184"/>
      <c r="J251" s="184"/>
    </row>
    <row r="252" spans="3:10">
      <c r="C252" s="184"/>
      <c r="D252" s="184"/>
      <c r="E252" s="184"/>
      <c r="F252" s="184"/>
      <c r="G252" s="184"/>
      <c r="H252" s="184"/>
      <c r="I252" s="184"/>
      <c r="J252" s="184"/>
    </row>
    <row r="253" spans="3:10">
      <c r="C253" s="184"/>
      <c r="D253" s="184"/>
      <c r="E253" s="184"/>
      <c r="F253" s="184"/>
      <c r="G253" s="184"/>
      <c r="H253" s="184"/>
      <c r="I253" s="184"/>
      <c r="J253" s="184"/>
    </row>
    <row r="254" spans="3:10">
      <c r="C254" s="184"/>
      <c r="D254" s="184"/>
      <c r="E254" s="184"/>
      <c r="F254" s="184"/>
      <c r="G254" s="184"/>
      <c r="H254" s="184"/>
      <c r="I254" s="184"/>
      <c r="J254" s="184"/>
    </row>
    <row r="255" spans="3:10">
      <c r="C255" s="184"/>
      <c r="D255" s="184"/>
      <c r="E255" s="184"/>
      <c r="F255" s="184"/>
      <c r="G255" s="184"/>
      <c r="H255" s="184"/>
      <c r="I255" s="184"/>
      <c r="J255" s="184"/>
    </row>
    <row r="256" spans="3:10">
      <c r="C256" s="184"/>
      <c r="D256" s="184"/>
      <c r="E256" s="184"/>
      <c r="F256" s="184"/>
      <c r="G256" s="184"/>
      <c r="H256" s="184"/>
      <c r="I256" s="184"/>
      <c r="J256" s="184"/>
    </row>
    <row r="257" spans="3:10">
      <c r="C257" s="184"/>
      <c r="D257" s="184"/>
      <c r="E257" s="184"/>
      <c r="F257" s="184"/>
      <c r="G257" s="184"/>
      <c r="H257" s="184"/>
      <c r="I257" s="184"/>
      <c r="J257" s="184"/>
    </row>
    <row r="258" spans="3:10">
      <c r="C258" s="184"/>
      <c r="D258" s="184"/>
      <c r="E258" s="184"/>
      <c r="F258" s="184"/>
      <c r="G258" s="184"/>
      <c r="H258" s="184"/>
      <c r="I258" s="184"/>
      <c r="J258" s="184"/>
    </row>
    <row r="259" spans="3:10">
      <c r="C259" s="184"/>
      <c r="D259" s="184"/>
      <c r="E259" s="184"/>
      <c r="F259" s="184"/>
      <c r="G259" s="184"/>
      <c r="H259" s="184"/>
      <c r="I259" s="184"/>
      <c r="J259" s="184"/>
    </row>
    <row r="260" spans="3:10">
      <c r="C260" s="184"/>
      <c r="D260" s="184"/>
      <c r="E260" s="184"/>
      <c r="F260" s="184"/>
      <c r="G260" s="184"/>
      <c r="H260" s="184"/>
      <c r="I260" s="184"/>
      <c r="J260" s="184"/>
    </row>
    <row r="261" spans="3:10">
      <c r="C261" s="184"/>
      <c r="D261" s="184"/>
      <c r="E261" s="184"/>
      <c r="F261" s="184"/>
      <c r="G261" s="184"/>
      <c r="H261" s="184"/>
      <c r="I261" s="184"/>
      <c r="J261" s="184"/>
    </row>
    <row r="262" spans="3:10">
      <c r="C262" s="184"/>
      <c r="D262" s="184"/>
      <c r="E262" s="184"/>
      <c r="F262" s="184"/>
      <c r="G262" s="184"/>
      <c r="H262" s="184"/>
      <c r="I262" s="184"/>
      <c r="J262" s="184"/>
    </row>
    <row r="263" spans="3:10">
      <c r="C263" s="184"/>
      <c r="D263" s="184"/>
      <c r="E263" s="184"/>
      <c r="F263" s="184"/>
      <c r="G263" s="184"/>
      <c r="H263" s="184"/>
      <c r="I263" s="184"/>
      <c r="J263" s="184"/>
    </row>
    <row r="264" spans="3:10">
      <c r="C264" s="184"/>
      <c r="D264" s="184"/>
      <c r="E264" s="184"/>
      <c r="F264" s="184"/>
      <c r="G264" s="184"/>
      <c r="H264" s="184"/>
      <c r="I264" s="184"/>
      <c r="J264" s="184"/>
    </row>
    <row r="265" spans="3:10">
      <c r="C265" s="184"/>
      <c r="D265" s="184"/>
      <c r="E265" s="184"/>
      <c r="F265" s="184"/>
      <c r="G265" s="184"/>
      <c r="H265" s="184"/>
      <c r="I265" s="184"/>
      <c r="J265" s="184"/>
    </row>
    <row r="266" spans="3:10">
      <c r="C266" s="184"/>
      <c r="D266" s="184"/>
      <c r="E266" s="184"/>
      <c r="F266" s="184"/>
      <c r="G266" s="184"/>
      <c r="H266" s="184"/>
      <c r="I266" s="184"/>
      <c r="J266" s="184"/>
    </row>
    <row r="267" spans="3:10">
      <c r="C267" s="184"/>
      <c r="D267" s="184"/>
      <c r="E267" s="184"/>
      <c r="F267" s="184"/>
      <c r="G267" s="184"/>
      <c r="H267" s="184"/>
      <c r="I267" s="184"/>
      <c r="J267" s="184"/>
    </row>
    <row r="268" spans="3:10">
      <c r="C268" s="184"/>
      <c r="D268" s="184"/>
      <c r="E268" s="184"/>
      <c r="F268" s="184"/>
      <c r="G268" s="184"/>
      <c r="H268" s="184"/>
      <c r="I268" s="184"/>
      <c r="J268" s="184"/>
    </row>
    <row r="269" spans="3:10">
      <c r="C269" s="184"/>
      <c r="D269" s="184"/>
      <c r="E269" s="184"/>
      <c r="F269" s="184"/>
      <c r="G269" s="184"/>
      <c r="H269" s="184"/>
      <c r="I269" s="184"/>
      <c r="J269" s="184"/>
    </row>
    <row r="270" spans="3:10">
      <c r="C270" s="184"/>
      <c r="D270" s="184"/>
      <c r="E270" s="184"/>
      <c r="F270" s="184"/>
      <c r="G270" s="184"/>
      <c r="H270" s="184"/>
      <c r="I270" s="184"/>
      <c r="J270" s="184"/>
    </row>
    <row r="271" spans="3:10">
      <c r="C271" s="184"/>
      <c r="D271" s="184"/>
      <c r="E271" s="184"/>
      <c r="F271" s="184"/>
      <c r="G271" s="184"/>
      <c r="H271" s="184"/>
      <c r="I271" s="184"/>
      <c r="J271" s="184"/>
    </row>
    <row r="272" spans="3:10">
      <c r="C272" s="184"/>
      <c r="D272" s="184"/>
      <c r="E272" s="184"/>
      <c r="F272" s="184"/>
      <c r="G272" s="184"/>
      <c r="H272" s="184"/>
      <c r="I272" s="184"/>
      <c r="J272" s="184"/>
    </row>
    <row r="273" spans="3:10">
      <c r="C273" s="184"/>
      <c r="D273" s="184"/>
      <c r="E273" s="184"/>
      <c r="F273" s="184"/>
      <c r="G273" s="184"/>
      <c r="H273" s="184"/>
      <c r="I273" s="184"/>
      <c r="J273" s="184"/>
    </row>
    <row r="274" spans="3:10">
      <c r="C274" s="184"/>
      <c r="D274" s="184"/>
      <c r="E274" s="184"/>
      <c r="F274" s="184"/>
      <c r="G274" s="184"/>
      <c r="H274" s="184"/>
      <c r="I274" s="184"/>
      <c r="J274" s="184"/>
    </row>
    <row r="275" spans="3:10">
      <c r="C275" s="184"/>
      <c r="D275" s="184"/>
      <c r="E275" s="184"/>
      <c r="F275" s="184"/>
      <c r="G275" s="184"/>
      <c r="H275" s="184"/>
      <c r="I275" s="184"/>
      <c r="J275" s="184"/>
    </row>
    <row r="276" spans="3:10">
      <c r="C276" s="184"/>
      <c r="D276" s="184"/>
      <c r="E276" s="184"/>
      <c r="F276" s="184"/>
      <c r="G276" s="184"/>
      <c r="H276" s="184"/>
      <c r="I276" s="184"/>
      <c r="J276" s="184"/>
    </row>
    <row r="277" spans="3:10">
      <c r="C277" s="184"/>
      <c r="D277" s="184"/>
      <c r="E277" s="184"/>
      <c r="F277" s="184"/>
      <c r="G277" s="184"/>
      <c r="H277" s="184"/>
      <c r="I277" s="184"/>
      <c r="J277" s="184"/>
    </row>
    <row r="278" spans="3:10">
      <c r="C278" s="184"/>
      <c r="D278" s="184"/>
      <c r="E278" s="184"/>
      <c r="F278" s="184"/>
      <c r="G278" s="184"/>
      <c r="H278" s="184"/>
      <c r="I278" s="184"/>
      <c r="J278" s="184"/>
    </row>
    <row r="279" spans="3:10">
      <c r="C279" s="184"/>
      <c r="D279" s="184"/>
      <c r="E279" s="184"/>
      <c r="F279" s="184"/>
      <c r="G279" s="184"/>
      <c r="H279" s="184"/>
      <c r="I279" s="184"/>
      <c r="J279" s="184"/>
    </row>
    <row r="280" spans="3:10">
      <c r="C280" s="184"/>
      <c r="D280" s="184"/>
      <c r="E280" s="184"/>
      <c r="F280" s="184"/>
      <c r="G280" s="184"/>
      <c r="H280" s="184"/>
      <c r="I280" s="184"/>
      <c r="J280" s="184"/>
    </row>
    <row r="281" spans="3:10">
      <c r="C281" s="184"/>
      <c r="D281" s="184"/>
      <c r="E281" s="184"/>
      <c r="F281" s="184"/>
      <c r="G281" s="184"/>
      <c r="H281" s="184"/>
      <c r="I281" s="184"/>
      <c r="J281" s="184"/>
    </row>
    <row r="282" spans="3:10">
      <c r="C282" s="184"/>
      <c r="D282" s="184"/>
      <c r="E282" s="184"/>
      <c r="F282" s="184"/>
      <c r="G282" s="184"/>
      <c r="H282" s="184"/>
      <c r="I282" s="184"/>
      <c r="J282" s="184"/>
    </row>
    <row r="283" spans="3:10">
      <c r="C283" s="184"/>
      <c r="D283" s="184"/>
      <c r="E283" s="184"/>
      <c r="F283" s="184"/>
      <c r="G283" s="184"/>
      <c r="H283" s="184"/>
      <c r="I283" s="184"/>
      <c r="J283" s="184"/>
    </row>
    <row r="284" spans="3:10">
      <c r="C284" s="184"/>
      <c r="D284" s="184"/>
      <c r="E284" s="184"/>
      <c r="F284" s="184"/>
      <c r="G284" s="184"/>
      <c r="H284" s="184"/>
      <c r="I284" s="184"/>
      <c r="J284" s="184"/>
    </row>
    <row r="285" spans="3:10">
      <c r="C285" s="184"/>
      <c r="D285" s="184"/>
      <c r="E285" s="184"/>
      <c r="F285" s="184"/>
      <c r="G285" s="184"/>
      <c r="H285" s="184"/>
      <c r="I285" s="184"/>
      <c r="J285" s="184"/>
    </row>
    <row r="286" spans="3:10">
      <c r="C286" s="184"/>
      <c r="D286" s="184"/>
      <c r="E286" s="184"/>
      <c r="F286" s="184"/>
      <c r="G286" s="184"/>
      <c r="H286" s="184"/>
      <c r="I286" s="184"/>
      <c r="J286" s="184"/>
    </row>
    <row r="287" spans="3:10">
      <c r="C287" s="184"/>
      <c r="D287" s="184"/>
      <c r="E287" s="184"/>
      <c r="F287" s="184"/>
      <c r="G287" s="184"/>
      <c r="H287" s="184"/>
      <c r="I287" s="184"/>
      <c r="J287" s="184"/>
    </row>
    <row r="288" spans="3:10">
      <c r="C288" s="184"/>
      <c r="D288" s="184"/>
      <c r="E288" s="184"/>
      <c r="F288" s="184"/>
      <c r="G288" s="184"/>
      <c r="H288" s="184"/>
      <c r="I288" s="184"/>
      <c r="J288" s="184"/>
    </row>
    <row r="289" spans="3:10">
      <c r="C289" s="184"/>
      <c r="D289" s="184"/>
      <c r="E289" s="184"/>
      <c r="F289" s="184"/>
      <c r="G289" s="184"/>
      <c r="H289" s="184"/>
      <c r="I289" s="184"/>
      <c r="J289" s="184"/>
    </row>
    <row r="290" spans="3:10">
      <c r="C290" s="184"/>
      <c r="D290" s="184"/>
      <c r="E290" s="184"/>
      <c r="F290" s="184"/>
      <c r="G290" s="184"/>
      <c r="H290" s="184"/>
      <c r="I290" s="184"/>
      <c r="J290" s="184"/>
    </row>
    <row r="291" spans="3:10">
      <c r="C291" s="184"/>
      <c r="D291" s="184"/>
      <c r="E291" s="184"/>
      <c r="F291" s="184"/>
      <c r="G291" s="184"/>
      <c r="H291" s="184"/>
      <c r="I291" s="184"/>
      <c r="J291" s="184"/>
    </row>
    <row r="292" spans="3:10">
      <c r="C292" s="184"/>
      <c r="D292" s="184"/>
      <c r="E292" s="184"/>
      <c r="F292" s="184"/>
      <c r="G292" s="184"/>
      <c r="H292" s="184"/>
      <c r="I292" s="184"/>
      <c r="J292" s="184"/>
    </row>
    <row r="293" spans="3:10">
      <c r="C293" s="184"/>
      <c r="D293" s="184"/>
      <c r="E293" s="184"/>
      <c r="F293" s="184"/>
      <c r="G293" s="184"/>
      <c r="H293" s="184"/>
      <c r="I293" s="184"/>
      <c r="J293" s="184"/>
    </row>
    <row r="294" spans="3:10">
      <c r="C294" s="184"/>
      <c r="D294" s="184"/>
      <c r="E294" s="184"/>
      <c r="F294" s="184"/>
      <c r="G294" s="184"/>
      <c r="H294" s="184"/>
      <c r="I294" s="184"/>
      <c r="J294" s="184"/>
    </row>
    <row r="295" spans="3:10">
      <c r="C295" s="184"/>
      <c r="D295" s="184"/>
      <c r="E295" s="184"/>
      <c r="F295" s="184"/>
      <c r="G295" s="184"/>
      <c r="H295" s="184"/>
      <c r="I295" s="184"/>
      <c r="J295" s="184"/>
    </row>
    <row r="296" spans="3:10">
      <c r="C296" s="184"/>
      <c r="D296" s="184"/>
      <c r="E296" s="184"/>
      <c r="F296" s="184"/>
      <c r="G296" s="184"/>
      <c r="H296" s="184"/>
      <c r="I296" s="184"/>
      <c r="J296" s="184"/>
    </row>
    <row r="297" spans="3:10">
      <c r="C297" s="184"/>
      <c r="D297" s="184"/>
      <c r="E297" s="184"/>
      <c r="F297" s="184"/>
      <c r="G297" s="184"/>
      <c r="H297" s="184"/>
      <c r="I297" s="184"/>
      <c r="J297" s="184"/>
    </row>
    <row r="298" spans="3:10">
      <c r="C298" s="184"/>
      <c r="D298" s="184"/>
      <c r="E298" s="184"/>
      <c r="F298" s="184"/>
      <c r="G298" s="184"/>
      <c r="H298" s="184"/>
      <c r="I298" s="184"/>
      <c r="J298" s="184"/>
    </row>
  </sheetData>
  <mergeCells count="8">
    <mergeCell ref="M100:X100"/>
    <mergeCell ref="M99:X99"/>
    <mergeCell ref="M93:X93"/>
    <mergeCell ref="M94:X94"/>
    <mergeCell ref="M95:X95"/>
    <mergeCell ref="M96:X96"/>
    <mergeCell ref="M97:X97"/>
    <mergeCell ref="M98:X98"/>
  </mergeCells>
  <printOptions horizontalCentered="1"/>
  <pageMargins left="0.75" right="0.75" top="0.75" bottom="0.5" header="0.5" footer="0.5"/>
  <pageSetup scale="56" orientation="landscape" horizontalDpi="300" verticalDpi="300" r:id="rId1"/>
  <headerFooter alignWithMargins="0"/>
  <rowBreaks count="1" manualBreakCount="1">
    <brk id="48" min="10" max="2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3300"/>
    <pageSetUpPr fitToPage="1"/>
  </sheetPr>
  <dimension ref="A1:BG298"/>
  <sheetViews>
    <sheetView topLeftCell="A7" zoomScale="75" zoomScaleNormal="75" workbookViewId="0"/>
  </sheetViews>
  <sheetFormatPr defaultRowHeight="15"/>
  <cols>
    <col min="1" max="1" width="6" style="127" customWidth="1"/>
    <col min="2" max="2" width="1.44140625" style="127" customWidth="1"/>
    <col min="3" max="3" width="53.21875" style="127" customWidth="1"/>
    <col min="4" max="4" width="1.109375" style="127" customWidth="1"/>
    <col min="5" max="5" width="37.109375" style="127" customWidth="1"/>
    <col min="6" max="6" width="1" style="127" customWidth="1"/>
    <col min="7" max="7" width="14.109375" style="127" customWidth="1"/>
    <col min="8" max="8" width="1" style="127" customWidth="1"/>
    <col min="9" max="9" width="12.77734375" style="127" customWidth="1"/>
    <col min="10" max="10" width="2.109375" style="127" customWidth="1"/>
    <col min="11" max="11" width="4.88671875" style="127" customWidth="1"/>
    <col min="12" max="12" width="2.88671875" style="127" customWidth="1"/>
    <col min="13" max="13" width="26.88671875" style="127" customWidth="1"/>
    <col min="14" max="14" width="9.21875" style="127" customWidth="1"/>
    <col min="15" max="15" width="10.77734375" style="127" customWidth="1"/>
    <col min="16" max="16" width="15.6640625" style="127" bestFit="1" customWidth="1"/>
    <col min="17" max="17" width="13.33203125" style="127" customWidth="1"/>
    <col min="18" max="18" width="11.21875" style="127" customWidth="1"/>
    <col min="19" max="19" width="14" style="127" customWidth="1"/>
    <col min="20" max="20" width="14.21875" style="127" customWidth="1"/>
    <col min="21" max="21" width="11.77734375" style="127" customWidth="1"/>
    <col min="22" max="22" width="15.6640625" style="127" customWidth="1"/>
    <col min="23" max="23" width="12.33203125" style="127" customWidth="1"/>
    <col min="24" max="24" width="16.33203125" style="127" customWidth="1"/>
    <col min="25" max="250" width="8.77734375" style="127"/>
    <col min="251" max="251" width="6" style="127" customWidth="1"/>
    <col min="252" max="252" width="1.44140625" style="127" customWidth="1"/>
    <col min="253" max="253" width="39.109375" style="127" customWidth="1"/>
    <col min="254" max="254" width="12" style="127" customWidth="1"/>
    <col min="255" max="255" width="14.44140625" style="127" customWidth="1"/>
    <col min="256" max="256" width="11.88671875" style="127" customWidth="1"/>
    <col min="257" max="257" width="14.109375" style="127" customWidth="1"/>
    <col min="258" max="258" width="13.88671875" style="127" customWidth="1"/>
    <col min="259" max="260" width="12.77734375" style="127" customWidth="1"/>
    <col min="261" max="261" width="13.5546875" style="127" customWidth="1"/>
    <col min="262" max="262" width="15.33203125" style="127" customWidth="1"/>
    <col min="263" max="263" width="12.77734375" style="127" customWidth="1"/>
    <col min="264" max="264" width="13.88671875" style="127" customWidth="1"/>
    <col min="265" max="265" width="1.88671875" style="127" customWidth="1"/>
    <col min="266" max="266" width="13" style="127" customWidth="1"/>
    <col min="267" max="506" width="8.77734375" style="127"/>
    <col min="507" max="507" width="6" style="127" customWidth="1"/>
    <col min="508" max="508" width="1.44140625" style="127" customWidth="1"/>
    <col min="509" max="509" width="39.109375" style="127" customWidth="1"/>
    <col min="510" max="510" width="12" style="127" customWidth="1"/>
    <col min="511" max="511" width="14.44140625" style="127" customWidth="1"/>
    <col min="512" max="512" width="11.88671875" style="127" customWidth="1"/>
    <col min="513" max="513" width="14.109375" style="127" customWidth="1"/>
    <col min="514" max="514" width="13.88671875" style="127" customWidth="1"/>
    <col min="515" max="516" width="12.77734375" style="127" customWidth="1"/>
    <col min="517" max="517" width="13.5546875" style="127" customWidth="1"/>
    <col min="518" max="518" width="15.33203125" style="127" customWidth="1"/>
    <col min="519" max="519" width="12.77734375" style="127" customWidth="1"/>
    <col min="520" max="520" width="13.88671875" style="127" customWidth="1"/>
    <col min="521" max="521" width="1.88671875" style="127" customWidth="1"/>
    <col min="522" max="522" width="13" style="127" customWidth="1"/>
    <col min="523" max="762" width="8.77734375" style="127"/>
    <col min="763" max="763" width="6" style="127" customWidth="1"/>
    <col min="764" max="764" width="1.44140625" style="127" customWidth="1"/>
    <col min="765" max="765" width="39.109375" style="127" customWidth="1"/>
    <col min="766" max="766" width="12" style="127" customWidth="1"/>
    <col min="767" max="767" width="14.44140625" style="127" customWidth="1"/>
    <col min="768" max="768" width="11.88671875" style="127" customWidth="1"/>
    <col min="769" max="769" width="14.109375" style="127" customWidth="1"/>
    <col min="770" max="770" width="13.88671875" style="127" customWidth="1"/>
    <col min="771" max="772" width="12.77734375" style="127" customWidth="1"/>
    <col min="773" max="773" width="13.5546875" style="127" customWidth="1"/>
    <col min="774" max="774" width="15.33203125" style="127" customWidth="1"/>
    <col min="775" max="775" width="12.77734375" style="127" customWidth="1"/>
    <col min="776" max="776" width="13.88671875" style="127" customWidth="1"/>
    <col min="777" max="777" width="1.88671875" style="127" customWidth="1"/>
    <col min="778" max="778" width="13" style="127" customWidth="1"/>
    <col min="779" max="1018" width="8.77734375" style="127"/>
    <col min="1019" max="1019" width="6" style="127" customWidth="1"/>
    <col min="1020" max="1020" width="1.44140625" style="127" customWidth="1"/>
    <col min="1021" max="1021" width="39.109375" style="127" customWidth="1"/>
    <col min="1022" max="1022" width="12" style="127" customWidth="1"/>
    <col min="1023" max="1023" width="14.44140625" style="127" customWidth="1"/>
    <col min="1024" max="1024" width="11.88671875" style="127" customWidth="1"/>
    <col min="1025" max="1025" width="14.109375" style="127" customWidth="1"/>
    <col min="1026" max="1026" width="13.88671875" style="127" customWidth="1"/>
    <col min="1027" max="1028" width="12.77734375" style="127" customWidth="1"/>
    <col min="1029" max="1029" width="13.5546875" style="127" customWidth="1"/>
    <col min="1030" max="1030" width="15.33203125" style="127" customWidth="1"/>
    <col min="1031" max="1031" width="12.77734375" style="127" customWidth="1"/>
    <col min="1032" max="1032" width="13.88671875" style="127" customWidth="1"/>
    <col min="1033" max="1033" width="1.88671875" style="127" customWidth="1"/>
    <col min="1034" max="1034" width="13" style="127" customWidth="1"/>
    <col min="1035" max="1274" width="8.77734375" style="127"/>
    <col min="1275" max="1275" width="6" style="127" customWidth="1"/>
    <col min="1276" max="1276" width="1.44140625" style="127" customWidth="1"/>
    <col min="1277" max="1277" width="39.109375" style="127" customWidth="1"/>
    <col min="1278" max="1278" width="12" style="127" customWidth="1"/>
    <col min="1279" max="1279" width="14.44140625" style="127" customWidth="1"/>
    <col min="1280" max="1280" width="11.88671875" style="127" customWidth="1"/>
    <col min="1281" max="1281" width="14.109375" style="127" customWidth="1"/>
    <col min="1282" max="1282" width="13.88671875" style="127" customWidth="1"/>
    <col min="1283" max="1284" width="12.77734375" style="127" customWidth="1"/>
    <col min="1285" max="1285" width="13.5546875" style="127" customWidth="1"/>
    <col min="1286" max="1286" width="15.33203125" style="127" customWidth="1"/>
    <col min="1287" max="1287" width="12.77734375" style="127" customWidth="1"/>
    <col min="1288" max="1288" width="13.88671875" style="127" customWidth="1"/>
    <col min="1289" max="1289" width="1.88671875" style="127" customWidth="1"/>
    <col min="1290" max="1290" width="13" style="127" customWidth="1"/>
    <col min="1291" max="1530" width="8.77734375" style="127"/>
    <col min="1531" max="1531" width="6" style="127" customWidth="1"/>
    <col min="1532" max="1532" width="1.44140625" style="127" customWidth="1"/>
    <col min="1533" max="1533" width="39.109375" style="127" customWidth="1"/>
    <col min="1534" max="1534" width="12" style="127" customWidth="1"/>
    <col min="1535" max="1535" width="14.44140625" style="127" customWidth="1"/>
    <col min="1536" max="1536" width="11.88671875" style="127" customWidth="1"/>
    <col min="1537" max="1537" width="14.109375" style="127" customWidth="1"/>
    <col min="1538" max="1538" width="13.88671875" style="127" customWidth="1"/>
    <col min="1539" max="1540" width="12.77734375" style="127" customWidth="1"/>
    <col min="1541" max="1541" width="13.5546875" style="127" customWidth="1"/>
    <col min="1542" max="1542" width="15.33203125" style="127" customWidth="1"/>
    <col min="1543" max="1543" width="12.77734375" style="127" customWidth="1"/>
    <col min="1544" max="1544" width="13.88671875" style="127" customWidth="1"/>
    <col min="1545" max="1545" width="1.88671875" style="127" customWidth="1"/>
    <col min="1546" max="1546" width="13" style="127" customWidth="1"/>
    <col min="1547" max="1786" width="8.77734375" style="127"/>
    <col min="1787" max="1787" width="6" style="127" customWidth="1"/>
    <col min="1788" max="1788" width="1.44140625" style="127" customWidth="1"/>
    <col min="1789" max="1789" width="39.109375" style="127" customWidth="1"/>
    <col min="1790" max="1790" width="12" style="127" customWidth="1"/>
    <col min="1791" max="1791" width="14.44140625" style="127" customWidth="1"/>
    <col min="1792" max="1792" width="11.88671875" style="127" customWidth="1"/>
    <col min="1793" max="1793" width="14.109375" style="127" customWidth="1"/>
    <col min="1794" max="1794" width="13.88671875" style="127" customWidth="1"/>
    <col min="1795" max="1796" width="12.77734375" style="127" customWidth="1"/>
    <col min="1797" max="1797" width="13.5546875" style="127" customWidth="1"/>
    <col min="1798" max="1798" width="15.33203125" style="127" customWidth="1"/>
    <col min="1799" max="1799" width="12.77734375" style="127" customWidth="1"/>
    <col min="1800" max="1800" width="13.88671875" style="127" customWidth="1"/>
    <col min="1801" max="1801" width="1.88671875" style="127" customWidth="1"/>
    <col min="1802" max="1802" width="13" style="127" customWidth="1"/>
    <col min="1803" max="2042" width="8.77734375" style="127"/>
    <col min="2043" max="2043" width="6" style="127" customWidth="1"/>
    <col min="2044" max="2044" width="1.44140625" style="127" customWidth="1"/>
    <col min="2045" max="2045" width="39.109375" style="127" customWidth="1"/>
    <col min="2046" max="2046" width="12" style="127" customWidth="1"/>
    <col min="2047" max="2047" width="14.44140625" style="127" customWidth="1"/>
    <col min="2048" max="2048" width="11.88671875" style="127" customWidth="1"/>
    <col min="2049" max="2049" width="14.109375" style="127" customWidth="1"/>
    <col min="2050" max="2050" width="13.88671875" style="127" customWidth="1"/>
    <col min="2051" max="2052" width="12.77734375" style="127" customWidth="1"/>
    <col min="2053" max="2053" width="13.5546875" style="127" customWidth="1"/>
    <col min="2054" max="2054" width="15.33203125" style="127" customWidth="1"/>
    <col min="2055" max="2055" width="12.77734375" style="127" customWidth="1"/>
    <col min="2056" max="2056" width="13.88671875" style="127" customWidth="1"/>
    <col min="2057" max="2057" width="1.88671875" style="127" customWidth="1"/>
    <col min="2058" max="2058" width="13" style="127" customWidth="1"/>
    <col min="2059" max="2298" width="8.77734375" style="127"/>
    <col min="2299" max="2299" width="6" style="127" customWidth="1"/>
    <col min="2300" max="2300" width="1.44140625" style="127" customWidth="1"/>
    <col min="2301" max="2301" width="39.109375" style="127" customWidth="1"/>
    <col min="2302" max="2302" width="12" style="127" customWidth="1"/>
    <col min="2303" max="2303" width="14.44140625" style="127" customWidth="1"/>
    <col min="2304" max="2304" width="11.88671875" style="127" customWidth="1"/>
    <col min="2305" max="2305" width="14.109375" style="127" customWidth="1"/>
    <col min="2306" max="2306" width="13.88671875" style="127" customWidth="1"/>
    <col min="2307" max="2308" width="12.77734375" style="127" customWidth="1"/>
    <col min="2309" max="2309" width="13.5546875" style="127" customWidth="1"/>
    <col min="2310" max="2310" width="15.33203125" style="127" customWidth="1"/>
    <col min="2311" max="2311" width="12.77734375" style="127" customWidth="1"/>
    <col min="2312" max="2312" width="13.88671875" style="127" customWidth="1"/>
    <col min="2313" max="2313" width="1.88671875" style="127" customWidth="1"/>
    <col min="2314" max="2314" width="13" style="127" customWidth="1"/>
    <col min="2315" max="2554" width="8.77734375" style="127"/>
    <col min="2555" max="2555" width="6" style="127" customWidth="1"/>
    <col min="2556" max="2556" width="1.44140625" style="127" customWidth="1"/>
    <col min="2557" max="2557" width="39.109375" style="127" customWidth="1"/>
    <col min="2558" max="2558" width="12" style="127" customWidth="1"/>
    <col min="2559" max="2559" width="14.44140625" style="127" customWidth="1"/>
    <col min="2560" max="2560" width="11.88671875" style="127" customWidth="1"/>
    <col min="2561" max="2561" width="14.109375" style="127" customWidth="1"/>
    <col min="2562" max="2562" width="13.88671875" style="127" customWidth="1"/>
    <col min="2563" max="2564" width="12.77734375" style="127" customWidth="1"/>
    <col min="2565" max="2565" width="13.5546875" style="127" customWidth="1"/>
    <col min="2566" max="2566" width="15.33203125" style="127" customWidth="1"/>
    <col min="2567" max="2567" width="12.77734375" style="127" customWidth="1"/>
    <col min="2568" max="2568" width="13.88671875" style="127" customWidth="1"/>
    <col min="2569" max="2569" width="1.88671875" style="127" customWidth="1"/>
    <col min="2570" max="2570" width="13" style="127" customWidth="1"/>
    <col min="2571" max="2810" width="8.77734375" style="127"/>
    <col min="2811" max="2811" width="6" style="127" customWidth="1"/>
    <col min="2812" max="2812" width="1.44140625" style="127" customWidth="1"/>
    <col min="2813" max="2813" width="39.109375" style="127" customWidth="1"/>
    <col min="2814" max="2814" width="12" style="127" customWidth="1"/>
    <col min="2815" max="2815" width="14.44140625" style="127" customWidth="1"/>
    <col min="2816" max="2816" width="11.88671875" style="127" customWidth="1"/>
    <col min="2817" max="2817" width="14.109375" style="127" customWidth="1"/>
    <col min="2818" max="2818" width="13.88671875" style="127" customWidth="1"/>
    <col min="2819" max="2820" width="12.77734375" style="127" customWidth="1"/>
    <col min="2821" max="2821" width="13.5546875" style="127" customWidth="1"/>
    <col min="2822" max="2822" width="15.33203125" style="127" customWidth="1"/>
    <col min="2823" max="2823" width="12.77734375" style="127" customWidth="1"/>
    <col min="2824" max="2824" width="13.88671875" style="127" customWidth="1"/>
    <col min="2825" max="2825" width="1.88671875" style="127" customWidth="1"/>
    <col min="2826" max="2826" width="13" style="127" customWidth="1"/>
    <col min="2827" max="3066" width="8.77734375" style="127"/>
    <col min="3067" max="3067" width="6" style="127" customWidth="1"/>
    <col min="3068" max="3068" width="1.44140625" style="127" customWidth="1"/>
    <col min="3069" max="3069" width="39.109375" style="127" customWidth="1"/>
    <col min="3070" max="3070" width="12" style="127" customWidth="1"/>
    <col min="3071" max="3071" width="14.44140625" style="127" customWidth="1"/>
    <col min="3072" max="3072" width="11.88671875" style="127" customWidth="1"/>
    <col min="3073" max="3073" width="14.109375" style="127" customWidth="1"/>
    <col min="3074" max="3074" width="13.88671875" style="127" customWidth="1"/>
    <col min="3075" max="3076" width="12.77734375" style="127" customWidth="1"/>
    <col min="3077" max="3077" width="13.5546875" style="127" customWidth="1"/>
    <col min="3078" max="3078" width="15.33203125" style="127" customWidth="1"/>
    <col min="3079" max="3079" width="12.77734375" style="127" customWidth="1"/>
    <col min="3080" max="3080" width="13.88671875" style="127" customWidth="1"/>
    <col min="3081" max="3081" width="1.88671875" style="127" customWidth="1"/>
    <col min="3082" max="3082" width="13" style="127" customWidth="1"/>
    <col min="3083" max="3322" width="8.77734375" style="127"/>
    <col min="3323" max="3323" width="6" style="127" customWidth="1"/>
    <col min="3324" max="3324" width="1.44140625" style="127" customWidth="1"/>
    <col min="3325" max="3325" width="39.109375" style="127" customWidth="1"/>
    <col min="3326" max="3326" width="12" style="127" customWidth="1"/>
    <col min="3327" max="3327" width="14.44140625" style="127" customWidth="1"/>
    <col min="3328" max="3328" width="11.88671875" style="127" customWidth="1"/>
    <col min="3329" max="3329" width="14.109375" style="127" customWidth="1"/>
    <col min="3330" max="3330" width="13.88671875" style="127" customWidth="1"/>
    <col min="3331" max="3332" width="12.77734375" style="127" customWidth="1"/>
    <col min="3333" max="3333" width="13.5546875" style="127" customWidth="1"/>
    <col min="3334" max="3334" width="15.33203125" style="127" customWidth="1"/>
    <col min="3335" max="3335" width="12.77734375" style="127" customWidth="1"/>
    <col min="3336" max="3336" width="13.88671875" style="127" customWidth="1"/>
    <col min="3337" max="3337" width="1.88671875" style="127" customWidth="1"/>
    <col min="3338" max="3338" width="13" style="127" customWidth="1"/>
    <col min="3339" max="3578" width="8.77734375" style="127"/>
    <col min="3579" max="3579" width="6" style="127" customWidth="1"/>
    <col min="3580" max="3580" width="1.44140625" style="127" customWidth="1"/>
    <col min="3581" max="3581" width="39.109375" style="127" customWidth="1"/>
    <col min="3582" max="3582" width="12" style="127" customWidth="1"/>
    <col min="3583" max="3583" width="14.44140625" style="127" customWidth="1"/>
    <col min="3584" max="3584" width="11.88671875" style="127" customWidth="1"/>
    <col min="3585" max="3585" width="14.109375" style="127" customWidth="1"/>
    <col min="3586" max="3586" width="13.88671875" style="127" customWidth="1"/>
    <col min="3587" max="3588" width="12.77734375" style="127" customWidth="1"/>
    <col min="3589" max="3589" width="13.5546875" style="127" customWidth="1"/>
    <col min="3590" max="3590" width="15.33203125" style="127" customWidth="1"/>
    <col min="3591" max="3591" width="12.77734375" style="127" customWidth="1"/>
    <col min="3592" max="3592" width="13.88671875" style="127" customWidth="1"/>
    <col min="3593" max="3593" width="1.88671875" style="127" customWidth="1"/>
    <col min="3594" max="3594" width="13" style="127" customWidth="1"/>
    <col min="3595" max="3834" width="8.77734375" style="127"/>
    <col min="3835" max="3835" width="6" style="127" customWidth="1"/>
    <col min="3836" max="3836" width="1.44140625" style="127" customWidth="1"/>
    <col min="3837" max="3837" width="39.109375" style="127" customWidth="1"/>
    <col min="3838" max="3838" width="12" style="127" customWidth="1"/>
    <col min="3839" max="3839" width="14.44140625" style="127" customWidth="1"/>
    <col min="3840" max="3840" width="11.88671875" style="127" customWidth="1"/>
    <col min="3841" max="3841" width="14.109375" style="127" customWidth="1"/>
    <col min="3842" max="3842" width="13.88671875" style="127" customWidth="1"/>
    <col min="3843" max="3844" width="12.77734375" style="127" customWidth="1"/>
    <col min="3845" max="3845" width="13.5546875" style="127" customWidth="1"/>
    <col min="3846" max="3846" width="15.33203125" style="127" customWidth="1"/>
    <col min="3847" max="3847" width="12.77734375" style="127" customWidth="1"/>
    <col min="3848" max="3848" width="13.88671875" style="127" customWidth="1"/>
    <col min="3849" max="3849" width="1.88671875" style="127" customWidth="1"/>
    <col min="3850" max="3850" width="13" style="127" customWidth="1"/>
    <col min="3851" max="4090" width="8.77734375" style="127"/>
    <col min="4091" max="4091" width="6" style="127" customWidth="1"/>
    <col min="4092" max="4092" width="1.44140625" style="127" customWidth="1"/>
    <col min="4093" max="4093" width="39.109375" style="127" customWidth="1"/>
    <col min="4094" max="4094" width="12" style="127" customWidth="1"/>
    <col min="4095" max="4095" width="14.44140625" style="127" customWidth="1"/>
    <col min="4096" max="4096" width="11.88671875" style="127" customWidth="1"/>
    <col min="4097" max="4097" width="14.109375" style="127" customWidth="1"/>
    <col min="4098" max="4098" width="13.88671875" style="127" customWidth="1"/>
    <col min="4099" max="4100" width="12.77734375" style="127" customWidth="1"/>
    <col min="4101" max="4101" width="13.5546875" style="127" customWidth="1"/>
    <col min="4102" max="4102" width="15.33203125" style="127" customWidth="1"/>
    <col min="4103" max="4103" width="12.77734375" style="127" customWidth="1"/>
    <col min="4104" max="4104" width="13.88671875" style="127" customWidth="1"/>
    <col min="4105" max="4105" width="1.88671875" style="127" customWidth="1"/>
    <col min="4106" max="4106" width="13" style="127" customWidth="1"/>
    <col min="4107" max="4346" width="8.77734375" style="127"/>
    <col min="4347" max="4347" width="6" style="127" customWidth="1"/>
    <col min="4348" max="4348" width="1.44140625" style="127" customWidth="1"/>
    <col min="4349" max="4349" width="39.109375" style="127" customWidth="1"/>
    <col min="4350" max="4350" width="12" style="127" customWidth="1"/>
    <col min="4351" max="4351" width="14.44140625" style="127" customWidth="1"/>
    <col min="4352" max="4352" width="11.88671875" style="127" customWidth="1"/>
    <col min="4353" max="4353" width="14.109375" style="127" customWidth="1"/>
    <col min="4354" max="4354" width="13.88671875" style="127" customWidth="1"/>
    <col min="4355" max="4356" width="12.77734375" style="127" customWidth="1"/>
    <col min="4357" max="4357" width="13.5546875" style="127" customWidth="1"/>
    <col min="4358" max="4358" width="15.33203125" style="127" customWidth="1"/>
    <col min="4359" max="4359" width="12.77734375" style="127" customWidth="1"/>
    <col min="4360" max="4360" width="13.88671875" style="127" customWidth="1"/>
    <col min="4361" max="4361" width="1.88671875" style="127" customWidth="1"/>
    <col min="4362" max="4362" width="13" style="127" customWidth="1"/>
    <col min="4363" max="4602" width="8.77734375" style="127"/>
    <col min="4603" max="4603" width="6" style="127" customWidth="1"/>
    <col min="4604" max="4604" width="1.44140625" style="127" customWidth="1"/>
    <col min="4605" max="4605" width="39.109375" style="127" customWidth="1"/>
    <col min="4606" max="4606" width="12" style="127" customWidth="1"/>
    <col min="4607" max="4607" width="14.44140625" style="127" customWidth="1"/>
    <col min="4608" max="4608" width="11.88671875" style="127" customWidth="1"/>
    <col min="4609" max="4609" width="14.109375" style="127" customWidth="1"/>
    <col min="4610" max="4610" width="13.88671875" style="127" customWidth="1"/>
    <col min="4611" max="4612" width="12.77734375" style="127" customWidth="1"/>
    <col min="4613" max="4613" width="13.5546875" style="127" customWidth="1"/>
    <col min="4614" max="4614" width="15.33203125" style="127" customWidth="1"/>
    <col min="4615" max="4615" width="12.77734375" style="127" customWidth="1"/>
    <col min="4616" max="4616" width="13.88671875" style="127" customWidth="1"/>
    <col min="4617" max="4617" width="1.88671875" style="127" customWidth="1"/>
    <col min="4618" max="4618" width="13" style="127" customWidth="1"/>
    <col min="4619" max="4858" width="8.77734375" style="127"/>
    <col min="4859" max="4859" width="6" style="127" customWidth="1"/>
    <col min="4860" max="4860" width="1.44140625" style="127" customWidth="1"/>
    <col min="4861" max="4861" width="39.109375" style="127" customWidth="1"/>
    <col min="4862" max="4862" width="12" style="127" customWidth="1"/>
    <col min="4863" max="4863" width="14.44140625" style="127" customWidth="1"/>
    <col min="4864" max="4864" width="11.88671875" style="127" customWidth="1"/>
    <col min="4865" max="4865" width="14.109375" style="127" customWidth="1"/>
    <col min="4866" max="4866" width="13.88671875" style="127" customWidth="1"/>
    <col min="4867" max="4868" width="12.77734375" style="127" customWidth="1"/>
    <col min="4869" max="4869" width="13.5546875" style="127" customWidth="1"/>
    <col min="4870" max="4870" width="15.33203125" style="127" customWidth="1"/>
    <col min="4871" max="4871" width="12.77734375" style="127" customWidth="1"/>
    <col min="4872" max="4872" width="13.88671875" style="127" customWidth="1"/>
    <col min="4873" max="4873" width="1.88671875" style="127" customWidth="1"/>
    <col min="4874" max="4874" width="13" style="127" customWidth="1"/>
    <col min="4875" max="5114" width="8.77734375" style="127"/>
    <col min="5115" max="5115" width="6" style="127" customWidth="1"/>
    <col min="5116" max="5116" width="1.44140625" style="127" customWidth="1"/>
    <col min="5117" max="5117" width="39.109375" style="127" customWidth="1"/>
    <col min="5118" max="5118" width="12" style="127" customWidth="1"/>
    <col min="5119" max="5119" width="14.44140625" style="127" customWidth="1"/>
    <col min="5120" max="5120" width="11.88671875" style="127" customWidth="1"/>
    <col min="5121" max="5121" width="14.109375" style="127" customWidth="1"/>
    <col min="5122" max="5122" width="13.88671875" style="127" customWidth="1"/>
    <col min="5123" max="5124" width="12.77734375" style="127" customWidth="1"/>
    <col min="5125" max="5125" width="13.5546875" style="127" customWidth="1"/>
    <col min="5126" max="5126" width="15.33203125" style="127" customWidth="1"/>
    <col min="5127" max="5127" width="12.77734375" style="127" customWidth="1"/>
    <col min="5128" max="5128" width="13.88671875" style="127" customWidth="1"/>
    <col min="5129" max="5129" width="1.88671875" style="127" customWidth="1"/>
    <col min="5130" max="5130" width="13" style="127" customWidth="1"/>
    <col min="5131" max="5370" width="8.77734375" style="127"/>
    <col min="5371" max="5371" width="6" style="127" customWidth="1"/>
    <col min="5372" max="5372" width="1.44140625" style="127" customWidth="1"/>
    <col min="5373" max="5373" width="39.109375" style="127" customWidth="1"/>
    <col min="5374" max="5374" width="12" style="127" customWidth="1"/>
    <col min="5375" max="5375" width="14.44140625" style="127" customWidth="1"/>
    <col min="5376" max="5376" width="11.88671875" style="127" customWidth="1"/>
    <col min="5377" max="5377" width="14.109375" style="127" customWidth="1"/>
    <col min="5378" max="5378" width="13.88671875" style="127" customWidth="1"/>
    <col min="5379" max="5380" width="12.77734375" style="127" customWidth="1"/>
    <col min="5381" max="5381" width="13.5546875" style="127" customWidth="1"/>
    <col min="5382" max="5382" width="15.33203125" style="127" customWidth="1"/>
    <col min="5383" max="5383" width="12.77734375" style="127" customWidth="1"/>
    <col min="5384" max="5384" width="13.88671875" style="127" customWidth="1"/>
    <col min="5385" max="5385" width="1.88671875" style="127" customWidth="1"/>
    <col min="5386" max="5386" width="13" style="127" customWidth="1"/>
    <col min="5387" max="5626" width="8.77734375" style="127"/>
    <col min="5627" max="5627" width="6" style="127" customWidth="1"/>
    <col min="5628" max="5628" width="1.44140625" style="127" customWidth="1"/>
    <col min="5629" max="5629" width="39.109375" style="127" customWidth="1"/>
    <col min="5630" max="5630" width="12" style="127" customWidth="1"/>
    <col min="5631" max="5631" width="14.44140625" style="127" customWidth="1"/>
    <col min="5632" max="5632" width="11.88671875" style="127" customWidth="1"/>
    <col min="5633" max="5633" width="14.109375" style="127" customWidth="1"/>
    <col min="5634" max="5634" width="13.88671875" style="127" customWidth="1"/>
    <col min="5635" max="5636" width="12.77734375" style="127" customWidth="1"/>
    <col min="5637" max="5637" width="13.5546875" style="127" customWidth="1"/>
    <col min="5638" max="5638" width="15.33203125" style="127" customWidth="1"/>
    <col min="5639" max="5639" width="12.77734375" style="127" customWidth="1"/>
    <col min="5640" max="5640" width="13.88671875" style="127" customWidth="1"/>
    <col min="5641" max="5641" width="1.88671875" style="127" customWidth="1"/>
    <col min="5642" max="5642" width="13" style="127" customWidth="1"/>
    <col min="5643" max="5882" width="8.77734375" style="127"/>
    <col min="5883" max="5883" width="6" style="127" customWidth="1"/>
    <col min="5884" max="5884" width="1.44140625" style="127" customWidth="1"/>
    <col min="5885" max="5885" width="39.109375" style="127" customWidth="1"/>
    <col min="5886" max="5886" width="12" style="127" customWidth="1"/>
    <col min="5887" max="5887" width="14.44140625" style="127" customWidth="1"/>
    <col min="5888" max="5888" width="11.88671875" style="127" customWidth="1"/>
    <col min="5889" max="5889" width="14.109375" style="127" customWidth="1"/>
    <col min="5890" max="5890" width="13.88671875" style="127" customWidth="1"/>
    <col min="5891" max="5892" width="12.77734375" style="127" customWidth="1"/>
    <col min="5893" max="5893" width="13.5546875" style="127" customWidth="1"/>
    <col min="5894" max="5894" width="15.33203125" style="127" customWidth="1"/>
    <col min="5895" max="5895" width="12.77734375" style="127" customWidth="1"/>
    <col min="5896" max="5896" width="13.88671875" style="127" customWidth="1"/>
    <col min="5897" max="5897" width="1.88671875" style="127" customWidth="1"/>
    <col min="5898" max="5898" width="13" style="127" customWidth="1"/>
    <col min="5899" max="6138" width="8.77734375" style="127"/>
    <col min="6139" max="6139" width="6" style="127" customWidth="1"/>
    <col min="6140" max="6140" width="1.44140625" style="127" customWidth="1"/>
    <col min="6141" max="6141" width="39.109375" style="127" customWidth="1"/>
    <col min="6142" max="6142" width="12" style="127" customWidth="1"/>
    <col min="6143" max="6143" width="14.44140625" style="127" customWidth="1"/>
    <col min="6144" max="6144" width="11.88671875" style="127" customWidth="1"/>
    <col min="6145" max="6145" width="14.109375" style="127" customWidth="1"/>
    <col min="6146" max="6146" width="13.88671875" style="127" customWidth="1"/>
    <col min="6147" max="6148" width="12.77734375" style="127" customWidth="1"/>
    <col min="6149" max="6149" width="13.5546875" style="127" customWidth="1"/>
    <col min="6150" max="6150" width="15.33203125" style="127" customWidth="1"/>
    <col min="6151" max="6151" width="12.77734375" style="127" customWidth="1"/>
    <col min="6152" max="6152" width="13.88671875" style="127" customWidth="1"/>
    <col min="6153" max="6153" width="1.88671875" style="127" customWidth="1"/>
    <col min="6154" max="6154" width="13" style="127" customWidth="1"/>
    <col min="6155" max="6394" width="8.77734375" style="127"/>
    <col min="6395" max="6395" width="6" style="127" customWidth="1"/>
    <col min="6396" max="6396" width="1.44140625" style="127" customWidth="1"/>
    <col min="6397" max="6397" width="39.109375" style="127" customWidth="1"/>
    <col min="6398" max="6398" width="12" style="127" customWidth="1"/>
    <col min="6399" max="6399" width="14.44140625" style="127" customWidth="1"/>
    <col min="6400" max="6400" width="11.88671875" style="127" customWidth="1"/>
    <col min="6401" max="6401" width="14.109375" style="127" customWidth="1"/>
    <col min="6402" max="6402" width="13.88671875" style="127" customWidth="1"/>
    <col min="6403" max="6404" width="12.77734375" style="127" customWidth="1"/>
    <col min="6405" max="6405" width="13.5546875" style="127" customWidth="1"/>
    <col min="6406" max="6406" width="15.33203125" style="127" customWidth="1"/>
    <col min="6407" max="6407" width="12.77734375" style="127" customWidth="1"/>
    <col min="6408" max="6408" width="13.88671875" style="127" customWidth="1"/>
    <col min="6409" max="6409" width="1.88671875" style="127" customWidth="1"/>
    <col min="6410" max="6410" width="13" style="127" customWidth="1"/>
    <col min="6411" max="6650" width="8.77734375" style="127"/>
    <col min="6651" max="6651" width="6" style="127" customWidth="1"/>
    <col min="6652" max="6652" width="1.44140625" style="127" customWidth="1"/>
    <col min="6653" max="6653" width="39.109375" style="127" customWidth="1"/>
    <col min="6654" max="6654" width="12" style="127" customWidth="1"/>
    <col min="6655" max="6655" width="14.44140625" style="127" customWidth="1"/>
    <col min="6656" max="6656" width="11.88671875" style="127" customWidth="1"/>
    <col min="6657" max="6657" width="14.109375" style="127" customWidth="1"/>
    <col min="6658" max="6658" width="13.88671875" style="127" customWidth="1"/>
    <col min="6659" max="6660" width="12.77734375" style="127" customWidth="1"/>
    <col min="6661" max="6661" width="13.5546875" style="127" customWidth="1"/>
    <col min="6662" max="6662" width="15.33203125" style="127" customWidth="1"/>
    <col min="6663" max="6663" width="12.77734375" style="127" customWidth="1"/>
    <col min="6664" max="6664" width="13.88671875" style="127" customWidth="1"/>
    <col min="6665" max="6665" width="1.88671875" style="127" customWidth="1"/>
    <col min="6666" max="6666" width="13" style="127" customWidth="1"/>
    <col min="6667" max="6906" width="8.77734375" style="127"/>
    <col min="6907" max="6907" width="6" style="127" customWidth="1"/>
    <col min="6908" max="6908" width="1.44140625" style="127" customWidth="1"/>
    <col min="6909" max="6909" width="39.109375" style="127" customWidth="1"/>
    <col min="6910" max="6910" width="12" style="127" customWidth="1"/>
    <col min="6911" max="6911" width="14.44140625" style="127" customWidth="1"/>
    <col min="6912" max="6912" width="11.88671875" style="127" customWidth="1"/>
    <col min="6913" max="6913" width="14.109375" style="127" customWidth="1"/>
    <col min="6914" max="6914" width="13.88671875" style="127" customWidth="1"/>
    <col min="6915" max="6916" width="12.77734375" style="127" customWidth="1"/>
    <col min="6917" max="6917" width="13.5546875" style="127" customWidth="1"/>
    <col min="6918" max="6918" width="15.33203125" style="127" customWidth="1"/>
    <col min="6919" max="6919" width="12.77734375" style="127" customWidth="1"/>
    <col min="6920" max="6920" width="13.88671875" style="127" customWidth="1"/>
    <col min="6921" max="6921" width="1.88671875" style="127" customWidth="1"/>
    <col min="6922" max="6922" width="13" style="127" customWidth="1"/>
    <col min="6923" max="7162" width="8.77734375" style="127"/>
    <col min="7163" max="7163" width="6" style="127" customWidth="1"/>
    <col min="7164" max="7164" width="1.44140625" style="127" customWidth="1"/>
    <col min="7165" max="7165" width="39.109375" style="127" customWidth="1"/>
    <col min="7166" max="7166" width="12" style="127" customWidth="1"/>
    <col min="7167" max="7167" width="14.44140625" style="127" customWidth="1"/>
    <col min="7168" max="7168" width="11.88671875" style="127" customWidth="1"/>
    <col min="7169" max="7169" width="14.109375" style="127" customWidth="1"/>
    <col min="7170" max="7170" width="13.88671875" style="127" customWidth="1"/>
    <col min="7171" max="7172" width="12.77734375" style="127" customWidth="1"/>
    <col min="7173" max="7173" width="13.5546875" style="127" customWidth="1"/>
    <col min="7174" max="7174" width="15.33203125" style="127" customWidth="1"/>
    <col min="7175" max="7175" width="12.77734375" style="127" customWidth="1"/>
    <col min="7176" max="7176" width="13.88671875" style="127" customWidth="1"/>
    <col min="7177" max="7177" width="1.88671875" style="127" customWidth="1"/>
    <col min="7178" max="7178" width="13" style="127" customWidth="1"/>
    <col min="7179" max="7418" width="8.77734375" style="127"/>
    <col min="7419" max="7419" width="6" style="127" customWidth="1"/>
    <col min="7420" max="7420" width="1.44140625" style="127" customWidth="1"/>
    <col min="7421" max="7421" width="39.109375" style="127" customWidth="1"/>
    <col min="7422" max="7422" width="12" style="127" customWidth="1"/>
    <col min="7423" max="7423" width="14.44140625" style="127" customWidth="1"/>
    <col min="7424" max="7424" width="11.88671875" style="127" customWidth="1"/>
    <col min="7425" max="7425" width="14.109375" style="127" customWidth="1"/>
    <col min="7426" max="7426" width="13.88671875" style="127" customWidth="1"/>
    <col min="7427" max="7428" width="12.77734375" style="127" customWidth="1"/>
    <col min="7429" max="7429" width="13.5546875" style="127" customWidth="1"/>
    <col min="7430" max="7430" width="15.33203125" style="127" customWidth="1"/>
    <col min="7431" max="7431" width="12.77734375" style="127" customWidth="1"/>
    <col min="7432" max="7432" width="13.88671875" style="127" customWidth="1"/>
    <col min="7433" max="7433" width="1.88671875" style="127" customWidth="1"/>
    <col min="7434" max="7434" width="13" style="127" customWidth="1"/>
    <col min="7435" max="7674" width="8.77734375" style="127"/>
    <col min="7675" max="7675" width="6" style="127" customWidth="1"/>
    <col min="7676" max="7676" width="1.44140625" style="127" customWidth="1"/>
    <col min="7677" max="7677" width="39.109375" style="127" customWidth="1"/>
    <col min="7678" max="7678" width="12" style="127" customWidth="1"/>
    <col min="7679" max="7679" width="14.44140625" style="127" customWidth="1"/>
    <col min="7680" max="7680" width="11.88671875" style="127" customWidth="1"/>
    <col min="7681" max="7681" width="14.109375" style="127" customWidth="1"/>
    <col min="7682" max="7682" width="13.88671875" style="127" customWidth="1"/>
    <col min="7683" max="7684" width="12.77734375" style="127" customWidth="1"/>
    <col min="7685" max="7685" width="13.5546875" style="127" customWidth="1"/>
    <col min="7686" max="7686" width="15.33203125" style="127" customWidth="1"/>
    <col min="7687" max="7687" width="12.77734375" style="127" customWidth="1"/>
    <col min="7688" max="7688" width="13.88671875" style="127" customWidth="1"/>
    <col min="7689" max="7689" width="1.88671875" style="127" customWidth="1"/>
    <col min="7690" max="7690" width="13" style="127" customWidth="1"/>
    <col min="7691" max="7930" width="8.77734375" style="127"/>
    <col min="7931" max="7931" width="6" style="127" customWidth="1"/>
    <col min="7932" max="7932" width="1.44140625" style="127" customWidth="1"/>
    <col min="7933" max="7933" width="39.109375" style="127" customWidth="1"/>
    <col min="7934" max="7934" width="12" style="127" customWidth="1"/>
    <col min="7935" max="7935" width="14.44140625" style="127" customWidth="1"/>
    <col min="7936" max="7936" width="11.88671875" style="127" customWidth="1"/>
    <col min="7937" max="7937" width="14.109375" style="127" customWidth="1"/>
    <col min="7938" max="7938" width="13.88671875" style="127" customWidth="1"/>
    <col min="7939" max="7940" width="12.77734375" style="127" customWidth="1"/>
    <col min="7941" max="7941" width="13.5546875" style="127" customWidth="1"/>
    <col min="7942" max="7942" width="15.33203125" style="127" customWidth="1"/>
    <col min="7943" max="7943" width="12.77734375" style="127" customWidth="1"/>
    <col min="7944" max="7944" width="13.88671875" style="127" customWidth="1"/>
    <col min="7945" max="7945" width="1.88671875" style="127" customWidth="1"/>
    <col min="7946" max="7946" width="13" style="127" customWidth="1"/>
    <col min="7947" max="8186" width="8.77734375" style="127"/>
    <col min="8187" max="8187" width="6" style="127" customWidth="1"/>
    <col min="8188" max="8188" width="1.44140625" style="127" customWidth="1"/>
    <col min="8189" max="8189" width="39.109375" style="127" customWidth="1"/>
    <col min="8190" max="8190" width="12" style="127" customWidth="1"/>
    <col min="8191" max="8191" width="14.44140625" style="127" customWidth="1"/>
    <col min="8192" max="8192" width="11.88671875" style="127" customWidth="1"/>
    <col min="8193" max="8193" width="14.109375" style="127" customWidth="1"/>
    <col min="8194" max="8194" width="13.88671875" style="127" customWidth="1"/>
    <col min="8195" max="8196" width="12.77734375" style="127" customWidth="1"/>
    <col min="8197" max="8197" width="13.5546875" style="127" customWidth="1"/>
    <col min="8198" max="8198" width="15.33203125" style="127" customWidth="1"/>
    <col min="8199" max="8199" width="12.77734375" style="127" customWidth="1"/>
    <col min="8200" max="8200" width="13.88671875" style="127" customWidth="1"/>
    <col min="8201" max="8201" width="1.88671875" style="127" customWidth="1"/>
    <col min="8202" max="8202" width="13" style="127" customWidth="1"/>
    <col min="8203" max="8442" width="8.77734375" style="127"/>
    <col min="8443" max="8443" width="6" style="127" customWidth="1"/>
    <col min="8444" max="8444" width="1.44140625" style="127" customWidth="1"/>
    <col min="8445" max="8445" width="39.109375" style="127" customWidth="1"/>
    <col min="8446" max="8446" width="12" style="127" customWidth="1"/>
    <col min="8447" max="8447" width="14.44140625" style="127" customWidth="1"/>
    <col min="8448" max="8448" width="11.88671875" style="127" customWidth="1"/>
    <col min="8449" max="8449" width="14.109375" style="127" customWidth="1"/>
    <col min="8450" max="8450" width="13.88671875" style="127" customWidth="1"/>
    <col min="8451" max="8452" width="12.77734375" style="127" customWidth="1"/>
    <col min="8453" max="8453" width="13.5546875" style="127" customWidth="1"/>
    <col min="8454" max="8454" width="15.33203125" style="127" customWidth="1"/>
    <col min="8455" max="8455" width="12.77734375" style="127" customWidth="1"/>
    <col min="8456" max="8456" width="13.88671875" style="127" customWidth="1"/>
    <col min="8457" max="8457" width="1.88671875" style="127" customWidth="1"/>
    <col min="8458" max="8458" width="13" style="127" customWidth="1"/>
    <col min="8459" max="8698" width="8.77734375" style="127"/>
    <col min="8699" max="8699" width="6" style="127" customWidth="1"/>
    <col min="8700" max="8700" width="1.44140625" style="127" customWidth="1"/>
    <col min="8701" max="8701" width="39.109375" style="127" customWidth="1"/>
    <col min="8702" max="8702" width="12" style="127" customWidth="1"/>
    <col min="8703" max="8703" width="14.44140625" style="127" customWidth="1"/>
    <col min="8704" max="8704" width="11.88671875" style="127" customWidth="1"/>
    <col min="8705" max="8705" width="14.109375" style="127" customWidth="1"/>
    <col min="8706" max="8706" width="13.88671875" style="127" customWidth="1"/>
    <col min="8707" max="8708" width="12.77734375" style="127" customWidth="1"/>
    <col min="8709" max="8709" width="13.5546875" style="127" customWidth="1"/>
    <col min="8710" max="8710" width="15.33203125" style="127" customWidth="1"/>
    <col min="8711" max="8711" width="12.77734375" style="127" customWidth="1"/>
    <col min="8712" max="8712" width="13.88671875" style="127" customWidth="1"/>
    <col min="8713" max="8713" width="1.88671875" style="127" customWidth="1"/>
    <col min="8714" max="8714" width="13" style="127" customWidth="1"/>
    <col min="8715" max="8954" width="8.77734375" style="127"/>
    <col min="8955" max="8955" width="6" style="127" customWidth="1"/>
    <col min="8956" max="8956" width="1.44140625" style="127" customWidth="1"/>
    <col min="8957" max="8957" width="39.109375" style="127" customWidth="1"/>
    <col min="8958" max="8958" width="12" style="127" customWidth="1"/>
    <col min="8959" max="8959" width="14.44140625" style="127" customWidth="1"/>
    <col min="8960" max="8960" width="11.88671875" style="127" customWidth="1"/>
    <col min="8961" max="8961" width="14.109375" style="127" customWidth="1"/>
    <col min="8962" max="8962" width="13.88671875" style="127" customWidth="1"/>
    <col min="8963" max="8964" width="12.77734375" style="127" customWidth="1"/>
    <col min="8965" max="8965" width="13.5546875" style="127" customWidth="1"/>
    <col min="8966" max="8966" width="15.33203125" style="127" customWidth="1"/>
    <col min="8967" max="8967" width="12.77734375" style="127" customWidth="1"/>
    <col min="8968" max="8968" width="13.88671875" style="127" customWidth="1"/>
    <col min="8969" max="8969" width="1.88671875" style="127" customWidth="1"/>
    <col min="8970" max="8970" width="13" style="127" customWidth="1"/>
    <col min="8971" max="9210" width="8.77734375" style="127"/>
    <col min="9211" max="9211" width="6" style="127" customWidth="1"/>
    <col min="9212" max="9212" width="1.44140625" style="127" customWidth="1"/>
    <col min="9213" max="9213" width="39.109375" style="127" customWidth="1"/>
    <col min="9214" max="9214" width="12" style="127" customWidth="1"/>
    <col min="9215" max="9215" width="14.44140625" style="127" customWidth="1"/>
    <col min="9216" max="9216" width="11.88671875" style="127" customWidth="1"/>
    <col min="9217" max="9217" width="14.109375" style="127" customWidth="1"/>
    <col min="9218" max="9218" width="13.88671875" style="127" customWidth="1"/>
    <col min="9219" max="9220" width="12.77734375" style="127" customWidth="1"/>
    <col min="9221" max="9221" width="13.5546875" style="127" customWidth="1"/>
    <col min="9222" max="9222" width="15.33203125" style="127" customWidth="1"/>
    <col min="9223" max="9223" width="12.77734375" style="127" customWidth="1"/>
    <col min="9224" max="9224" width="13.88671875" style="127" customWidth="1"/>
    <col min="9225" max="9225" width="1.88671875" style="127" customWidth="1"/>
    <col min="9226" max="9226" width="13" style="127" customWidth="1"/>
    <col min="9227" max="9466" width="8.77734375" style="127"/>
    <col min="9467" max="9467" width="6" style="127" customWidth="1"/>
    <col min="9468" max="9468" width="1.44140625" style="127" customWidth="1"/>
    <col min="9469" max="9469" width="39.109375" style="127" customWidth="1"/>
    <col min="9470" max="9470" width="12" style="127" customWidth="1"/>
    <col min="9471" max="9471" width="14.44140625" style="127" customWidth="1"/>
    <col min="9472" max="9472" width="11.88671875" style="127" customWidth="1"/>
    <col min="9473" max="9473" width="14.109375" style="127" customWidth="1"/>
    <col min="9474" max="9474" width="13.88671875" style="127" customWidth="1"/>
    <col min="9475" max="9476" width="12.77734375" style="127" customWidth="1"/>
    <col min="9477" max="9477" width="13.5546875" style="127" customWidth="1"/>
    <col min="9478" max="9478" width="15.33203125" style="127" customWidth="1"/>
    <col min="9479" max="9479" width="12.77734375" style="127" customWidth="1"/>
    <col min="9480" max="9480" width="13.88671875" style="127" customWidth="1"/>
    <col min="9481" max="9481" width="1.88671875" style="127" customWidth="1"/>
    <col min="9482" max="9482" width="13" style="127" customWidth="1"/>
    <col min="9483" max="9722" width="8.77734375" style="127"/>
    <col min="9723" max="9723" width="6" style="127" customWidth="1"/>
    <col min="9724" max="9724" width="1.44140625" style="127" customWidth="1"/>
    <col min="9725" max="9725" width="39.109375" style="127" customWidth="1"/>
    <col min="9726" max="9726" width="12" style="127" customWidth="1"/>
    <col min="9727" max="9727" width="14.44140625" style="127" customWidth="1"/>
    <col min="9728" max="9728" width="11.88671875" style="127" customWidth="1"/>
    <col min="9729" max="9729" width="14.109375" style="127" customWidth="1"/>
    <col min="9730" max="9730" width="13.88671875" style="127" customWidth="1"/>
    <col min="9731" max="9732" width="12.77734375" style="127" customWidth="1"/>
    <col min="9733" max="9733" width="13.5546875" style="127" customWidth="1"/>
    <col min="9734" max="9734" width="15.33203125" style="127" customWidth="1"/>
    <col min="9735" max="9735" width="12.77734375" style="127" customWidth="1"/>
    <col min="9736" max="9736" width="13.88671875" style="127" customWidth="1"/>
    <col min="9737" max="9737" width="1.88671875" style="127" customWidth="1"/>
    <col min="9738" max="9738" width="13" style="127" customWidth="1"/>
    <col min="9739" max="9978" width="8.77734375" style="127"/>
    <col min="9979" max="9979" width="6" style="127" customWidth="1"/>
    <col min="9980" max="9980" width="1.44140625" style="127" customWidth="1"/>
    <col min="9981" max="9981" width="39.109375" style="127" customWidth="1"/>
    <col min="9982" max="9982" width="12" style="127" customWidth="1"/>
    <col min="9983" max="9983" width="14.44140625" style="127" customWidth="1"/>
    <col min="9984" max="9984" width="11.88671875" style="127" customWidth="1"/>
    <col min="9985" max="9985" width="14.109375" style="127" customWidth="1"/>
    <col min="9986" max="9986" width="13.88671875" style="127" customWidth="1"/>
    <col min="9987" max="9988" width="12.77734375" style="127" customWidth="1"/>
    <col min="9989" max="9989" width="13.5546875" style="127" customWidth="1"/>
    <col min="9990" max="9990" width="15.33203125" style="127" customWidth="1"/>
    <col min="9991" max="9991" width="12.77734375" style="127" customWidth="1"/>
    <col min="9992" max="9992" width="13.88671875" style="127" customWidth="1"/>
    <col min="9993" max="9993" width="1.88671875" style="127" customWidth="1"/>
    <col min="9994" max="9994" width="13" style="127" customWidth="1"/>
    <col min="9995" max="10234" width="8.77734375" style="127"/>
    <col min="10235" max="10235" width="6" style="127" customWidth="1"/>
    <col min="10236" max="10236" width="1.44140625" style="127" customWidth="1"/>
    <col min="10237" max="10237" width="39.109375" style="127" customWidth="1"/>
    <col min="10238" max="10238" width="12" style="127" customWidth="1"/>
    <col min="10239" max="10239" width="14.44140625" style="127" customWidth="1"/>
    <col min="10240" max="10240" width="11.88671875" style="127" customWidth="1"/>
    <col min="10241" max="10241" width="14.109375" style="127" customWidth="1"/>
    <col min="10242" max="10242" width="13.88671875" style="127" customWidth="1"/>
    <col min="10243" max="10244" width="12.77734375" style="127" customWidth="1"/>
    <col min="10245" max="10245" width="13.5546875" style="127" customWidth="1"/>
    <col min="10246" max="10246" width="15.33203125" style="127" customWidth="1"/>
    <col min="10247" max="10247" width="12.77734375" style="127" customWidth="1"/>
    <col min="10248" max="10248" width="13.88671875" style="127" customWidth="1"/>
    <col min="10249" max="10249" width="1.88671875" style="127" customWidth="1"/>
    <col min="10250" max="10250" width="13" style="127" customWidth="1"/>
    <col min="10251" max="10490" width="8.77734375" style="127"/>
    <col min="10491" max="10491" width="6" style="127" customWidth="1"/>
    <col min="10492" max="10492" width="1.44140625" style="127" customWidth="1"/>
    <col min="10493" max="10493" width="39.109375" style="127" customWidth="1"/>
    <col min="10494" max="10494" width="12" style="127" customWidth="1"/>
    <col min="10495" max="10495" width="14.44140625" style="127" customWidth="1"/>
    <col min="10496" max="10496" width="11.88671875" style="127" customWidth="1"/>
    <col min="10497" max="10497" width="14.109375" style="127" customWidth="1"/>
    <col min="10498" max="10498" width="13.88671875" style="127" customWidth="1"/>
    <col min="10499" max="10500" width="12.77734375" style="127" customWidth="1"/>
    <col min="10501" max="10501" width="13.5546875" style="127" customWidth="1"/>
    <col min="10502" max="10502" width="15.33203125" style="127" customWidth="1"/>
    <col min="10503" max="10503" width="12.77734375" style="127" customWidth="1"/>
    <col min="10504" max="10504" width="13.88671875" style="127" customWidth="1"/>
    <col min="10505" max="10505" width="1.88671875" style="127" customWidth="1"/>
    <col min="10506" max="10506" width="13" style="127" customWidth="1"/>
    <col min="10507" max="10746" width="8.77734375" style="127"/>
    <col min="10747" max="10747" width="6" style="127" customWidth="1"/>
    <col min="10748" max="10748" width="1.44140625" style="127" customWidth="1"/>
    <col min="10749" max="10749" width="39.109375" style="127" customWidth="1"/>
    <col min="10750" max="10750" width="12" style="127" customWidth="1"/>
    <col min="10751" max="10751" width="14.44140625" style="127" customWidth="1"/>
    <col min="10752" max="10752" width="11.88671875" style="127" customWidth="1"/>
    <col min="10753" max="10753" width="14.109375" style="127" customWidth="1"/>
    <col min="10754" max="10754" width="13.88671875" style="127" customWidth="1"/>
    <col min="10755" max="10756" width="12.77734375" style="127" customWidth="1"/>
    <col min="10757" max="10757" width="13.5546875" style="127" customWidth="1"/>
    <col min="10758" max="10758" width="15.33203125" style="127" customWidth="1"/>
    <col min="10759" max="10759" width="12.77734375" style="127" customWidth="1"/>
    <col min="10760" max="10760" width="13.88671875" style="127" customWidth="1"/>
    <col min="10761" max="10761" width="1.88671875" style="127" customWidth="1"/>
    <col min="10762" max="10762" width="13" style="127" customWidth="1"/>
    <col min="10763" max="11002" width="8.77734375" style="127"/>
    <col min="11003" max="11003" width="6" style="127" customWidth="1"/>
    <col min="11004" max="11004" width="1.44140625" style="127" customWidth="1"/>
    <col min="11005" max="11005" width="39.109375" style="127" customWidth="1"/>
    <col min="11006" max="11006" width="12" style="127" customWidth="1"/>
    <col min="11007" max="11007" width="14.44140625" style="127" customWidth="1"/>
    <col min="11008" max="11008" width="11.88671875" style="127" customWidth="1"/>
    <col min="11009" max="11009" width="14.109375" style="127" customWidth="1"/>
    <col min="11010" max="11010" width="13.88671875" style="127" customWidth="1"/>
    <col min="11011" max="11012" width="12.77734375" style="127" customWidth="1"/>
    <col min="11013" max="11013" width="13.5546875" style="127" customWidth="1"/>
    <col min="11014" max="11014" width="15.33203125" style="127" customWidth="1"/>
    <col min="11015" max="11015" width="12.77734375" style="127" customWidth="1"/>
    <col min="11016" max="11016" width="13.88671875" style="127" customWidth="1"/>
    <col min="11017" max="11017" width="1.88671875" style="127" customWidth="1"/>
    <col min="11018" max="11018" width="13" style="127" customWidth="1"/>
    <col min="11019" max="11258" width="8.77734375" style="127"/>
    <col min="11259" max="11259" width="6" style="127" customWidth="1"/>
    <col min="11260" max="11260" width="1.44140625" style="127" customWidth="1"/>
    <col min="11261" max="11261" width="39.109375" style="127" customWidth="1"/>
    <col min="11262" max="11262" width="12" style="127" customWidth="1"/>
    <col min="11263" max="11263" width="14.44140625" style="127" customWidth="1"/>
    <col min="11264" max="11264" width="11.88671875" style="127" customWidth="1"/>
    <col min="11265" max="11265" width="14.109375" style="127" customWidth="1"/>
    <col min="11266" max="11266" width="13.88671875" style="127" customWidth="1"/>
    <col min="11267" max="11268" width="12.77734375" style="127" customWidth="1"/>
    <col min="11269" max="11269" width="13.5546875" style="127" customWidth="1"/>
    <col min="11270" max="11270" width="15.33203125" style="127" customWidth="1"/>
    <col min="11271" max="11271" width="12.77734375" style="127" customWidth="1"/>
    <col min="11272" max="11272" width="13.88671875" style="127" customWidth="1"/>
    <col min="11273" max="11273" width="1.88671875" style="127" customWidth="1"/>
    <col min="11274" max="11274" width="13" style="127" customWidth="1"/>
    <col min="11275" max="11514" width="8.77734375" style="127"/>
    <col min="11515" max="11515" width="6" style="127" customWidth="1"/>
    <col min="11516" max="11516" width="1.44140625" style="127" customWidth="1"/>
    <col min="11517" max="11517" width="39.109375" style="127" customWidth="1"/>
    <col min="11518" max="11518" width="12" style="127" customWidth="1"/>
    <col min="11519" max="11519" width="14.44140625" style="127" customWidth="1"/>
    <col min="11520" max="11520" width="11.88671875" style="127" customWidth="1"/>
    <col min="11521" max="11521" width="14.109375" style="127" customWidth="1"/>
    <col min="11522" max="11522" width="13.88671875" style="127" customWidth="1"/>
    <col min="11523" max="11524" width="12.77734375" style="127" customWidth="1"/>
    <col min="11525" max="11525" width="13.5546875" style="127" customWidth="1"/>
    <col min="11526" max="11526" width="15.33203125" style="127" customWidth="1"/>
    <col min="11527" max="11527" width="12.77734375" style="127" customWidth="1"/>
    <col min="11528" max="11528" width="13.88671875" style="127" customWidth="1"/>
    <col min="11529" max="11529" width="1.88671875" style="127" customWidth="1"/>
    <col min="11530" max="11530" width="13" style="127" customWidth="1"/>
    <col min="11531" max="11770" width="8.77734375" style="127"/>
    <col min="11771" max="11771" width="6" style="127" customWidth="1"/>
    <col min="11772" max="11772" width="1.44140625" style="127" customWidth="1"/>
    <col min="11773" max="11773" width="39.109375" style="127" customWidth="1"/>
    <col min="11774" max="11774" width="12" style="127" customWidth="1"/>
    <col min="11775" max="11775" width="14.44140625" style="127" customWidth="1"/>
    <col min="11776" max="11776" width="11.88671875" style="127" customWidth="1"/>
    <col min="11777" max="11777" width="14.109375" style="127" customWidth="1"/>
    <col min="11778" max="11778" width="13.88671875" style="127" customWidth="1"/>
    <col min="11779" max="11780" width="12.77734375" style="127" customWidth="1"/>
    <col min="11781" max="11781" width="13.5546875" style="127" customWidth="1"/>
    <col min="11782" max="11782" width="15.33203125" style="127" customWidth="1"/>
    <col min="11783" max="11783" width="12.77734375" style="127" customWidth="1"/>
    <col min="11784" max="11784" width="13.88671875" style="127" customWidth="1"/>
    <col min="11785" max="11785" width="1.88671875" style="127" customWidth="1"/>
    <col min="11786" max="11786" width="13" style="127" customWidth="1"/>
    <col min="11787" max="12026" width="8.77734375" style="127"/>
    <col min="12027" max="12027" width="6" style="127" customWidth="1"/>
    <col min="12028" max="12028" width="1.44140625" style="127" customWidth="1"/>
    <col min="12029" max="12029" width="39.109375" style="127" customWidth="1"/>
    <col min="12030" max="12030" width="12" style="127" customWidth="1"/>
    <col min="12031" max="12031" width="14.44140625" style="127" customWidth="1"/>
    <col min="12032" max="12032" width="11.88671875" style="127" customWidth="1"/>
    <col min="12033" max="12033" width="14.109375" style="127" customWidth="1"/>
    <col min="12034" max="12034" width="13.88671875" style="127" customWidth="1"/>
    <col min="12035" max="12036" width="12.77734375" style="127" customWidth="1"/>
    <col min="12037" max="12037" width="13.5546875" style="127" customWidth="1"/>
    <col min="12038" max="12038" width="15.33203125" style="127" customWidth="1"/>
    <col min="12039" max="12039" width="12.77734375" style="127" customWidth="1"/>
    <col min="12040" max="12040" width="13.88671875" style="127" customWidth="1"/>
    <col min="12041" max="12041" width="1.88671875" style="127" customWidth="1"/>
    <col min="12042" max="12042" width="13" style="127" customWidth="1"/>
    <col min="12043" max="12282" width="8.77734375" style="127"/>
    <col min="12283" max="12283" width="6" style="127" customWidth="1"/>
    <col min="12284" max="12284" width="1.44140625" style="127" customWidth="1"/>
    <col min="12285" max="12285" width="39.109375" style="127" customWidth="1"/>
    <col min="12286" max="12286" width="12" style="127" customWidth="1"/>
    <col min="12287" max="12287" width="14.44140625" style="127" customWidth="1"/>
    <col min="12288" max="12288" width="11.88671875" style="127" customWidth="1"/>
    <col min="12289" max="12289" width="14.109375" style="127" customWidth="1"/>
    <col min="12290" max="12290" width="13.88671875" style="127" customWidth="1"/>
    <col min="12291" max="12292" width="12.77734375" style="127" customWidth="1"/>
    <col min="12293" max="12293" width="13.5546875" style="127" customWidth="1"/>
    <col min="12294" max="12294" width="15.33203125" style="127" customWidth="1"/>
    <col min="12295" max="12295" width="12.77734375" style="127" customWidth="1"/>
    <col min="12296" max="12296" width="13.88671875" style="127" customWidth="1"/>
    <col min="12297" max="12297" width="1.88671875" style="127" customWidth="1"/>
    <col min="12298" max="12298" width="13" style="127" customWidth="1"/>
    <col min="12299" max="12538" width="8.77734375" style="127"/>
    <col min="12539" max="12539" width="6" style="127" customWidth="1"/>
    <col min="12540" max="12540" width="1.44140625" style="127" customWidth="1"/>
    <col min="12541" max="12541" width="39.109375" style="127" customWidth="1"/>
    <col min="12542" max="12542" width="12" style="127" customWidth="1"/>
    <col min="12543" max="12543" width="14.44140625" style="127" customWidth="1"/>
    <col min="12544" max="12544" width="11.88671875" style="127" customWidth="1"/>
    <col min="12545" max="12545" width="14.109375" style="127" customWidth="1"/>
    <col min="12546" max="12546" width="13.88671875" style="127" customWidth="1"/>
    <col min="12547" max="12548" width="12.77734375" style="127" customWidth="1"/>
    <col min="12549" max="12549" width="13.5546875" style="127" customWidth="1"/>
    <col min="12550" max="12550" width="15.33203125" style="127" customWidth="1"/>
    <col min="12551" max="12551" width="12.77734375" style="127" customWidth="1"/>
    <col min="12552" max="12552" width="13.88671875" style="127" customWidth="1"/>
    <col min="12553" max="12553" width="1.88671875" style="127" customWidth="1"/>
    <col min="12554" max="12554" width="13" style="127" customWidth="1"/>
    <col min="12555" max="12794" width="8.77734375" style="127"/>
    <col min="12795" max="12795" width="6" style="127" customWidth="1"/>
    <col min="12796" max="12796" width="1.44140625" style="127" customWidth="1"/>
    <col min="12797" max="12797" width="39.109375" style="127" customWidth="1"/>
    <col min="12798" max="12798" width="12" style="127" customWidth="1"/>
    <col min="12799" max="12799" width="14.44140625" style="127" customWidth="1"/>
    <col min="12800" max="12800" width="11.88671875" style="127" customWidth="1"/>
    <col min="12801" max="12801" width="14.109375" style="127" customWidth="1"/>
    <col min="12802" max="12802" width="13.88671875" style="127" customWidth="1"/>
    <col min="12803" max="12804" width="12.77734375" style="127" customWidth="1"/>
    <col min="12805" max="12805" width="13.5546875" style="127" customWidth="1"/>
    <col min="12806" max="12806" width="15.33203125" style="127" customWidth="1"/>
    <col min="12807" max="12807" width="12.77734375" style="127" customWidth="1"/>
    <col min="12808" max="12808" width="13.88671875" style="127" customWidth="1"/>
    <col min="12809" max="12809" width="1.88671875" style="127" customWidth="1"/>
    <col min="12810" max="12810" width="13" style="127" customWidth="1"/>
    <col min="12811" max="13050" width="8.77734375" style="127"/>
    <col min="13051" max="13051" width="6" style="127" customWidth="1"/>
    <col min="13052" max="13052" width="1.44140625" style="127" customWidth="1"/>
    <col min="13053" max="13053" width="39.109375" style="127" customWidth="1"/>
    <col min="13054" max="13054" width="12" style="127" customWidth="1"/>
    <col min="13055" max="13055" width="14.44140625" style="127" customWidth="1"/>
    <col min="13056" max="13056" width="11.88671875" style="127" customWidth="1"/>
    <col min="13057" max="13057" width="14.109375" style="127" customWidth="1"/>
    <col min="13058" max="13058" width="13.88671875" style="127" customWidth="1"/>
    <col min="13059" max="13060" width="12.77734375" style="127" customWidth="1"/>
    <col min="13061" max="13061" width="13.5546875" style="127" customWidth="1"/>
    <col min="13062" max="13062" width="15.33203125" style="127" customWidth="1"/>
    <col min="13063" max="13063" width="12.77734375" style="127" customWidth="1"/>
    <col min="13064" max="13064" width="13.88671875" style="127" customWidth="1"/>
    <col min="13065" max="13065" width="1.88671875" style="127" customWidth="1"/>
    <col min="13066" max="13066" width="13" style="127" customWidth="1"/>
    <col min="13067" max="13306" width="8.77734375" style="127"/>
    <col min="13307" max="13307" width="6" style="127" customWidth="1"/>
    <col min="13308" max="13308" width="1.44140625" style="127" customWidth="1"/>
    <col min="13309" max="13309" width="39.109375" style="127" customWidth="1"/>
    <col min="13310" max="13310" width="12" style="127" customWidth="1"/>
    <col min="13311" max="13311" width="14.44140625" style="127" customWidth="1"/>
    <col min="13312" max="13312" width="11.88671875" style="127" customWidth="1"/>
    <col min="13313" max="13313" width="14.109375" style="127" customWidth="1"/>
    <col min="13314" max="13314" width="13.88671875" style="127" customWidth="1"/>
    <col min="13315" max="13316" width="12.77734375" style="127" customWidth="1"/>
    <col min="13317" max="13317" width="13.5546875" style="127" customWidth="1"/>
    <col min="13318" max="13318" width="15.33203125" style="127" customWidth="1"/>
    <col min="13319" max="13319" width="12.77734375" style="127" customWidth="1"/>
    <col min="13320" max="13320" width="13.88671875" style="127" customWidth="1"/>
    <col min="13321" max="13321" width="1.88671875" style="127" customWidth="1"/>
    <col min="13322" max="13322" width="13" style="127" customWidth="1"/>
    <col min="13323" max="13562" width="8.77734375" style="127"/>
    <col min="13563" max="13563" width="6" style="127" customWidth="1"/>
    <col min="13564" max="13564" width="1.44140625" style="127" customWidth="1"/>
    <col min="13565" max="13565" width="39.109375" style="127" customWidth="1"/>
    <col min="13566" max="13566" width="12" style="127" customWidth="1"/>
    <col min="13567" max="13567" width="14.44140625" style="127" customWidth="1"/>
    <col min="13568" max="13568" width="11.88671875" style="127" customWidth="1"/>
    <col min="13569" max="13569" width="14.109375" style="127" customWidth="1"/>
    <col min="13570" max="13570" width="13.88671875" style="127" customWidth="1"/>
    <col min="13571" max="13572" width="12.77734375" style="127" customWidth="1"/>
    <col min="13573" max="13573" width="13.5546875" style="127" customWidth="1"/>
    <col min="13574" max="13574" width="15.33203125" style="127" customWidth="1"/>
    <col min="13575" max="13575" width="12.77734375" style="127" customWidth="1"/>
    <col min="13576" max="13576" width="13.88671875" style="127" customWidth="1"/>
    <col min="13577" max="13577" width="1.88671875" style="127" customWidth="1"/>
    <col min="13578" max="13578" width="13" style="127" customWidth="1"/>
    <col min="13579" max="13818" width="8.77734375" style="127"/>
    <col min="13819" max="13819" width="6" style="127" customWidth="1"/>
    <col min="13820" max="13820" width="1.44140625" style="127" customWidth="1"/>
    <col min="13821" max="13821" width="39.109375" style="127" customWidth="1"/>
    <col min="13822" max="13822" width="12" style="127" customWidth="1"/>
    <col min="13823" max="13823" width="14.44140625" style="127" customWidth="1"/>
    <col min="13824" max="13824" width="11.88671875" style="127" customWidth="1"/>
    <col min="13825" max="13825" width="14.109375" style="127" customWidth="1"/>
    <col min="13826" max="13826" width="13.88671875" style="127" customWidth="1"/>
    <col min="13827" max="13828" width="12.77734375" style="127" customWidth="1"/>
    <col min="13829" max="13829" width="13.5546875" style="127" customWidth="1"/>
    <col min="13830" max="13830" width="15.33203125" style="127" customWidth="1"/>
    <col min="13831" max="13831" width="12.77734375" style="127" customWidth="1"/>
    <col min="13832" max="13832" width="13.88671875" style="127" customWidth="1"/>
    <col min="13833" max="13833" width="1.88671875" style="127" customWidth="1"/>
    <col min="13834" max="13834" width="13" style="127" customWidth="1"/>
    <col min="13835" max="14074" width="8.77734375" style="127"/>
    <col min="14075" max="14075" width="6" style="127" customWidth="1"/>
    <col min="14076" max="14076" width="1.44140625" style="127" customWidth="1"/>
    <col min="14077" max="14077" width="39.109375" style="127" customWidth="1"/>
    <col min="14078" max="14078" width="12" style="127" customWidth="1"/>
    <col min="14079" max="14079" width="14.44140625" style="127" customWidth="1"/>
    <col min="14080" max="14080" width="11.88671875" style="127" customWidth="1"/>
    <col min="14081" max="14081" width="14.109375" style="127" customWidth="1"/>
    <col min="14082" max="14082" width="13.88671875" style="127" customWidth="1"/>
    <col min="14083" max="14084" width="12.77734375" style="127" customWidth="1"/>
    <col min="14085" max="14085" width="13.5546875" style="127" customWidth="1"/>
    <col min="14086" max="14086" width="15.33203125" style="127" customWidth="1"/>
    <col min="14087" max="14087" width="12.77734375" style="127" customWidth="1"/>
    <col min="14088" max="14088" width="13.88671875" style="127" customWidth="1"/>
    <col min="14089" max="14089" width="1.88671875" style="127" customWidth="1"/>
    <col min="14090" max="14090" width="13" style="127" customWidth="1"/>
    <col min="14091" max="14330" width="8.77734375" style="127"/>
    <col min="14331" max="14331" width="6" style="127" customWidth="1"/>
    <col min="14332" max="14332" width="1.44140625" style="127" customWidth="1"/>
    <col min="14333" max="14333" width="39.109375" style="127" customWidth="1"/>
    <col min="14334" max="14334" width="12" style="127" customWidth="1"/>
    <col min="14335" max="14335" width="14.44140625" style="127" customWidth="1"/>
    <col min="14336" max="14336" width="11.88671875" style="127" customWidth="1"/>
    <col min="14337" max="14337" width="14.109375" style="127" customWidth="1"/>
    <col min="14338" max="14338" width="13.88671875" style="127" customWidth="1"/>
    <col min="14339" max="14340" width="12.77734375" style="127" customWidth="1"/>
    <col min="14341" max="14341" width="13.5546875" style="127" customWidth="1"/>
    <col min="14342" max="14342" width="15.33203125" style="127" customWidth="1"/>
    <col min="14343" max="14343" width="12.77734375" style="127" customWidth="1"/>
    <col min="14344" max="14344" width="13.88671875" style="127" customWidth="1"/>
    <col min="14345" max="14345" width="1.88671875" style="127" customWidth="1"/>
    <col min="14346" max="14346" width="13" style="127" customWidth="1"/>
    <col min="14347" max="14586" width="8.77734375" style="127"/>
    <col min="14587" max="14587" width="6" style="127" customWidth="1"/>
    <col min="14588" max="14588" width="1.44140625" style="127" customWidth="1"/>
    <col min="14589" max="14589" width="39.109375" style="127" customWidth="1"/>
    <col min="14590" max="14590" width="12" style="127" customWidth="1"/>
    <col min="14591" max="14591" width="14.44140625" style="127" customWidth="1"/>
    <col min="14592" max="14592" width="11.88671875" style="127" customWidth="1"/>
    <col min="14593" max="14593" width="14.109375" style="127" customWidth="1"/>
    <col min="14594" max="14594" width="13.88671875" style="127" customWidth="1"/>
    <col min="14595" max="14596" width="12.77734375" style="127" customWidth="1"/>
    <col min="14597" max="14597" width="13.5546875" style="127" customWidth="1"/>
    <col min="14598" max="14598" width="15.33203125" style="127" customWidth="1"/>
    <col min="14599" max="14599" width="12.77734375" style="127" customWidth="1"/>
    <col min="14600" max="14600" width="13.88671875" style="127" customWidth="1"/>
    <col min="14601" max="14601" width="1.88671875" style="127" customWidth="1"/>
    <col min="14602" max="14602" width="13" style="127" customWidth="1"/>
    <col min="14603" max="14842" width="8.77734375" style="127"/>
    <col min="14843" max="14843" width="6" style="127" customWidth="1"/>
    <col min="14844" max="14844" width="1.44140625" style="127" customWidth="1"/>
    <col min="14845" max="14845" width="39.109375" style="127" customWidth="1"/>
    <col min="14846" max="14846" width="12" style="127" customWidth="1"/>
    <col min="14847" max="14847" width="14.44140625" style="127" customWidth="1"/>
    <col min="14848" max="14848" width="11.88671875" style="127" customWidth="1"/>
    <col min="14849" max="14849" width="14.109375" style="127" customWidth="1"/>
    <col min="14850" max="14850" width="13.88671875" style="127" customWidth="1"/>
    <col min="14851" max="14852" width="12.77734375" style="127" customWidth="1"/>
    <col min="14853" max="14853" width="13.5546875" style="127" customWidth="1"/>
    <col min="14854" max="14854" width="15.33203125" style="127" customWidth="1"/>
    <col min="14855" max="14855" width="12.77734375" style="127" customWidth="1"/>
    <col min="14856" max="14856" width="13.88671875" style="127" customWidth="1"/>
    <col min="14857" max="14857" width="1.88671875" style="127" customWidth="1"/>
    <col min="14858" max="14858" width="13" style="127" customWidth="1"/>
    <col min="14859" max="15098" width="8.77734375" style="127"/>
    <col min="15099" max="15099" width="6" style="127" customWidth="1"/>
    <col min="15100" max="15100" width="1.44140625" style="127" customWidth="1"/>
    <col min="15101" max="15101" width="39.109375" style="127" customWidth="1"/>
    <col min="15102" max="15102" width="12" style="127" customWidth="1"/>
    <col min="15103" max="15103" width="14.44140625" style="127" customWidth="1"/>
    <col min="15104" max="15104" width="11.88671875" style="127" customWidth="1"/>
    <col min="15105" max="15105" width="14.109375" style="127" customWidth="1"/>
    <col min="15106" max="15106" width="13.88671875" style="127" customWidth="1"/>
    <col min="15107" max="15108" width="12.77734375" style="127" customWidth="1"/>
    <col min="15109" max="15109" width="13.5546875" style="127" customWidth="1"/>
    <col min="15110" max="15110" width="15.33203125" style="127" customWidth="1"/>
    <col min="15111" max="15111" width="12.77734375" style="127" customWidth="1"/>
    <col min="15112" max="15112" width="13.88671875" style="127" customWidth="1"/>
    <col min="15113" max="15113" width="1.88671875" style="127" customWidth="1"/>
    <col min="15114" max="15114" width="13" style="127" customWidth="1"/>
    <col min="15115" max="15354" width="8.77734375" style="127"/>
    <col min="15355" max="15355" width="6" style="127" customWidth="1"/>
    <col min="15356" max="15356" width="1.44140625" style="127" customWidth="1"/>
    <col min="15357" max="15357" width="39.109375" style="127" customWidth="1"/>
    <col min="15358" max="15358" width="12" style="127" customWidth="1"/>
    <col min="15359" max="15359" width="14.44140625" style="127" customWidth="1"/>
    <col min="15360" max="15360" width="11.88671875" style="127" customWidth="1"/>
    <col min="15361" max="15361" width="14.109375" style="127" customWidth="1"/>
    <col min="15362" max="15362" width="13.88671875" style="127" customWidth="1"/>
    <col min="15363" max="15364" width="12.77734375" style="127" customWidth="1"/>
    <col min="15365" max="15365" width="13.5546875" style="127" customWidth="1"/>
    <col min="15366" max="15366" width="15.33203125" style="127" customWidth="1"/>
    <col min="15367" max="15367" width="12.77734375" style="127" customWidth="1"/>
    <col min="15368" max="15368" width="13.88671875" style="127" customWidth="1"/>
    <col min="15369" max="15369" width="1.88671875" style="127" customWidth="1"/>
    <col min="15370" max="15370" width="13" style="127" customWidth="1"/>
    <col min="15371" max="15610" width="8.77734375" style="127"/>
    <col min="15611" max="15611" width="6" style="127" customWidth="1"/>
    <col min="15612" max="15612" width="1.44140625" style="127" customWidth="1"/>
    <col min="15613" max="15613" width="39.109375" style="127" customWidth="1"/>
    <col min="15614" max="15614" width="12" style="127" customWidth="1"/>
    <col min="15615" max="15615" width="14.44140625" style="127" customWidth="1"/>
    <col min="15616" max="15616" width="11.88671875" style="127" customWidth="1"/>
    <col min="15617" max="15617" width="14.109375" style="127" customWidth="1"/>
    <col min="15618" max="15618" width="13.88671875" style="127" customWidth="1"/>
    <col min="15619" max="15620" width="12.77734375" style="127" customWidth="1"/>
    <col min="15621" max="15621" width="13.5546875" style="127" customWidth="1"/>
    <col min="15622" max="15622" width="15.33203125" style="127" customWidth="1"/>
    <col min="15623" max="15623" width="12.77734375" style="127" customWidth="1"/>
    <col min="15624" max="15624" width="13.88671875" style="127" customWidth="1"/>
    <col min="15625" max="15625" width="1.88671875" style="127" customWidth="1"/>
    <col min="15626" max="15626" width="13" style="127" customWidth="1"/>
    <col min="15627" max="15866" width="8.77734375" style="127"/>
    <col min="15867" max="15867" width="6" style="127" customWidth="1"/>
    <col min="15868" max="15868" width="1.44140625" style="127" customWidth="1"/>
    <col min="15869" max="15869" width="39.109375" style="127" customWidth="1"/>
    <col min="15870" max="15870" width="12" style="127" customWidth="1"/>
    <col min="15871" max="15871" width="14.44140625" style="127" customWidth="1"/>
    <col min="15872" max="15872" width="11.88671875" style="127" customWidth="1"/>
    <col min="15873" max="15873" width="14.109375" style="127" customWidth="1"/>
    <col min="15874" max="15874" width="13.88671875" style="127" customWidth="1"/>
    <col min="15875" max="15876" width="12.77734375" style="127" customWidth="1"/>
    <col min="15877" max="15877" width="13.5546875" style="127" customWidth="1"/>
    <col min="15878" max="15878" width="15.33203125" style="127" customWidth="1"/>
    <col min="15879" max="15879" width="12.77734375" style="127" customWidth="1"/>
    <col min="15880" max="15880" width="13.88671875" style="127" customWidth="1"/>
    <col min="15881" max="15881" width="1.88671875" style="127" customWidth="1"/>
    <col min="15882" max="15882" width="13" style="127" customWidth="1"/>
    <col min="15883" max="16122" width="8.77734375" style="127"/>
    <col min="16123" max="16123" width="6" style="127" customWidth="1"/>
    <col min="16124" max="16124" width="1.44140625" style="127" customWidth="1"/>
    <col min="16125" max="16125" width="39.109375" style="127" customWidth="1"/>
    <col min="16126" max="16126" width="12" style="127" customWidth="1"/>
    <col min="16127" max="16127" width="14.44140625" style="127" customWidth="1"/>
    <col min="16128" max="16128" width="11.88671875" style="127" customWidth="1"/>
    <col min="16129" max="16129" width="14.109375" style="127" customWidth="1"/>
    <col min="16130" max="16130" width="13.88671875" style="127" customWidth="1"/>
    <col min="16131" max="16132" width="12.77734375" style="127" customWidth="1"/>
    <col min="16133" max="16133" width="13.5546875" style="127" customWidth="1"/>
    <col min="16134" max="16134" width="15.33203125" style="127" customWidth="1"/>
    <col min="16135" max="16135" width="12.77734375" style="127" customWidth="1"/>
    <col min="16136" max="16136" width="13.88671875" style="127" customWidth="1"/>
    <col min="16137" max="16137" width="1.88671875" style="127" customWidth="1"/>
    <col min="16138" max="16138" width="13" style="127" customWidth="1"/>
    <col min="16139" max="16378" width="8.77734375" style="127"/>
    <col min="16379" max="16384" width="8.77734375" style="127" customWidth="1"/>
  </cols>
  <sheetData>
    <row r="1" spans="1:59">
      <c r="I1" s="74" t="s">
        <v>318</v>
      </c>
    </row>
    <row r="2" spans="1:59">
      <c r="I2" s="74" t="s">
        <v>316</v>
      </c>
    </row>
    <row r="3" spans="1:59">
      <c r="I3" s="389" t="s">
        <v>204</v>
      </c>
    </row>
    <row r="4" spans="1:59">
      <c r="I4" s="275" t="str">
        <f>"For the 12 months ended: "&amp;TEXT(INPUT!B1,"mm/dd/yyyy")</f>
        <v>For the 12 months ended: 12/31/2017</v>
      </c>
    </row>
    <row r="5" spans="1:59">
      <c r="C5" s="104"/>
    </row>
    <row r="6" spans="1:59">
      <c r="A6" s="206" t="s">
        <v>275</v>
      </c>
      <c r="B6" s="263"/>
      <c r="C6" s="263"/>
      <c r="D6" s="206"/>
      <c r="E6" s="206"/>
      <c r="F6" s="206"/>
      <c r="G6" s="263"/>
      <c r="H6" s="206"/>
      <c r="I6" s="206"/>
      <c r="K6" s="129"/>
      <c r="L6" s="128"/>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row>
    <row r="7" spans="1:59">
      <c r="A7" s="207" t="s">
        <v>319</v>
      </c>
      <c r="B7" s="263"/>
      <c r="C7" s="263"/>
      <c r="D7" s="206"/>
      <c r="E7" s="206"/>
      <c r="F7" s="206"/>
      <c r="G7" s="263"/>
      <c r="H7" s="206"/>
      <c r="I7" s="206"/>
      <c r="K7" s="129"/>
      <c r="L7" s="128"/>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row>
    <row r="8" spans="1:59">
      <c r="A8" s="208"/>
      <c r="B8" s="263"/>
      <c r="C8" s="263"/>
      <c r="D8" s="208"/>
      <c r="E8" s="208"/>
      <c r="F8" s="208"/>
      <c r="G8" s="263"/>
      <c r="H8" s="208"/>
      <c r="I8" s="208"/>
      <c r="K8" s="129"/>
      <c r="L8" s="128"/>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row>
    <row r="9" spans="1:59">
      <c r="A9" s="399" t="str">
        <f>DEK!A11</f>
        <v>DUKE ENERGY KENTUCKY (DEK)</v>
      </c>
      <c r="B9" s="263"/>
      <c r="C9" s="263"/>
      <c r="D9" s="208"/>
      <c r="E9" s="208"/>
      <c r="F9" s="208"/>
      <c r="G9" s="263"/>
      <c r="H9" s="266"/>
      <c r="I9" s="208"/>
      <c r="K9" s="129"/>
      <c r="L9" s="128"/>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row>
    <row r="10" spans="1:59">
      <c r="A10" s="265" t="s">
        <v>698</v>
      </c>
      <c r="B10" s="263"/>
      <c r="C10" s="208"/>
      <c r="D10" s="208"/>
      <c r="E10" s="208"/>
      <c r="F10" s="208"/>
      <c r="G10" s="263"/>
      <c r="H10" s="266"/>
      <c r="I10" s="208"/>
      <c r="K10" s="129"/>
      <c r="L10" s="128"/>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row>
    <row r="11" spans="1:59">
      <c r="A11" s="388"/>
      <c r="B11" s="263"/>
      <c r="C11" s="208"/>
      <c r="D11" s="208"/>
      <c r="E11" s="208"/>
      <c r="F11" s="208"/>
      <c r="G11" s="266"/>
      <c r="H11" s="208"/>
      <c r="I11" s="208"/>
      <c r="K11" s="129"/>
      <c r="L11" s="128"/>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row>
    <row r="12" spans="1:59">
      <c r="A12" s="208" t="s">
        <v>543</v>
      </c>
      <c r="B12" s="263"/>
      <c r="C12" s="263"/>
      <c r="D12" s="208"/>
      <c r="E12" s="208"/>
      <c r="F12" s="208"/>
      <c r="G12" s="266"/>
      <c r="H12" s="208"/>
      <c r="I12" s="208"/>
      <c r="K12" s="129"/>
      <c r="L12" s="128"/>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row>
    <row r="13" spans="1:59">
      <c r="A13" s="131"/>
      <c r="C13" s="102"/>
      <c r="D13" s="102"/>
      <c r="E13" s="102"/>
      <c r="F13" s="102"/>
      <c r="G13" s="132"/>
      <c r="K13" s="128"/>
      <c r="L13" s="128"/>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row>
    <row r="14" spans="1:59">
      <c r="A14" s="131"/>
      <c r="C14" s="102"/>
      <c r="D14" s="102"/>
      <c r="E14" s="102"/>
      <c r="F14" s="102"/>
      <c r="G14" s="102"/>
      <c r="K14" s="128"/>
      <c r="L14" s="128"/>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row>
    <row r="15" spans="1:59">
      <c r="C15" s="100" t="s">
        <v>19</v>
      </c>
      <c r="D15" s="100"/>
      <c r="E15" s="100" t="s">
        <v>20</v>
      </c>
      <c r="F15" s="100"/>
      <c r="G15" s="100" t="s">
        <v>21</v>
      </c>
      <c r="I15" s="133" t="s">
        <v>22</v>
      </c>
      <c r="K15" s="134"/>
      <c r="L15" s="135"/>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row>
    <row r="16" spans="1:59">
      <c r="C16" s="99"/>
      <c r="D16" s="99"/>
      <c r="K16" s="137"/>
      <c r="L16" s="135"/>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row>
    <row r="17" spans="1:59">
      <c r="A17" s="347" t="s">
        <v>9</v>
      </c>
      <c r="B17" s="130"/>
      <c r="C17" s="99"/>
      <c r="D17" s="99"/>
      <c r="E17" s="142" t="s">
        <v>318</v>
      </c>
      <c r="F17" s="142"/>
      <c r="G17" s="103"/>
      <c r="H17" s="130"/>
      <c r="I17" s="130"/>
      <c r="K17" s="137"/>
      <c r="L17" s="135"/>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row>
    <row r="18" spans="1:59">
      <c r="A18" s="384" t="s">
        <v>11</v>
      </c>
      <c r="B18" s="385"/>
      <c r="C18" s="386"/>
      <c r="D18" s="386"/>
      <c r="E18" s="387" t="s">
        <v>26</v>
      </c>
      <c r="F18" s="387"/>
      <c r="G18" s="384" t="s">
        <v>25</v>
      </c>
      <c r="H18" s="385"/>
      <c r="I18" s="384" t="s">
        <v>14</v>
      </c>
      <c r="K18" s="134"/>
      <c r="L18" s="135"/>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row>
    <row r="19" spans="1:59" ht="15.75">
      <c r="A19" s="140"/>
      <c r="C19" s="99" t="s">
        <v>359</v>
      </c>
      <c r="D19" s="99"/>
      <c r="E19" s="103"/>
      <c r="F19" s="103"/>
      <c r="G19" s="103"/>
      <c r="I19" s="103"/>
      <c r="K19" s="134"/>
      <c r="L19" s="135"/>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row>
    <row r="20" spans="1:59">
      <c r="A20" s="141">
        <v>1</v>
      </c>
      <c r="C20" s="99" t="s">
        <v>232</v>
      </c>
      <c r="D20" s="99"/>
      <c r="E20" s="608" t="s">
        <v>797</v>
      </c>
      <c r="F20" s="142"/>
      <c r="G20" s="143">
        <f>DEK!J63</f>
        <v>41462660</v>
      </c>
      <c r="K20" s="134"/>
      <c r="L20" s="135"/>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row>
    <row r="21" spans="1:59">
      <c r="A21" s="141">
        <v>2</v>
      </c>
      <c r="C21" s="99" t="s">
        <v>233</v>
      </c>
      <c r="D21" s="99"/>
      <c r="E21" s="608" t="s">
        <v>798</v>
      </c>
      <c r="F21" s="142"/>
      <c r="G21" s="143">
        <f>DEK!J79</f>
        <v>27718301</v>
      </c>
      <c r="K21" s="134"/>
      <c r="L21" s="135"/>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row>
    <row r="22" spans="1:59">
      <c r="A22" s="141"/>
      <c r="E22" s="608"/>
      <c r="F22" s="142"/>
      <c r="K22" s="134"/>
      <c r="L22" s="135"/>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row>
    <row r="23" spans="1:59">
      <c r="A23" s="141"/>
      <c r="C23" s="99" t="s">
        <v>205</v>
      </c>
      <c r="D23" s="99"/>
      <c r="E23" s="608"/>
      <c r="F23" s="142"/>
      <c r="G23" s="103"/>
      <c r="I23" s="103"/>
      <c r="K23" s="134"/>
      <c r="L23" s="135"/>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row>
    <row r="24" spans="1:59">
      <c r="A24" s="141">
        <v>3</v>
      </c>
      <c r="C24" s="99" t="s">
        <v>234</v>
      </c>
      <c r="D24" s="99"/>
      <c r="E24" s="608" t="s">
        <v>796</v>
      </c>
      <c r="F24" s="142"/>
      <c r="G24" s="143">
        <f>DEK!J135</f>
        <v>1757453</v>
      </c>
      <c r="K24" s="134"/>
      <c r="L24" s="135"/>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row>
    <row r="25" spans="1:59">
      <c r="A25" s="141">
        <v>4</v>
      </c>
      <c r="C25" s="99" t="s">
        <v>235</v>
      </c>
      <c r="D25" s="99"/>
      <c r="E25" s="608" t="s">
        <v>803</v>
      </c>
      <c r="F25" s="142"/>
      <c r="G25" s="144">
        <f>IF(G24=0,0,G24/G20)</f>
        <v>4.2386402608998071E-2</v>
      </c>
      <c r="I25" s="145">
        <f>G25</f>
        <v>4.2386402608998071E-2</v>
      </c>
      <c r="K25" s="134"/>
      <c r="L25" s="135"/>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row>
    <row r="26" spans="1:59">
      <c r="A26" s="141"/>
      <c r="E26" s="608"/>
      <c r="F26" s="142"/>
      <c r="K26" s="134"/>
      <c r="L26" s="135"/>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row>
    <row r="27" spans="1:59" ht="30">
      <c r="A27" s="141"/>
      <c r="C27" s="721" t="s">
        <v>663</v>
      </c>
      <c r="D27" s="99"/>
      <c r="E27" s="606"/>
      <c r="F27" s="142"/>
      <c r="K27" s="134"/>
      <c r="L27" s="135"/>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row>
    <row r="28" spans="1:59">
      <c r="A28" s="154" t="s">
        <v>236</v>
      </c>
      <c r="C28" s="99" t="s">
        <v>664</v>
      </c>
      <c r="D28" s="99"/>
      <c r="E28" s="608" t="s">
        <v>607</v>
      </c>
      <c r="F28" s="142"/>
      <c r="G28" s="143">
        <f>DEK!J139+DEK!J140</f>
        <v>103946</v>
      </c>
      <c r="K28" s="134"/>
      <c r="L28" s="135"/>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row>
    <row r="29" spans="1:59" ht="30">
      <c r="A29" s="722" t="s">
        <v>237</v>
      </c>
      <c r="C29" s="721" t="s">
        <v>665</v>
      </c>
      <c r="D29" s="99"/>
      <c r="E29" s="723" t="s">
        <v>800</v>
      </c>
      <c r="F29" s="723"/>
      <c r="G29" s="724">
        <f>IF(G28=0,0,G28/G20)</f>
        <v>2.5069785681864115E-3</v>
      </c>
      <c r="H29" s="725"/>
      <c r="I29" s="726">
        <f>G29</f>
        <v>2.5069785681864115E-3</v>
      </c>
      <c r="K29" s="134"/>
      <c r="L29" s="135"/>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row>
    <row r="30" spans="1:59">
      <c r="A30" s="141"/>
      <c r="E30" s="608"/>
      <c r="F30" s="142"/>
      <c r="K30" s="134"/>
      <c r="L30" s="135"/>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row>
    <row r="31" spans="1:59">
      <c r="A31" s="148"/>
      <c r="C31" s="99" t="s">
        <v>208</v>
      </c>
      <c r="D31" s="99"/>
      <c r="E31" s="606"/>
      <c r="F31" s="105"/>
      <c r="G31" s="103"/>
      <c r="I31" s="103"/>
      <c r="K31" s="134"/>
      <c r="L31" s="135"/>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row>
    <row r="32" spans="1:59">
      <c r="A32" s="148" t="s">
        <v>239</v>
      </c>
      <c r="C32" s="99" t="s">
        <v>210</v>
      </c>
      <c r="D32" s="99"/>
      <c r="E32" s="608" t="s">
        <v>795</v>
      </c>
      <c r="F32" s="142"/>
      <c r="G32" s="143">
        <f>DEK!J152</f>
        <v>292661</v>
      </c>
      <c r="K32" s="137"/>
      <c r="L32" s="135"/>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row>
    <row r="33" spans="1:59">
      <c r="A33" s="148" t="s">
        <v>241</v>
      </c>
      <c r="C33" s="99" t="s">
        <v>238</v>
      </c>
      <c r="D33" s="99"/>
      <c r="E33" s="608" t="s">
        <v>801</v>
      </c>
      <c r="F33" s="142"/>
      <c r="G33" s="144">
        <f>IF(G32=0,0,G32/G20)</f>
        <v>7.0584231691840317E-3</v>
      </c>
      <c r="I33" s="145">
        <f>G33</f>
        <v>7.0584231691840317E-3</v>
      </c>
      <c r="K33" s="137"/>
      <c r="L33" s="135"/>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row>
    <row r="34" spans="1:59">
      <c r="A34" s="148"/>
      <c r="C34" s="99"/>
      <c r="D34" s="99"/>
      <c r="E34" s="608"/>
      <c r="F34" s="142"/>
      <c r="G34" s="103"/>
      <c r="I34" s="103"/>
      <c r="K34" s="134"/>
      <c r="L34" s="135"/>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row>
    <row r="35" spans="1:59" ht="15.75">
      <c r="A35" s="150" t="s">
        <v>206</v>
      </c>
      <c r="B35" s="151"/>
      <c r="C35" s="139" t="s">
        <v>240</v>
      </c>
      <c r="D35" s="139"/>
      <c r="E35" s="607" t="s">
        <v>438</v>
      </c>
      <c r="F35" s="136"/>
      <c r="G35" s="152"/>
      <c r="I35" s="153">
        <f>I25+I29+I33</f>
        <v>5.1951804346368514E-2</v>
      </c>
      <c r="K35" s="134"/>
      <c r="L35" s="135"/>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row>
    <row r="36" spans="1:59">
      <c r="A36" s="343"/>
      <c r="C36" s="99"/>
      <c r="D36" s="99"/>
      <c r="E36" s="608"/>
      <c r="F36" s="142"/>
      <c r="G36" s="103"/>
      <c r="I36" s="103"/>
      <c r="K36" s="134"/>
      <c r="L36" s="135"/>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row>
    <row r="37" spans="1:59">
      <c r="A37" s="154"/>
      <c r="B37" s="155"/>
      <c r="C37" s="103" t="s">
        <v>212</v>
      </c>
      <c r="D37" s="103"/>
      <c r="E37" s="608"/>
      <c r="F37" s="142"/>
      <c r="G37" s="103"/>
      <c r="I37" s="103"/>
      <c r="K37" s="137"/>
      <c r="L37" s="134" t="s">
        <v>8</v>
      </c>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row>
    <row r="38" spans="1:59">
      <c r="A38" s="148" t="s">
        <v>207</v>
      </c>
      <c r="B38" s="155"/>
      <c r="C38" s="103" t="s">
        <v>133</v>
      </c>
      <c r="D38" s="103"/>
      <c r="E38" s="608" t="s">
        <v>794</v>
      </c>
      <c r="F38" s="142"/>
      <c r="G38" s="143">
        <f>DEK!J165</f>
        <v>412905</v>
      </c>
      <c r="I38" s="103"/>
      <c r="K38" s="137"/>
      <c r="L38" s="134"/>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row>
    <row r="39" spans="1:59">
      <c r="A39" s="148" t="s">
        <v>209</v>
      </c>
      <c r="B39" s="155"/>
      <c r="C39" s="103" t="s">
        <v>242</v>
      </c>
      <c r="D39" s="103"/>
      <c r="E39" s="608" t="s">
        <v>802</v>
      </c>
      <c r="F39" s="142"/>
      <c r="G39" s="144">
        <f>IF(G38=0,0,G38/G21)</f>
        <v>1.4896475797704917E-2</v>
      </c>
      <c r="I39" s="145">
        <f>G39</f>
        <v>1.4896475797704917E-2</v>
      </c>
      <c r="K39" s="137"/>
      <c r="L39" s="134"/>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row>
    <row r="40" spans="1:59">
      <c r="A40" s="148"/>
      <c r="C40" s="103"/>
      <c r="D40" s="103"/>
      <c r="E40" s="608"/>
      <c r="F40" s="142"/>
      <c r="G40" s="103"/>
      <c r="I40" s="103"/>
      <c r="K40" s="128"/>
      <c r="L40" s="135"/>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row>
    <row r="41" spans="1:59">
      <c r="A41" s="148"/>
      <c r="C41" s="99" t="s">
        <v>63</v>
      </c>
      <c r="D41" s="99"/>
      <c r="E41" s="609"/>
      <c r="F41" s="156"/>
      <c r="K41" s="134"/>
      <c r="L41" s="135"/>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row>
    <row r="42" spans="1:59">
      <c r="A42" s="148" t="s">
        <v>211</v>
      </c>
      <c r="C42" s="99" t="s">
        <v>213</v>
      </c>
      <c r="D42" s="99"/>
      <c r="E42" s="608" t="s">
        <v>793</v>
      </c>
      <c r="F42" s="142"/>
      <c r="G42" s="143">
        <f>DEK!J167</f>
        <v>1577096</v>
      </c>
      <c r="I42" s="103"/>
      <c r="K42" s="134"/>
      <c r="L42" s="135"/>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row>
    <row r="43" spans="1:59">
      <c r="A43" s="148" t="s">
        <v>282</v>
      </c>
      <c r="B43" s="155"/>
      <c r="C43" s="103" t="s">
        <v>243</v>
      </c>
      <c r="D43" s="103"/>
      <c r="E43" s="608" t="s">
        <v>799</v>
      </c>
      <c r="F43" s="142"/>
      <c r="G43" s="157">
        <f>IF(G42=0,0,G42/G21)</f>
        <v>5.6897282412800121E-2</v>
      </c>
      <c r="I43" s="145">
        <f>G43</f>
        <v>5.6897282412800121E-2</v>
      </c>
      <c r="K43" s="137"/>
      <c r="L43" s="134"/>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row>
    <row r="44" spans="1:59">
      <c r="A44" s="148"/>
      <c r="C44" s="99"/>
      <c r="D44" s="99"/>
      <c r="E44" s="608"/>
      <c r="F44" s="142"/>
      <c r="G44" s="103"/>
      <c r="I44" s="103"/>
      <c r="K44" s="134"/>
      <c r="L44" s="135"/>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row>
    <row r="45" spans="1:59" ht="15.75">
      <c r="A45" s="150" t="s">
        <v>283</v>
      </c>
      <c r="B45" s="151"/>
      <c r="C45" s="139" t="s">
        <v>244</v>
      </c>
      <c r="D45" s="139"/>
      <c r="E45" s="607" t="s">
        <v>361</v>
      </c>
      <c r="F45" s="136"/>
      <c r="G45" s="152"/>
      <c r="I45" s="153">
        <f>I39+I43</f>
        <v>7.1793758210505043E-2</v>
      </c>
      <c r="K45" s="134"/>
      <c r="L45" s="135"/>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row>
    <row r="46" spans="1:59">
      <c r="K46" s="134"/>
      <c r="L46" s="135"/>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row>
    <row r="47" spans="1:59">
      <c r="A47" s="160"/>
      <c r="B47" s="130"/>
      <c r="C47" s="154"/>
      <c r="D47" s="154"/>
      <c r="E47" s="105"/>
      <c r="F47" s="105"/>
      <c r="G47" s="103"/>
      <c r="H47" s="98"/>
      <c r="I47" s="98"/>
      <c r="J47" s="144"/>
      <c r="K47" s="149"/>
      <c r="L47" s="134"/>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row>
    <row r="48" spans="1:59">
      <c r="A48" s="131"/>
      <c r="C48" s="98"/>
      <c r="D48" s="98"/>
      <c r="E48" s="98"/>
      <c r="F48" s="98"/>
      <c r="G48" s="103"/>
      <c r="H48" s="98"/>
      <c r="I48" s="98"/>
      <c r="J48" s="98"/>
      <c r="K48" s="137"/>
      <c r="L48" s="134" t="s">
        <v>8</v>
      </c>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row>
    <row r="49" spans="11:59">
      <c r="X49" s="74" t="s">
        <v>318</v>
      </c>
    </row>
    <row r="50" spans="11:59">
      <c r="X50" s="74" t="s">
        <v>316</v>
      </c>
    </row>
    <row r="51" spans="11:59">
      <c r="X51" s="161" t="s">
        <v>214</v>
      </c>
    </row>
    <row r="52" spans="11:59">
      <c r="K52" s="131"/>
      <c r="M52" s="98"/>
      <c r="N52" s="98"/>
      <c r="O52" s="98"/>
      <c r="P52" s="98"/>
      <c r="Q52" s="103"/>
      <c r="R52" s="98"/>
      <c r="S52" s="98"/>
      <c r="T52" s="98"/>
      <c r="U52" s="98"/>
      <c r="W52" s="103"/>
      <c r="X52" s="161" t="str">
        <f>I4</f>
        <v>For the 12 months ended: 12/31/2017</v>
      </c>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row>
    <row r="53" spans="11:59">
      <c r="K53" s="131"/>
      <c r="M53" s="99"/>
      <c r="N53" s="98"/>
      <c r="O53" s="98"/>
      <c r="P53" s="98"/>
      <c r="Q53" s="103"/>
      <c r="R53" s="98"/>
      <c r="S53" s="98"/>
      <c r="T53" s="98"/>
      <c r="U53" s="98"/>
      <c r="W53" s="103"/>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row>
    <row r="54" spans="11:59">
      <c r="K54" s="209" t="str">
        <f>A6</f>
        <v>Rate Formula Template</v>
      </c>
      <c r="L54" s="263"/>
      <c r="M54" s="263"/>
      <c r="N54" s="208"/>
      <c r="O54" s="209"/>
      <c r="P54" s="209"/>
      <c r="Q54" s="263"/>
      <c r="R54" s="209"/>
      <c r="S54" s="209"/>
      <c r="T54" s="209"/>
      <c r="U54" s="209"/>
      <c r="V54" s="263"/>
      <c r="W54" s="207"/>
      <c r="X54" s="263"/>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row>
    <row r="55" spans="11:59">
      <c r="K55" s="209" t="str">
        <f>A7</f>
        <v>Utilizing Attachment H-22A Data</v>
      </c>
      <c r="L55" s="263"/>
      <c r="M55" s="208"/>
      <c r="N55" s="208"/>
      <c r="O55" s="209"/>
      <c r="P55" s="209"/>
      <c r="Q55" s="263"/>
      <c r="R55" s="209"/>
      <c r="S55" s="209"/>
      <c r="T55" s="209"/>
      <c r="U55" s="209"/>
      <c r="V55" s="207"/>
      <c r="W55" s="207"/>
      <c r="X55" s="263"/>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row>
    <row r="56" spans="11:59" ht="14.25" customHeight="1">
      <c r="K56" s="262"/>
      <c r="M56" s="98"/>
      <c r="N56" s="98"/>
      <c r="O56" s="98"/>
      <c r="P56" s="98"/>
      <c r="R56" s="209"/>
      <c r="S56" s="98"/>
      <c r="T56" s="98"/>
      <c r="U56" s="98"/>
      <c r="W56" s="103"/>
      <c r="X56" s="98"/>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row>
    <row r="57" spans="11:59">
      <c r="K57" s="209" t="str">
        <f>A9</f>
        <v>DUKE ENERGY KENTUCKY (DEK)</v>
      </c>
      <c r="L57" s="263"/>
      <c r="M57" s="263"/>
      <c r="N57" s="263"/>
      <c r="O57" s="209"/>
      <c r="P57" s="209"/>
      <c r="Q57" s="263"/>
      <c r="R57" s="209"/>
      <c r="S57" s="209"/>
      <c r="T57" s="209"/>
      <c r="U57" s="209"/>
      <c r="V57" s="209"/>
      <c r="W57" s="207"/>
      <c r="X57" s="207"/>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30"/>
      <c r="BA57" s="130"/>
      <c r="BB57" s="130"/>
      <c r="BC57" s="130"/>
      <c r="BD57" s="130"/>
      <c r="BE57" s="130"/>
      <c r="BF57" s="130"/>
      <c r="BG57" s="130"/>
    </row>
    <row r="58" spans="11:59">
      <c r="K58" s="209" t="str">
        <f>A10</f>
        <v>MTEP - Transmission Enhancement Charges</v>
      </c>
      <c r="L58" s="263"/>
      <c r="M58" s="263"/>
      <c r="N58" s="263"/>
      <c r="O58" s="208"/>
      <c r="P58" s="208"/>
      <c r="Q58" s="208"/>
      <c r="R58" s="208"/>
      <c r="S58" s="208"/>
      <c r="T58" s="208"/>
      <c r="U58" s="208"/>
      <c r="V58" s="208"/>
      <c r="W58" s="208"/>
      <c r="X58" s="208"/>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30"/>
      <c r="BA58" s="130"/>
      <c r="BB58" s="130"/>
      <c r="BC58" s="130"/>
      <c r="BD58" s="130"/>
      <c r="BE58" s="130"/>
      <c r="BF58" s="130"/>
      <c r="BG58" s="130"/>
    </row>
    <row r="59" spans="11:59">
      <c r="K59" s="131"/>
      <c r="O59" s="99"/>
      <c r="P59" s="99"/>
      <c r="Q59" s="99"/>
      <c r="R59" s="99"/>
      <c r="S59" s="99"/>
      <c r="T59" s="99"/>
      <c r="U59" s="99"/>
      <c r="V59" s="99"/>
      <c r="W59" s="99"/>
      <c r="X59" s="99"/>
      <c r="Y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c r="AZ59" s="130"/>
      <c r="BA59" s="130"/>
      <c r="BB59" s="130"/>
      <c r="BC59" s="130"/>
      <c r="BD59" s="130"/>
      <c r="BE59" s="130"/>
      <c r="BF59" s="130"/>
      <c r="BG59" s="130"/>
    </row>
    <row r="60" spans="11:59" ht="15.75">
      <c r="K60" s="264" t="s">
        <v>291</v>
      </c>
      <c r="L60" s="263"/>
      <c r="M60" s="209"/>
      <c r="N60" s="209"/>
      <c r="O60" s="263"/>
      <c r="P60" s="264"/>
      <c r="Q60" s="263"/>
      <c r="R60" s="208"/>
      <c r="S60" s="208"/>
      <c r="T60" s="208"/>
      <c r="U60" s="208"/>
      <c r="V60" s="208"/>
      <c r="W60" s="207"/>
      <c r="X60" s="207"/>
      <c r="Y60" s="130"/>
      <c r="Z60" s="130"/>
      <c r="AA60" s="130"/>
      <c r="AB60" s="130"/>
      <c r="AC60" s="130"/>
      <c r="AD60" s="130"/>
      <c r="AE60" s="130"/>
      <c r="AF60" s="130"/>
      <c r="AG60" s="130"/>
      <c r="AH60" s="130"/>
      <c r="AI60" s="130"/>
      <c r="AJ60" s="130"/>
      <c r="AK60" s="130"/>
      <c r="AL60" s="130"/>
      <c r="AM60" s="130"/>
      <c r="AN60" s="130"/>
      <c r="AO60" s="130"/>
      <c r="AP60" s="130"/>
      <c r="AQ60" s="130"/>
      <c r="AR60" s="130"/>
      <c r="AS60" s="130"/>
      <c r="AT60" s="130"/>
      <c r="AU60" s="130"/>
      <c r="AV60" s="130"/>
      <c r="AW60" s="130"/>
      <c r="AX60" s="130"/>
      <c r="AY60" s="130"/>
      <c r="AZ60" s="130"/>
      <c r="BA60" s="130"/>
      <c r="BB60" s="130"/>
      <c r="BC60" s="130"/>
      <c r="BD60" s="130"/>
      <c r="BE60" s="130"/>
      <c r="BF60" s="130"/>
      <c r="BG60" s="130"/>
    </row>
    <row r="61" spans="11:59" ht="15.75">
      <c r="K61" s="131"/>
      <c r="M61" s="98"/>
      <c r="N61" s="98"/>
      <c r="O61" s="139"/>
      <c r="P61" s="139"/>
      <c r="R61" s="102"/>
      <c r="S61" s="102"/>
      <c r="T61" s="102"/>
      <c r="U61" s="102"/>
      <c r="V61" s="102"/>
      <c r="W61" s="103"/>
      <c r="X61" s="103"/>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0"/>
      <c r="AZ61" s="130"/>
      <c r="BA61" s="130"/>
      <c r="BB61" s="130"/>
      <c r="BC61" s="130"/>
      <c r="BD61" s="130"/>
      <c r="BE61" s="130"/>
      <c r="BF61" s="130"/>
      <c r="BG61" s="130"/>
    </row>
    <row r="62" spans="11:59" ht="15.75">
      <c r="K62" s="131"/>
      <c r="M62" s="162">
        <v>-1</v>
      </c>
      <c r="N62" s="162">
        <v>-2</v>
      </c>
      <c r="O62" s="162">
        <v>-3</v>
      </c>
      <c r="P62" s="162">
        <v>-4</v>
      </c>
      <c r="Q62" s="162">
        <v>-5</v>
      </c>
      <c r="R62" s="162">
        <v>-6</v>
      </c>
      <c r="S62" s="162">
        <v>-7</v>
      </c>
      <c r="T62" s="162">
        <v>-8</v>
      </c>
      <c r="U62" s="162">
        <v>-9</v>
      </c>
      <c r="V62" s="162">
        <v>-10</v>
      </c>
      <c r="W62" s="162">
        <v>-11</v>
      </c>
      <c r="X62" s="162">
        <v>-12</v>
      </c>
      <c r="Y62" s="130"/>
      <c r="Z62" s="130"/>
      <c r="AA62" s="130"/>
      <c r="AB62" s="130"/>
      <c r="AC62" s="130"/>
      <c r="AD62" s="130"/>
      <c r="AE62" s="130"/>
      <c r="AF62" s="130"/>
      <c r="AG62" s="130"/>
      <c r="AH62" s="130"/>
      <c r="AI62" s="130"/>
      <c r="AJ62" s="130"/>
      <c r="AK62" s="130"/>
      <c r="AL62" s="130"/>
      <c r="AM62" s="130"/>
      <c r="AN62" s="130"/>
      <c r="AO62" s="130"/>
      <c r="AP62" s="130"/>
      <c r="AQ62" s="130"/>
      <c r="AR62" s="130"/>
      <c r="AS62" s="130"/>
      <c r="AT62" s="130"/>
      <c r="AU62" s="130"/>
      <c r="AV62" s="130"/>
      <c r="AW62" s="130"/>
      <c r="AX62" s="130"/>
      <c r="AY62" s="130"/>
      <c r="AZ62" s="130"/>
      <c r="BA62" s="130"/>
      <c r="BB62" s="130"/>
      <c r="BC62" s="130"/>
      <c r="BD62" s="130"/>
      <c r="BE62" s="130"/>
      <c r="BF62" s="130"/>
      <c r="BG62" s="130"/>
    </row>
    <row r="63" spans="11:59" ht="63">
      <c r="K63" s="163" t="s">
        <v>245</v>
      </c>
      <c r="L63" s="164"/>
      <c r="M63" s="164" t="s">
        <v>221</v>
      </c>
      <c r="N63" s="165" t="s">
        <v>246</v>
      </c>
      <c r="O63" s="166" t="s">
        <v>247</v>
      </c>
      <c r="P63" s="166" t="s">
        <v>240</v>
      </c>
      <c r="Q63" s="167" t="s">
        <v>248</v>
      </c>
      <c r="R63" s="166" t="s">
        <v>249</v>
      </c>
      <c r="S63" s="166" t="s">
        <v>244</v>
      </c>
      <c r="T63" s="167" t="s">
        <v>250</v>
      </c>
      <c r="U63" s="166" t="s">
        <v>251</v>
      </c>
      <c r="V63" s="168" t="s">
        <v>252</v>
      </c>
      <c r="W63" s="169" t="s">
        <v>253</v>
      </c>
      <c r="X63" s="168" t="s">
        <v>254</v>
      </c>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c r="BC63" s="130"/>
      <c r="BD63" s="130"/>
      <c r="BE63" s="130"/>
      <c r="BF63" s="130"/>
      <c r="BG63" s="130"/>
    </row>
    <row r="64" spans="11:59" ht="46.5" customHeight="1">
      <c r="K64" s="170"/>
      <c r="L64" s="171"/>
      <c r="M64" s="171"/>
      <c r="N64" s="171"/>
      <c r="O64" s="172" t="s">
        <v>17</v>
      </c>
      <c r="P64" s="610" t="s">
        <v>865</v>
      </c>
      <c r="Q64" s="173" t="s">
        <v>255</v>
      </c>
      <c r="R64" s="610" t="s">
        <v>18</v>
      </c>
      <c r="S64" s="610" t="s">
        <v>866</v>
      </c>
      <c r="T64" s="173" t="s">
        <v>256</v>
      </c>
      <c r="U64" s="610" t="s">
        <v>257</v>
      </c>
      <c r="V64" s="173" t="s">
        <v>258</v>
      </c>
      <c r="W64" s="174" t="s">
        <v>215</v>
      </c>
      <c r="X64" s="175" t="s">
        <v>259</v>
      </c>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c r="AZ64" s="130"/>
      <c r="BA64" s="130"/>
      <c r="BB64" s="130"/>
      <c r="BC64" s="130"/>
      <c r="BD64" s="130"/>
      <c r="BE64" s="130"/>
      <c r="BF64" s="130"/>
      <c r="BG64" s="130"/>
    </row>
    <row r="65" spans="11:59">
      <c r="K65" s="176"/>
      <c r="L65" s="102"/>
      <c r="M65" s="102"/>
      <c r="N65" s="102"/>
      <c r="O65" s="102"/>
      <c r="P65" s="102"/>
      <c r="Q65" s="177"/>
      <c r="R65" s="102"/>
      <c r="S65" s="102"/>
      <c r="T65" s="177"/>
      <c r="U65" s="102"/>
      <c r="V65" s="177"/>
      <c r="W65" s="103"/>
      <c r="X65" s="178"/>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row>
    <row r="66" spans="11:59">
      <c r="K66" s="179" t="s">
        <v>1</v>
      </c>
      <c r="M66" s="395" t="s">
        <v>260</v>
      </c>
      <c r="N66" s="395" t="s">
        <v>261</v>
      </c>
      <c r="O66" s="236">
        <v>0</v>
      </c>
      <c r="P66" s="145">
        <f>$I$35</f>
        <v>5.1951804346368514E-2</v>
      </c>
      <c r="Q66" s="181">
        <f>O66*P66</f>
        <v>0</v>
      </c>
      <c r="R66" s="180">
        <v>0</v>
      </c>
      <c r="S66" s="145">
        <f>$I$45</f>
        <v>7.1793758210505043E-2</v>
      </c>
      <c r="T66" s="181">
        <f>R66*S66</f>
        <v>0</v>
      </c>
      <c r="U66" s="182">
        <v>0</v>
      </c>
      <c r="V66" s="181">
        <f>Q66+T66+U66</f>
        <v>0</v>
      </c>
      <c r="W66" s="183">
        <v>0</v>
      </c>
      <c r="X66" s="181">
        <f>V66+W66</f>
        <v>0</v>
      </c>
    </row>
    <row r="67" spans="11:59">
      <c r="K67" s="179" t="s">
        <v>262</v>
      </c>
      <c r="M67" s="395" t="s">
        <v>263</v>
      </c>
      <c r="N67" s="395" t="s">
        <v>264</v>
      </c>
      <c r="O67" s="236">
        <v>0</v>
      </c>
      <c r="P67" s="145">
        <f>$I$35</f>
        <v>5.1951804346368514E-2</v>
      </c>
      <c r="Q67" s="181">
        <f>O67*P67</f>
        <v>0</v>
      </c>
      <c r="R67" s="180">
        <v>0</v>
      </c>
      <c r="S67" s="145">
        <f>$I$45</f>
        <v>7.1793758210505043E-2</v>
      </c>
      <c r="T67" s="181">
        <f>R67*S67</f>
        <v>0</v>
      </c>
      <c r="U67" s="182">
        <v>0</v>
      </c>
      <c r="V67" s="181">
        <f>Q67+T67+U67</f>
        <v>0</v>
      </c>
      <c r="W67" s="183">
        <v>0</v>
      </c>
      <c r="X67" s="181">
        <f>V67+W67</f>
        <v>0</v>
      </c>
    </row>
    <row r="68" spans="11:59">
      <c r="K68" s="179" t="s">
        <v>265</v>
      </c>
      <c r="M68" s="395" t="s">
        <v>266</v>
      </c>
      <c r="N68" s="395" t="s">
        <v>267</v>
      </c>
      <c r="O68" s="236">
        <v>0</v>
      </c>
      <c r="P68" s="145">
        <f>$I$35</f>
        <v>5.1951804346368514E-2</v>
      </c>
      <c r="Q68" s="181">
        <f>O68*P68</f>
        <v>0</v>
      </c>
      <c r="R68" s="180">
        <v>0</v>
      </c>
      <c r="S68" s="145">
        <f>$I$45</f>
        <v>7.1793758210505043E-2</v>
      </c>
      <c r="T68" s="181">
        <f>R68*S68</f>
        <v>0</v>
      </c>
      <c r="U68" s="182">
        <v>0</v>
      </c>
      <c r="V68" s="181">
        <f>Q68+T68+U68</f>
        <v>0</v>
      </c>
      <c r="W68" s="180">
        <v>0</v>
      </c>
      <c r="X68" s="181">
        <f>V68+W68</f>
        <v>0</v>
      </c>
    </row>
    <row r="69" spans="11:59">
      <c r="K69" s="179"/>
      <c r="Q69" s="181"/>
      <c r="T69" s="181"/>
      <c r="V69" s="181"/>
      <c r="X69" s="181"/>
    </row>
    <row r="70" spans="11:59">
      <c r="K70" s="179"/>
      <c r="Q70" s="181"/>
      <c r="T70" s="181"/>
      <c r="V70" s="181"/>
      <c r="X70" s="181"/>
    </row>
    <row r="71" spans="11:59">
      <c r="K71" s="179"/>
      <c r="Q71" s="181"/>
      <c r="T71" s="181"/>
      <c r="V71" s="181"/>
      <c r="X71" s="181"/>
    </row>
    <row r="72" spans="11:59">
      <c r="K72" s="179"/>
      <c r="Q72" s="181"/>
      <c r="T72" s="181"/>
      <c r="V72" s="181"/>
      <c r="X72" s="181"/>
    </row>
    <row r="73" spans="11:59">
      <c r="K73" s="179"/>
      <c r="Q73" s="181"/>
      <c r="T73" s="181"/>
      <c r="V73" s="181"/>
      <c r="X73" s="181"/>
    </row>
    <row r="74" spans="11:59">
      <c r="K74" s="179"/>
      <c r="M74" s="184"/>
      <c r="N74" s="184"/>
      <c r="O74" s="184"/>
      <c r="P74" s="184"/>
      <c r="Q74" s="185"/>
      <c r="R74" s="184"/>
      <c r="S74" s="184"/>
      <c r="T74" s="185"/>
      <c r="U74" s="184"/>
      <c r="V74" s="185"/>
      <c r="W74" s="184"/>
      <c r="X74" s="185"/>
    </row>
    <row r="75" spans="11:59">
      <c r="K75" s="179"/>
      <c r="M75" s="184"/>
      <c r="N75" s="184"/>
      <c r="O75" s="184"/>
      <c r="P75" s="184"/>
      <c r="Q75" s="185"/>
      <c r="R75" s="184"/>
      <c r="S75" s="184"/>
      <c r="T75" s="185"/>
      <c r="U75" s="184"/>
      <c r="V75" s="185"/>
      <c r="W75" s="184"/>
      <c r="X75" s="185"/>
    </row>
    <row r="76" spans="11:59">
      <c r="K76" s="179"/>
      <c r="M76" s="184"/>
      <c r="N76" s="184"/>
      <c r="O76" s="184"/>
      <c r="P76" s="184"/>
      <c r="Q76" s="185"/>
      <c r="R76" s="184"/>
      <c r="S76" s="184"/>
      <c r="T76" s="185"/>
      <c r="U76" s="184"/>
      <c r="V76" s="185"/>
      <c r="W76" s="184"/>
      <c r="X76" s="185"/>
    </row>
    <row r="77" spans="11:59">
      <c r="K77" s="179"/>
      <c r="M77" s="184"/>
      <c r="N77" s="184"/>
      <c r="O77" s="184"/>
      <c r="P77" s="184"/>
      <c r="Q77" s="185"/>
      <c r="R77" s="184"/>
      <c r="S77" s="184"/>
      <c r="T77" s="185"/>
      <c r="U77" s="184"/>
      <c r="V77" s="185"/>
      <c r="W77" s="184"/>
      <c r="X77" s="185"/>
    </row>
    <row r="78" spans="11:59">
      <c r="K78" s="179"/>
      <c r="M78" s="184"/>
      <c r="N78" s="184"/>
      <c r="O78" s="184"/>
      <c r="P78" s="184"/>
      <c r="Q78" s="185"/>
      <c r="R78" s="184"/>
      <c r="S78" s="184"/>
      <c r="T78" s="185"/>
      <c r="U78" s="184"/>
      <c r="V78" s="185"/>
      <c r="W78" s="184"/>
      <c r="X78" s="185"/>
    </row>
    <row r="79" spans="11:59">
      <c r="K79" s="179"/>
      <c r="M79" s="184"/>
      <c r="N79" s="184"/>
      <c r="O79" s="184"/>
      <c r="P79" s="184"/>
      <c r="Q79" s="185"/>
      <c r="R79" s="184"/>
      <c r="S79" s="184"/>
      <c r="T79" s="185"/>
      <c r="U79" s="184"/>
      <c r="V79" s="185"/>
      <c r="W79" s="184"/>
      <c r="X79" s="185"/>
    </row>
    <row r="80" spans="11:59">
      <c r="K80" s="179"/>
      <c r="M80" s="184"/>
      <c r="N80" s="184"/>
      <c r="O80" s="184"/>
      <c r="P80" s="184"/>
      <c r="Q80" s="185"/>
      <c r="R80" s="184"/>
      <c r="S80" s="184"/>
      <c r="T80" s="185"/>
      <c r="U80" s="184"/>
      <c r="V80" s="185"/>
      <c r="W80" s="184"/>
      <c r="X80" s="185"/>
    </row>
    <row r="81" spans="11:24">
      <c r="K81" s="179"/>
      <c r="M81" s="184"/>
      <c r="N81" s="184"/>
      <c r="O81" s="184"/>
      <c r="P81" s="184"/>
      <c r="Q81" s="185"/>
      <c r="R81" s="184"/>
      <c r="S81" s="184"/>
      <c r="T81" s="185"/>
      <c r="U81" s="184"/>
      <c r="V81" s="185"/>
      <c r="W81" s="184"/>
      <c r="X81" s="185"/>
    </row>
    <row r="82" spans="11:24">
      <c r="K82" s="179"/>
      <c r="M82" s="184"/>
      <c r="N82" s="184"/>
      <c r="O82" s="184"/>
      <c r="P82" s="184"/>
      <c r="Q82" s="185"/>
      <c r="R82" s="184"/>
      <c r="S82" s="184"/>
      <c r="T82" s="185"/>
      <c r="U82" s="184"/>
      <c r="V82" s="185"/>
      <c r="W82" s="184"/>
      <c r="X82" s="185"/>
    </row>
    <row r="83" spans="11:24">
      <c r="K83" s="179"/>
      <c r="M83" s="184"/>
      <c r="N83" s="184"/>
      <c r="O83" s="184"/>
      <c r="P83" s="184"/>
      <c r="Q83" s="185"/>
      <c r="R83" s="184"/>
      <c r="S83" s="184"/>
      <c r="T83" s="185"/>
      <c r="U83" s="184"/>
      <c r="V83" s="185"/>
      <c r="W83" s="184"/>
      <c r="X83" s="185"/>
    </row>
    <row r="84" spans="11:24">
      <c r="K84" s="179"/>
      <c r="M84" s="184"/>
      <c r="N84" s="184"/>
      <c r="O84" s="184"/>
      <c r="P84" s="184"/>
      <c r="Q84" s="185"/>
      <c r="R84" s="184"/>
      <c r="S84" s="184"/>
      <c r="T84" s="185"/>
      <c r="U84" s="184"/>
      <c r="V84" s="185"/>
      <c r="W84" s="184"/>
      <c r="X84" s="185"/>
    </row>
    <row r="85" spans="11:24">
      <c r="K85" s="186"/>
      <c r="L85" s="187"/>
      <c r="M85" s="188"/>
      <c r="N85" s="188"/>
      <c r="O85" s="188"/>
      <c r="P85" s="188"/>
      <c r="Q85" s="189"/>
      <c r="R85" s="188"/>
      <c r="S85" s="188"/>
      <c r="T85" s="189"/>
      <c r="U85" s="188"/>
      <c r="V85" s="189"/>
      <c r="W85" s="188"/>
      <c r="X85" s="189"/>
    </row>
    <row r="86" spans="11:24">
      <c r="K86" s="133" t="s">
        <v>268</v>
      </c>
      <c r="L86" s="155"/>
      <c r="M86" s="99" t="s">
        <v>269</v>
      </c>
      <c r="N86" s="99"/>
      <c r="O86" s="105"/>
      <c r="P86" s="105"/>
      <c r="Q86" s="103"/>
      <c r="R86" s="103"/>
      <c r="S86" s="103"/>
      <c r="T86" s="103"/>
      <c r="U86" s="103"/>
      <c r="V86" s="962">
        <f>SUM(V66:V85)</f>
        <v>0</v>
      </c>
      <c r="W86" s="962">
        <f>SUM(W66:W85)</f>
        <v>0</v>
      </c>
      <c r="X86" s="962">
        <f>SUM(X66:X85)</f>
        <v>0</v>
      </c>
    </row>
    <row r="87" spans="11:24">
      <c r="K87" s="93"/>
      <c r="L87" s="184"/>
      <c r="M87" s="184"/>
      <c r="N87" s="184"/>
      <c r="O87" s="184"/>
      <c r="P87" s="184"/>
      <c r="Q87" s="184"/>
      <c r="R87" s="184"/>
      <c r="S87" s="184"/>
      <c r="T87" s="184"/>
      <c r="U87" s="184"/>
      <c r="V87" s="963"/>
      <c r="W87" s="963"/>
      <c r="X87" s="963"/>
    </row>
    <row r="88" spans="11:24">
      <c r="K88" s="190">
        <v>3</v>
      </c>
      <c r="L88" s="184"/>
      <c r="M88" s="613" t="str">
        <f>'Appx C - DEOK(MTEP)'!D40</f>
        <v>MTEP Transmission Enhancement Charges</v>
      </c>
      <c r="N88" s="184"/>
      <c r="O88" s="184"/>
      <c r="P88" s="184"/>
      <c r="Q88" s="184"/>
      <c r="R88" s="184"/>
      <c r="S88" s="184"/>
      <c r="T88" s="184"/>
      <c r="U88" s="184"/>
      <c r="V88" s="962"/>
      <c r="W88" s="963"/>
      <c r="X88" s="962">
        <f>X86</f>
        <v>0</v>
      </c>
    </row>
    <row r="89" spans="11:24">
      <c r="K89" s="184"/>
      <c r="L89" s="184"/>
      <c r="M89" s="184"/>
      <c r="N89" s="184"/>
      <c r="O89" s="184"/>
      <c r="P89" s="184"/>
      <c r="Q89" s="184"/>
      <c r="R89" s="184"/>
      <c r="S89" s="184"/>
      <c r="T89" s="184"/>
      <c r="U89" s="184"/>
      <c r="V89" s="184"/>
      <c r="W89" s="184"/>
      <c r="X89" s="184"/>
    </row>
    <row r="90" spans="11:24">
      <c r="K90" s="184"/>
      <c r="L90" s="184"/>
      <c r="M90" s="184"/>
      <c r="N90" s="184"/>
      <c r="O90" s="184"/>
      <c r="P90" s="184"/>
      <c r="Q90" s="184"/>
      <c r="R90" s="184"/>
      <c r="S90" s="184"/>
      <c r="T90" s="184"/>
      <c r="U90" s="184"/>
      <c r="V90" s="184"/>
      <c r="W90" s="184"/>
      <c r="X90" s="184"/>
    </row>
    <row r="91" spans="11:24">
      <c r="K91" s="98" t="s">
        <v>98</v>
      </c>
      <c r="L91" s="184"/>
      <c r="M91" s="184"/>
      <c r="N91" s="184"/>
      <c r="O91" s="184"/>
      <c r="P91" s="184"/>
      <c r="Q91" s="184"/>
      <c r="R91" s="184"/>
      <c r="S91" s="184"/>
      <c r="T91" s="184"/>
      <c r="U91" s="184"/>
      <c r="V91" s="184"/>
      <c r="W91" s="184"/>
      <c r="X91" s="184"/>
    </row>
    <row r="92" spans="11:24" ht="15.75" thickBot="1">
      <c r="K92" s="191" t="s">
        <v>99</v>
      </c>
      <c r="L92" s="184"/>
      <c r="M92" s="184"/>
      <c r="N92" s="184"/>
      <c r="O92" s="184"/>
      <c r="P92" s="184"/>
      <c r="Q92" s="184"/>
      <c r="R92" s="184"/>
      <c r="S92" s="184"/>
      <c r="T92" s="184"/>
      <c r="U92" s="184"/>
      <c r="V92" s="184"/>
      <c r="W92" s="184"/>
      <c r="X92" s="184"/>
    </row>
    <row r="93" spans="11:24">
      <c r="K93" s="192" t="s">
        <v>100</v>
      </c>
      <c r="L93" s="101"/>
      <c r="M93" s="1079" t="s">
        <v>667</v>
      </c>
      <c r="N93" s="1080"/>
      <c r="O93" s="1080"/>
      <c r="P93" s="1080"/>
      <c r="Q93" s="1080"/>
      <c r="R93" s="1080"/>
      <c r="S93" s="1080"/>
      <c r="T93" s="1080"/>
      <c r="U93" s="1080"/>
      <c r="V93" s="1080"/>
      <c r="W93" s="1080"/>
      <c r="X93" s="1080"/>
    </row>
    <row r="94" spans="11:24">
      <c r="K94" s="192" t="s">
        <v>101</v>
      </c>
      <c r="L94" s="101"/>
      <c r="M94" s="1079" t="s">
        <v>668</v>
      </c>
      <c r="N94" s="1080"/>
      <c r="O94" s="1080"/>
      <c r="P94" s="1080"/>
      <c r="Q94" s="1080"/>
      <c r="R94" s="1080"/>
      <c r="S94" s="1080"/>
      <c r="T94" s="1080"/>
      <c r="U94" s="1080"/>
      <c r="V94" s="1080"/>
      <c r="W94" s="1080"/>
      <c r="X94" s="1080"/>
    </row>
    <row r="95" spans="11:24" ht="27.75" customHeight="1">
      <c r="K95" s="193" t="s">
        <v>102</v>
      </c>
      <c r="L95" s="101"/>
      <c r="M95" s="1081" t="s">
        <v>270</v>
      </c>
      <c r="N95" s="1081"/>
      <c r="O95" s="1081"/>
      <c r="P95" s="1081"/>
      <c r="Q95" s="1081"/>
      <c r="R95" s="1081"/>
      <c r="S95" s="1081"/>
      <c r="T95" s="1081"/>
      <c r="U95" s="1081"/>
      <c r="V95" s="1081"/>
      <c r="W95" s="1081"/>
      <c r="X95" s="1081"/>
    </row>
    <row r="96" spans="11:24" ht="15" customHeight="1">
      <c r="K96" s="193" t="s">
        <v>103</v>
      </c>
      <c r="L96" s="101"/>
      <c r="M96" s="1081" t="s">
        <v>271</v>
      </c>
      <c r="N96" s="1081"/>
      <c r="O96" s="1081"/>
      <c r="P96" s="1081"/>
      <c r="Q96" s="1081"/>
      <c r="R96" s="1081"/>
      <c r="S96" s="1081"/>
      <c r="T96" s="1081"/>
      <c r="U96" s="1081"/>
      <c r="V96" s="1081"/>
      <c r="W96" s="1081"/>
      <c r="X96" s="1081"/>
    </row>
    <row r="97" spans="11:24">
      <c r="K97" s="192" t="s">
        <v>104</v>
      </c>
      <c r="L97" s="101"/>
      <c r="M97" s="1080" t="s">
        <v>334</v>
      </c>
      <c r="N97" s="1080"/>
      <c r="O97" s="1080"/>
      <c r="P97" s="1080"/>
      <c r="Q97" s="1080"/>
      <c r="R97" s="1080"/>
      <c r="S97" s="1080"/>
      <c r="T97" s="1080"/>
      <c r="U97" s="1080"/>
      <c r="V97" s="1080"/>
      <c r="W97" s="1080"/>
      <c r="X97" s="1080"/>
    </row>
    <row r="98" spans="11:24">
      <c r="K98" s="192" t="s">
        <v>105</v>
      </c>
      <c r="L98" s="101"/>
      <c r="M98" s="1080" t="s">
        <v>272</v>
      </c>
      <c r="N98" s="1080"/>
      <c r="O98" s="1080"/>
      <c r="P98" s="1080"/>
      <c r="Q98" s="1080"/>
      <c r="R98" s="1080"/>
      <c r="S98" s="1080"/>
      <c r="T98" s="1080"/>
      <c r="U98" s="1080"/>
      <c r="V98" s="1080"/>
      <c r="W98" s="1080"/>
      <c r="X98" s="1080"/>
    </row>
    <row r="99" spans="11:24">
      <c r="K99" s="192" t="s">
        <v>106</v>
      </c>
      <c r="L99" s="101"/>
      <c r="M99" s="1080" t="s">
        <v>273</v>
      </c>
      <c r="N99" s="1080"/>
      <c r="O99" s="1080"/>
      <c r="P99" s="1080"/>
      <c r="Q99" s="1080"/>
      <c r="R99" s="1080"/>
      <c r="S99" s="1080"/>
      <c r="T99" s="1080"/>
      <c r="U99" s="1080"/>
      <c r="V99" s="1080"/>
      <c r="W99" s="1080"/>
      <c r="X99" s="1080"/>
    </row>
    <row r="100" spans="11:24">
      <c r="K100" s="383" t="s">
        <v>108</v>
      </c>
      <c r="L100" s="130"/>
      <c r="M100" s="1079" t="s">
        <v>358</v>
      </c>
      <c r="N100" s="1079"/>
      <c r="O100" s="1079"/>
      <c r="P100" s="1079"/>
      <c r="Q100" s="1079"/>
      <c r="R100" s="1079"/>
      <c r="S100" s="1079"/>
      <c r="T100" s="1079"/>
      <c r="U100" s="1079"/>
      <c r="V100" s="1079"/>
      <c r="W100" s="1079"/>
      <c r="X100" s="1079"/>
    </row>
    <row r="101" spans="11:24" ht="15.75">
      <c r="K101" s="158"/>
      <c r="L101" s="194"/>
      <c r="M101" s="195"/>
      <c r="N101" s="154"/>
      <c r="O101" s="105"/>
      <c r="P101" s="105"/>
      <c r="Q101" s="103"/>
      <c r="R101" s="98"/>
      <c r="S101" s="98"/>
      <c r="T101" s="144"/>
      <c r="U101" s="98"/>
      <c r="W101" s="103"/>
      <c r="X101" s="159"/>
    </row>
    <row r="102" spans="11:24" ht="15.75">
      <c r="K102" s="158"/>
      <c r="L102" s="194"/>
      <c r="M102" s="195"/>
      <c r="N102" s="154"/>
      <c r="O102" s="105"/>
      <c r="P102" s="105"/>
      <c r="Q102" s="103"/>
      <c r="R102" s="98"/>
      <c r="S102" s="98"/>
      <c r="T102" s="144"/>
      <c r="U102" s="98"/>
      <c r="W102" s="103"/>
      <c r="X102" s="146"/>
    </row>
    <row r="103" spans="11:24">
      <c r="M103" s="184"/>
      <c r="N103" s="184"/>
      <c r="O103" s="184"/>
      <c r="P103" s="184"/>
      <c r="Q103" s="184"/>
      <c r="R103" s="184"/>
      <c r="S103" s="184"/>
      <c r="T103" s="184"/>
      <c r="U103" s="184"/>
      <c r="V103" s="184"/>
      <c r="W103" s="184"/>
      <c r="X103" s="184"/>
    </row>
    <row r="104" spans="11:24">
      <c r="M104" s="184"/>
      <c r="N104" s="184"/>
      <c r="O104" s="184"/>
      <c r="P104" s="184"/>
      <c r="Q104" s="184"/>
      <c r="R104" s="184"/>
      <c r="S104" s="184"/>
      <c r="T104" s="184"/>
      <c r="U104" s="184"/>
      <c r="V104" s="184"/>
      <c r="W104" s="184"/>
      <c r="X104" s="184"/>
    </row>
    <row r="105" spans="11:24">
      <c r="M105" s="184"/>
      <c r="N105" s="184"/>
      <c r="O105" s="184"/>
      <c r="P105" s="184"/>
      <c r="Q105" s="184"/>
      <c r="R105" s="184"/>
      <c r="S105" s="184"/>
      <c r="T105" s="184"/>
      <c r="U105" s="184"/>
      <c r="V105" s="184"/>
      <c r="W105" s="184"/>
      <c r="X105" s="184"/>
    </row>
    <row r="106" spans="11:24">
      <c r="M106" s="184"/>
      <c r="N106" s="184"/>
      <c r="O106" s="184"/>
      <c r="P106" s="184"/>
      <c r="Q106" s="184"/>
      <c r="R106" s="184"/>
      <c r="S106" s="184"/>
      <c r="T106" s="184"/>
      <c r="U106" s="184"/>
      <c r="V106" s="184"/>
      <c r="W106" s="184"/>
      <c r="X106" s="184"/>
    </row>
    <row r="107" spans="11:24">
      <c r="M107" s="184"/>
      <c r="N107" s="184"/>
      <c r="O107" s="184"/>
      <c r="P107" s="184"/>
      <c r="Q107" s="184"/>
      <c r="R107" s="184"/>
      <c r="S107" s="184"/>
      <c r="T107" s="184"/>
      <c r="U107" s="184"/>
      <c r="V107" s="184"/>
      <c r="W107" s="184"/>
      <c r="X107" s="184"/>
    </row>
    <row r="108" spans="11:24">
      <c r="M108" s="184"/>
      <c r="N108" s="184"/>
      <c r="O108" s="184"/>
      <c r="P108" s="184"/>
      <c r="Q108" s="184"/>
      <c r="R108" s="184"/>
      <c r="S108" s="184"/>
      <c r="T108" s="184"/>
      <c r="U108" s="184"/>
      <c r="V108" s="184"/>
      <c r="W108" s="184"/>
      <c r="X108" s="184"/>
    </row>
    <row r="109" spans="11:24">
      <c r="M109" s="184"/>
      <c r="N109" s="184"/>
      <c r="O109" s="184"/>
      <c r="P109" s="184"/>
      <c r="Q109" s="184"/>
      <c r="R109" s="184"/>
      <c r="S109" s="184"/>
      <c r="T109" s="184"/>
      <c r="U109" s="184"/>
      <c r="V109" s="184"/>
      <c r="W109" s="184"/>
      <c r="X109" s="184"/>
    </row>
    <row r="110" spans="11:24">
      <c r="M110" s="184"/>
      <c r="N110" s="184"/>
      <c r="O110" s="184"/>
      <c r="P110" s="184"/>
      <c r="Q110" s="184"/>
      <c r="R110" s="184"/>
      <c r="S110" s="184"/>
      <c r="T110" s="184"/>
      <c r="U110" s="184"/>
      <c r="V110" s="184"/>
      <c r="W110" s="184"/>
      <c r="X110" s="184"/>
    </row>
    <row r="111" spans="11:24">
      <c r="M111" s="184"/>
      <c r="N111" s="184"/>
      <c r="O111" s="184"/>
      <c r="P111" s="184"/>
      <c r="Q111" s="184"/>
      <c r="R111" s="184"/>
      <c r="S111" s="184"/>
      <c r="T111" s="184"/>
      <c r="U111" s="184"/>
      <c r="V111" s="184"/>
      <c r="W111" s="184"/>
      <c r="X111" s="184"/>
    </row>
    <row r="112" spans="11:24">
      <c r="M112" s="184"/>
      <c r="N112" s="184"/>
      <c r="O112" s="184"/>
      <c r="P112" s="184"/>
      <c r="Q112" s="184"/>
      <c r="R112" s="184"/>
      <c r="S112" s="184"/>
      <c r="T112" s="184"/>
      <c r="U112" s="184"/>
      <c r="V112" s="184"/>
      <c r="W112" s="184"/>
      <c r="X112" s="184"/>
    </row>
    <row r="113" spans="13:24">
      <c r="M113" s="184"/>
      <c r="N113" s="184"/>
      <c r="O113" s="184"/>
      <c r="P113" s="184"/>
      <c r="Q113" s="184"/>
      <c r="R113" s="184"/>
      <c r="S113" s="184"/>
      <c r="T113" s="184"/>
      <c r="U113" s="184"/>
      <c r="V113" s="184"/>
      <c r="W113" s="184"/>
      <c r="X113" s="184"/>
    </row>
    <row r="114" spans="13:24">
      <c r="M114" s="184"/>
      <c r="N114" s="184"/>
      <c r="O114" s="184"/>
      <c r="P114" s="184"/>
      <c r="Q114" s="184"/>
      <c r="R114" s="184"/>
      <c r="S114" s="184"/>
      <c r="T114" s="184"/>
      <c r="U114" s="184"/>
      <c r="V114" s="184"/>
      <c r="W114" s="184"/>
      <c r="X114" s="184"/>
    </row>
    <row r="115" spans="13:24">
      <c r="M115" s="184"/>
      <c r="N115" s="184"/>
      <c r="O115" s="184"/>
      <c r="P115" s="184"/>
      <c r="Q115" s="184"/>
      <c r="R115" s="184"/>
      <c r="S115" s="184"/>
      <c r="T115" s="184"/>
      <c r="U115" s="184"/>
      <c r="V115" s="184"/>
      <c r="W115" s="184"/>
      <c r="X115" s="184"/>
    </row>
    <row r="116" spans="13:24">
      <c r="M116" s="184"/>
      <c r="N116" s="184"/>
      <c r="O116" s="184"/>
      <c r="P116" s="184"/>
      <c r="Q116" s="184"/>
      <c r="R116" s="184"/>
      <c r="S116" s="184"/>
      <c r="T116" s="184"/>
      <c r="U116" s="184"/>
      <c r="V116" s="184"/>
      <c r="W116" s="184"/>
      <c r="X116" s="184"/>
    </row>
    <row r="117" spans="13:24">
      <c r="M117" s="184"/>
      <c r="N117" s="184"/>
      <c r="O117" s="184"/>
      <c r="P117" s="184"/>
      <c r="Q117" s="184"/>
      <c r="R117" s="184"/>
      <c r="S117" s="184"/>
      <c r="T117" s="184"/>
      <c r="U117" s="184"/>
      <c r="V117" s="184"/>
      <c r="W117" s="184"/>
      <c r="X117" s="184"/>
    </row>
    <row r="118" spans="13:24">
      <c r="M118" s="184"/>
      <c r="N118" s="184"/>
      <c r="O118" s="184"/>
      <c r="P118" s="184"/>
      <c r="Q118" s="184"/>
      <c r="R118" s="184"/>
      <c r="S118" s="184"/>
      <c r="T118" s="184"/>
      <c r="U118" s="184"/>
      <c r="V118" s="184"/>
      <c r="W118" s="184"/>
      <c r="X118" s="184"/>
    </row>
    <row r="119" spans="13:24">
      <c r="M119" s="184"/>
      <c r="N119" s="184"/>
      <c r="O119" s="184"/>
      <c r="P119" s="184"/>
      <c r="Q119" s="184"/>
      <c r="R119" s="184"/>
      <c r="S119" s="184"/>
      <c r="T119" s="184"/>
      <c r="U119" s="184"/>
      <c r="V119" s="184"/>
      <c r="W119" s="184"/>
      <c r="X119" s="184"/>
    </row>
    <row r="120" spans="13:24">
      <c r="M120" s="184"/>
      <c r="N120" s="184"/>
      <c r="O120" s="184"/>
      <c r="P120" s="184"/>
      <c r="Q120" s="184"/>
      <c r="R120" s="184"/>
      <c r="S120" s="184"/>
      <c r="T120" s="184"/>
      <c r="U120" s="184"/>
      <c r="V120" s="184"/>
      <c r="W120" s="184"/>
      <c r="X120" s="184"/>
    </row>
    <row r="121" spans="13:24">
      <c r="M121" s="184"/>
      <c r="N121" s="184"/>
      <c r="O121" s="184"/>
      <c r="P121" s="184"/>
      <c r="Q121" s="184"/>
      <c r="R121" s="184"/>
      <c r="S121" s="184"/>
      <c r="T121" s="184"/>
      <c r="U121" s="184"/>
      <c r="V121" s="184"/>
      <c r="W121" s="184"/>
      <c r="X121" s="184"/>
    </row>
    <row r="122" spans="13:24">
      <c r="M122" s="184"/>
      <c r="N122" s="184"/>
      <c r="O122" s="184"/>
      <c r="P122" s="184"/>
      <c r="Q122" s="184"/>
      <c r="R122" s="184"/>
      <c r="S122" s="184"/>
      <c r="T122" s="184"/>
      <c r="U122" s="184"/>
      <c r="V122" s="184"/>
      <c r="W122" s="184"/>
      <c r="X122" s="184"/>
    </row>
    <row r="123" spans="13:24">
      <c r="M123" s="184"/>
      <c r="N123" s="184"/>
      <c r="O123" s="184"/>
      <c r="P123" s="184"/>
      <c r="Q123" s="184"/>
      <c r="R123" s="184"/>
      <c r="S123" s="184"/>
      <c r="T123" s="184"/>
      <c r="U123" s="184"/>
      <c r="V123" s="184"/>
      <c r="W123" s="184"/>
      <c r="X123" s="184"/>
    </row>
    <row r="124" spans="13:24">
      <c r="M124" s="184"/>
      <c r="N124" s="184"/>
      <c r="O124" s="184"/>
      <c r="P124" s="184"/>
      <c r="Q124" s="184"/>
      <c r="R124" s="184"/>
      <c r="S124" s="184"/>
      <c r="T124" s="184"/>
      <c r="U124" s="184"/>
      <c r="V124" s="184"/>
      <c r="W124" s="184"/>
      <c r="X124" s="184"/>
    </row>
    <row r="125" spans="13:24">
      <c r="M125" s="184"/>
      <c r="N125" s="184"/>
      <c r="O125" s="184"/>
      <c r="P125" s="184"/>
      <c r="Q125" s="184"/>
      <c r="R125" s="184"/>
      <c r="S125" s="184"/>
      <c r="T125" s="184"/>
      <c r="U125" s="184"/>
      <c r="V125" s="184"/>
      <c r="W125" s="184"/>
      <c r="X125" s="184"/>
    </row>
    <row r="126" spans="13:24">
      <c r="M126" s="184"/>
      <c r="N126" s="184"/>
      <c r="O126" s="184"/>
      <c r="P126" s="184"/>
      <c r="Q126" s="184"/>
      <c r="R126" s="184"/>
      <c r="S126" s="184"/>
      <c r="T126" s="184"/>
      <c r="U126" s="184"/>
      <c r="V126" s="184"/>
      <c r="W126" s="184"/>
      <c r="X126" s="184"/>
    </row>
    <row r="127" spans="13:24">
      <c r="M127" s="184"/>
      <c r="N127" s="184"/>
      <c r="O127" s="184"/>
      <c r="P127" s="184"/>
      <c r="Q127" s="184"/>
      <c r="R127" s="184"/>
      <c r="S127" s="184"/>
      <c r="T127" s="184"/>
      <c r="U127" s="184"/>
      <c r="V127" s="184"/>
      <c r="W127" s="184"/>
      <c r="X127" s="184"/>
    </row>
    <row r="128" spans="13:24">
      <c r="M128" s="184"/>
      <c r="N128" s="184"/>
      <c r="O128" s="184"/>
      <c r="P128" s="184"/>
      <c r="Q128" s="184"/>
      <c r="R128" s="184"/>
      <c r="S128" s="184"/>
      <c r="T128" s="184"/>
      <c r="U128" s="184"/>
      <c r="V128" s="184"/>
      <c r="W128" s="184"/>
      <c r="X128" s="184"/>
    </row>
    <row r="129" spans="3:24">
      <c r="M129" s="184"/>
      <c r="N129" s="184"/>
      <c r="O129" s="184"/>
      <c r="P129" s="184"/>
      <c r="Q129" s="184"/>
      <c r="R129" s="184"/>
      <c r="S129" s="184"/>
      <c r="T129" s="184"/>
      <c r="U129" s="184"/>
      <c r="V129" s="184"/>
      <c r="W129" s="184"/>
      <c r="X129" s="184"/>
    </row>
    <row r="130" spans="3:24">
      <c r="C130" s="184"/>
      <c r="D130" s="184"/>
      <c r="E130" s="184"/>
      <c r="F130" s="184"/>
      <c r="G130" s="184"/>
      <c r="H130" s="184"/>
      <c r="I130" s="184"/>
      <c r="J130" s="184"/>
      <c r="K130" s="184"/>
      <c r="L130" s="184"/>
      <c r="M130" s="184"/>
      <c r="N130" s="184"/>
      <c r="O130" s="184"/>
    </row>
    <row r="131" spans="3:24">
      <c r="C131" s="184"/>
      <c r="D131" s="184"/>
      <c r="E131" s="184"/>
      <c r="F131" s="184"/>
      <c r="G131" s="184"/>
      <c r="H131" s="184"/>
      <c r="I131" s="184"/>
      <c r="J131" s="184"/>
      <c r="K131" s="184"/>
      <c r="L131" s="184"/>
      <c r="M131" s="184"/>
      <c r="N131" s="184"/>
      <c r="O131" s="184"/>
    </row>
    <row r="132" spans="3:24">
      <c r="C132" s="184"/>
      <c r="D132" s="184"/>
      <c r="E132" s="184"/>
      <c r="F132" s="184"/>
      <c r="G132" s="184"/>
      <c r="H132" s="184"/>
      <c r="I132" s="184"/>
      <c r="J132" s="184"/>
      <c r="K132" s="184"/>
      <c r="L132" s="184"/>
      <c r="M132" s="184"/>
      <c r="N132" s="184"/>
      <c r="O132" s="184"/>
    </row>
    <row r="133" spans="3:24">
      <c r="C133" s="184"/>
      <c r="D133" s="184"/>
      <c r="E133" s="184"/>
      <c r="F133" s="184"/>
      <c r="G133" s="184"/>
      <c r="H133" s="184"/>
      <c r="I133" s="184"/>
      <c r="J133" s="184"/>
      <c r="K133" s="184"/>
      <c r="L133" s="184"/>
      <c r="M133" s="184"/>
      <c r="N133" s="184"/>
      <c r="O133" s="184"/>
    </row>
    <row r="134" spans="3:24">
      <c r="C134" s="184"/>
      <c r="D134" s="184"/>
      <c r="E134" s="184"/>
      <c r="F134" s="184"/>
      <c r="G134" s="184"/>
      <c r="H134" s="184"/>
      <c r="I134" s="184"/>
      <c r="J134" s="184"/>
      <c r="K134" s="184"/>
      <c r="L134" s="184"/>
      <c r="M134" s="184"/>
      <c r="N134" s="184"/>
      <c r="O134" s="184"/>
    </row>
    <row r="135" spans="3:24">
      <c r="C135" s="184"/>
      <c r="D135" s="184"/>
      <c r="E135" s="184"/>
      <c r="F135" s="184"/>
      <c r="G135" s="184"/>
      <c r="H135" s="184"/>
      <c r="I135" s="184"/>
      <c r="J135" s="184"/>
      <c r="K135" s="184"/>
      <c r="L135" s="184"/>
      <c r="M135" s="184"/>
      <c r="N135" s="184"/>
      <c r="O135" s="184"/>
    </row>
    <row r="136" spans="3:24">
      <c r="C136" s="184"/>
      <c r="D136" s="184"/>
      <c r="E136" s="184"/>
      <c r="F136" s="184"/>
      <c r="G136" s="184"/>
      <c r="H136" s="184"/>
      <c r="I136" s="184"/>
      <c r="J136" s="184"/>
      <c r="K136" s="184"/>
      <c r="L136" s="184"/>
      <c r="M136" s="184"/>
      <c r="N136" s="184"/>
      <c r="O136" s="184"/>
    </row>
    <row r="137" spans="3:24">
      <c r="C137" s="184"/>
      <c r="D137" s="184"/>
      <c r="E137" s="184"/>
      <c r="F137" s="184"/>
      <c r="G137" s="184"/>
      <c r="H137" s="184"/>
      <c r="I137" s="184"/>
      <c r="J137" s="184"/>
      <c r="K137" s="184"/>
      <c r="L137" s="184"/>
      <c r="M137" s="184"/>
      <c r="N137" s="184"/>
      <c r="O137" s="184"/>
    </row>
    <row r="138" spans="3:24">
      <c r="C138" s="184"/>
      <c r="D138" s="184"/>
      <c r="E138" s="184"/>
      <c r="F138" s="184"/>
      <c r="G138" s="184"/>
      <c r="H138" s="184"/>
      <c r="I138" s="184"/>
      <c r="J138" s="184"/>
      <c r="K138" s="184"/>
      <c r="L138" s="184"/>
      <c r="M138" s="184"/>
      <c r="N138" s="184"/>
      <c r="O138" s="184"/>
    </row>
    <row r="139" spans="3:24">
      <c r="C139" s="184"/>
      <c r="D139" s="184"/>
      <c r="E139" s="184"/>
      <c r="F139" s="184"/>
      <c r="G139" s="184"/>
      <c r="H139" s="184"/>
      <c r="I139" s="184"/>
      <c r="J139" s="184"/>
      <c r="K139" s="184"/>
      <c r="L139" s="184"/>
      <c r="M139" s="184"/>
      <c r="N139" s="184"/>
      <c r="O139" s="184"/>
    </row>
    <row r="140" spans="3:24">
      <c r="C140" s="184"/>
      <c r="D140" s="184"/>
      <c r="E140" s="184"/>
      <c r="F140" s="184"/>
      <c r="G140" s="184"/>
      <c r="H140" s="184"/>
      <c r="I140" s="184"/>
      <c r="J140" s="184"/>
      <c r="K140" s="184"/>
      <c r="L140" s="184"/>
      <c r="M140" s="184"/>
      <c r="N140" s="184"/>
      <c r="O140" s="184"/>
    </row>
    <row r="141" spans="3:24">
      <c r="C141" s="184"/>
      <c r="D141" s="184"/>
      <c r="E141" s="184"/>
      <c r="F141" s="184"/>
      <c r="G141" s="184"/>
      <c r="H141" s="184"/>
      <c r="I141" s="184"/>
      <c r="J141" s="184"/>
      <c r="K141" s="184"/>
      <c r="L141" s="184"/>
      <c r="M141" s="184"/>
      <c r="N141" s="184"/>
      <c r="O141" s="184"/>
    </row>
    <row r="142" spans="3:24">
      <c r="C142" s="184"/>
      <c r="D142" s="184"/>
      <c r="E142" s="184"/>
      <c r="F142" s="184"/>
      <c r="G142" s="184"/>
      <c r="H142" s="184"/>
      <c r="I142" s="184"/>
      <c r="J142" s="184"/>
      <c r="K142" s="184"/>
      <c r="L142" s="184"/>
      <c r="M142" s="184"/>
      <c r="N142" s="184"/>
      <c r="O142" s="184"/>
    </row>
    <row r="143" spans="3:24">
      <c r="C143" s="184"/>
      <c r="D143" s="184"/>
      <c r="E143" s="184"/>
      <c r="F143" s="184"/>
      <c r="G143" s="184"/>
      <c r="H143" s="184"/>
      <c r="I143" s="184"/>
      <c r="J143" s="184"/>
      <c r="K143" s="184"/>
      <c r="L143" s="184"/>
      <c r="M143" s="184"/>
      <c r="N143" s="184"/>
      <c r="O143" s="184"/>
    </row>
    <row r="144" spans="3:24">
      <c r="C144" s="184"/>
      <c r="D144" s="184"/>
      <c r="E144" s="184"/>
      <c r="F144" s="184"/>
      <c r="G144" s="184"/>
      <c r="H144" s="184"/>
      <c r="I144" s="184"/>
      <c r="J144" s="184"/>
      <c r="K144" s="184"/>
      <c r="L144" s="184"/>
      <c r="M144" s="184"/>
      <c r="N144" s="184"/>
      <c r="O144" s="184"/>
    </row>
    <row r="145" spans="3:15">
      <c r="C145" s="184"/>
      <c r="D145" s="184"/>
      <c r="E145" s="184"/>
      <c r="F145" s="184"/>
      <c r="G145" s="184"/>
      <c r="H145" s="184"/>
      <c r="I145" s="184"/>
      <c r="J145" s="184"/>
      <c r="K145" s="184"/>
      <c r="L145" s="184"/>
      <c r="M145" s="184"/>
      <c r="N145" s="184"/>
      <c r="O145" s="184"/>
    </row>
    <row r="146" spans="3:15">
      <c r="C146" s="184"/>
      <c r="D146" s="184"/>
      <c r="E146" s="184"/>
      <c r="F146" s="184"/>
      <c r="G146" s="184"/>
      <c r="H146" s="184"/>
      <c r="I146" s="184"/>
      <c r="J146" s="184"/>
      <c r="K146" s="184"/>
      <c r="L146" s="184"/>
      <c r="M146" s="184"/>
      <c r="N146" s="184"/>
      <c r="O146" s="184"/>
    </row>
    <row r="147" spans="3:15">
      <c r="C147" s="184"/>
      <c r="D147" s="184"/>
      <c r="E147" s="184"/>
      <c r="F147" s="184"/>
      <c r="G147" s="184"/>
      <c r="H147" s="184"/>
      <c r="I147" s="184"/>
      <c r="J147" s="184"/>
      <c r="K147" s="184"/>
      <c r="L147" s="184"/>
      <c r="M147" s="184"/>
      <c r="N147" s="184"/>
      <c r="O147" s="184"/>
    </row>
    <row r="148" spans="3:15">
      <c r="C148" s="184"/>
      <c r="D148" s="184"/>
      <c r="E148" s="184"/>
      <c r="F148" s="184"/>
      <c r="G148" s="184"/>
      <c r="H148" s="184"/>
      <c r="I148" s="184"/>
      <c r="J148" s="184"/>
      <c r="K148" s="184"/>
      <c r="L148" s="184"/>
      <c r="M148" s="184"/>
      <c r="N148" s="184"/>
      <c r="O148" s="184"/>
    </row>
    <row r="149" spans="3:15">
      <c r="C149" s="184"/>
      <c r="D149" s="184"/>
      <c r="E149" s="184"/>
      <c r="F149" s="184"/>
      <c r="G149" s="184"/>
      <c r="H149" s="184"/>
      <c r="I149" s="184"/>
      <c r="J149" s="184"/>
      <c r="K149" s="184"/>
      <c r="L149" s="184"/>
      <c r="M149" s="184"/>
      <c r="N149" s="184"/>
      <c r="O149" s="184"/>
    </row>
    <row r="150" spans="3:15">
      <c r="C150" s="184"/>
      <c r="D150" s="184"/>
      <c r="E150" s="184"/>
      <c r="F150" s="184"/>
      <c r="G150" s="184"/>
      <c r="H150" s="184"/>
      <c r="I150" s="184"/>
      <c r="J150" s="184"/>
      <c r="K150" s="184"/>
      <c r="L150" s="184"/>
      <c r="M150" s="184"/>
      <c r="N150" s="184"/>
      <c r="O150" s="184"/>
    </row>
    <row r="151" spans="3:15">
      <c r="C151" s="184"/>
      <c r="D151" s="184"/>
      <c r="E151" s="184"/>
      <c r="F151" s="184"/>
      <c r="G151" s="184"/>
      <c r="H151" s="184"/>
      <c r="I151" s="184"/>
      <c r="J151" s="184"/>
      <c r="K151" s="184"/>
      <c r="L151" s="184"/>
      <c r="M151" s="184"/>
      <c r="N151" s="184"/>
      <c r="O151" s="184"/>
    </row>
    <row r="152" spans="3:15">
      <c r="C152" s="184"/>
      <c r="D152" s="184"/>
      <c r="E152" s="184"/>
      <c r="F152" s="184"/>
      <c r="G152" s="184"/>
      <c r="H152" s="184"/>
      <c r="I152" s="184"/>
      <c r="J152" s="184"/>
      <c r="K152" s="184"/>
      <c r="L152" s="184"/>
      <c r="M152" s="184"/>
      <c r="N152" s="184"/>
      <c r="O152" s="184"/>
    </row>
    <row r="153" spans="3:15">
      <c r="C153" s="184"/>
      <c r="D153" s="184"/>
      <c r="E153" s="184"/>
      <c r="F153" s="184"/>
      <c r="G153" s="184"/>
      <c r="H153" s="184"/>
      <c r="I153" s="184"/>
      <c r="J153" s="184"/>
      <c r="K153" s="184"/>
      <c r="L153" s="184"/>
      <c r="M153" s="184"/>
      <c r="N153" s="184"/>
      <c r="O153" s="184"/>
    </row>
    <row r="154" spans="3:15">
      <c r="C154" s="184"/>
      <c r="D154" s="184"/>
      <c r="E154" s="184"/>
      <c r="F154" s="184"/>
      <c r="G154" s="184"/>
      <c r="H154" s="184"/>
      <c r="I154" s="184"/>
      <c r="J154" s="184"/>
      <c r="K154" s="184"/>
      <c r="L154" s="184"/>
      <c r="M154" s="184"/>
      <c r="N154" s="184"/>
      <c r="O154" s="184"/>
    </row>
    <row r="155" spans="3:15">
      <c r="C155" s="184"/>
      <c r="D155" s="184"/>
      <c r="E155" s="184"/>
      <c r="F155" s="184"/>
      <c r="G155" s="184"/>
      <c r="H155" s="184"/>
      <c r="I155" s="184"/>
      <c r="J155" s="184"/>
      <c r="K155" s="184"/>
      <c r="L155" s="184"/>
      <c r="M155" s="184"/>
      <c r="N155" s="184"/>
      <c r="O155" s="184"/>
    </row>
    <row r="156" spans="3:15">
      <c r="C156" s="184"/>
      <c r="D156" s="184"/>
      <c r="E156" s="184"/>
      <c r="F156" s="184"/>
      <c r="G156" s="184"/>
      <c r="H156" s="184"/>
      <c r="I156" s="184"/>
      <c r="J156" s="184"/>
      <c r="K156" s="184"/>
      <c r="L156" s="184"/>
      <c r="M156" s="184"/>
      <c r="N156" s="184"/>
      <c r="O156" s="184"/>
    </row>
    <row r="157" spans="3:15">
      <c r="C157" s="184"/>
      <c r="D157" s="184"/>
      <c r="E157" s="184"/>
      <c r="F157" s="184"/>
      <c r="G157" s="184"/>
      <c r="H157" s="184"/>
      <c r="I157" s="184"/>
      <c r="J157" s="184"/>
      <c r="K157" s="184"/>
      <c r="L157" s="184"/>
      <c r="M157" s="184"/>
      <c r="N157" s="184"/>
      <c r="O157" s="184"/>
    </row>
    <row r="158" spans="3:15">
      <c r="C158" s="184"/>
      <c r="D158" s="184"/>
      <c r="E158" s="184"/>
      <c r="F158" s="184"/>
      <c r="G158" s="184"/>
      <c r="H158" s="184"/>
      <c r="I158" s="184"/>
      <c r="J158" s="184"/>
      <c r="K158" s="184"/>
      <c r="L158" s="184"/>
      <c r="M158" s="184"/>
      <c r="N158" s="184"/>
      <c r="O158" s="184"/>
    </row>
    <row r="159" spans="3:15">
      <c r="C159" s="184"/>
      <c r="D159" s="184"/>
      <c r="E159" s="184"/>
      <c r="F159" s="184"/>
      <c r="G159" s="184"/>
      <c r="H159" s="184"/>
      <c r="I159" s="184"/>
      <c r="J159" s="184"/>
      <c r="K159" s="184"/>
      <c r="L159" s="184"/>
      <c r="M159" s="184"/>
      <c r="N159" s="184"/>
      <c r="O159" s="184"/>
    </row>
    <row r="160" spans="3:15">
      <c r="C160" s="184"/>
      <c r="D160" s="184"/>
      <c r="E160" s="184"/>
      <c r="F160" s="184"/>
      <c r="G160" s="184"/>
      <c r="H160" s="184"/>
      <c r="I160" s="184"/>
      <c r="J160" s="184"/>
      <c r="K160" s="184"/>
      <c r="L160" s="184"/>
      <c r="M160" s="184"/>
      <c r="N160" s="184"/>
      <c r="O160" s="184"/>
    </row>
    <row r="161" spans="3:15">
      <c r="C161" s="184"/>
      <c r="D161" s="184"/>
      <c r="E161" s="184"/>
      <c r="F161" s="184"/>
      <c r="G161" s="184"/>
      <c r="H161" s="184"/>
      <c r="I161" s="184"/>
      <c r="J161" s="184"/>
      <c r="K161" s="184"/>
      <c r="L161" s="184"/>
      <c r="M161" s="184"/>
      <c r="N161" s="184"/>
      <c r="O161" s="184"/>
    </row>
    <row r="162" spans="3:15">
      <c r="C162" s="184"/>
      <c r="D162" s="184"/>
      <c r="E162" s="184"/>
      <c r="F162" s="184"/>
      <c r="G162" s="184"/>
      <c r="H162" s="184"/>
      <c r="I162" s="184"/>
      <c r="J162" s="184"/>
      <c r="K162" s="184"/>
      <c r="L162" s="184"/>
      <c r="M162" s="184"/>
      <c r="N162" s="184"/>
      <c r="O162" s="184"/>
    </row>
    <row r="163" spans="3:15">
      <c r="C163" s="184"/>
      <c r="D163" s="184"/>
      <c r="E163" s="184"/>
      <c r="F163" s="184"/>
      <c r="G163" s="184"/>
      <c r="H163" s="184"/>
      <c r="I163" s="184"/>
      <c r="J163" s="184"/>
      <c r="K163" s="184"/>
      <c r="L163" s="184"/>
      <c r="M163" s="184"/>
      <c r="N163" s="184"/>
      <c r="O163" s="184"/>
    </row>
    <row r="164" spans="3:15">
      <c r="C164" s="184"/>
      <c r="D164" s="184"/>
      <c r="E164" s="184"/>
      <c r="F164" s="184"/>
      <c r="G164" s="184"/>
      <c r="H164" s="184"/>
      <c r="I164" s="184"/>
      <c r="J164" s="184"/>
      <c r="K164" s="184"/>
      <c r="L164" s="184"/>
      <c r="M164" s="184"/>
      <c r="N164" s="184"/>
      <c r="O164" s="184"/>
    </row>
    <row r="165" spans="3:15">
      <c r="C165" s="184"/>
      <c r="D165" s="184"/>
      <c r="E165" s="184"/>
      <c r="F165" s="184"/>
      <c r="G165" s="184"/>
      <c r="H165" s="184"/>
      <c r="I165" s="184"/>
      <c r="J165" s="184"/>
      <c r="K165" s="184"/>
      <c r="L165" s="184"/>
      <c r="M165" s="184"/>
      <c r="N165" s="184"/>
      <c r="O165" s="184"/>
    </row>
    <row r="166" spans="3:15">
      <c r="C166" s="184"/>
      <c r="D166" s="184"/>
      <c r="E166" s="184"/>
      <c r="F166" s="184"/>
      <c r="G166" s="184"/>
      <c r="H166" s="184"/>
      <c r="I166" s="184"/>
      <c r="J166" s="184"/>
      <c r="K166" s="184"/>
      <c r="L166" s="184"/>
      <c r="M166" s="184"/>
      <c r="N166" s="184"/>
      <c r="O166" s="184"/>
    </row>
    <row r="167" spans="3:15">
      <c r="C167" s="184"/>
      <c r="D167" s="184"/>
      <c r="E167" s="184"/>
      <c r="F167" s="184"/>
      <c r="G167" s="184"/>
      <c r="H167" s="184"/>
      <c r="I167" s="184"/>
      <c r="J167" s="184"/>
      <c r="K167" s="184"/>
      <c r="L167" s="184"/>
      <c r="M167" s="184"/>
      <c r="N167" s="184"/>
      <c r="O167" s="184"/>
    </row>
    <row r="168" spans="3:15">
      <c r="C168" s="184"/>
      <c r="D168" s="184"/>
      <c r="E168" s="184"/>
      <c r="F168" s="184"/>
      <c r="G168" s="184"/>
      <c r="H168" s="184"/>
      <c r="I168" s="184"/>
      <c r="J168" s="184"/>
      <c r="K168" s="184"/>
      <c r="L168" s="184"/>
      <c r="M168" s="184"/>
      <c r="N168" s="184"/>
      <c r="O168" s="184"/>
    </row>
    <row r="169" spans="3:15">
      <c r="C169" s="184"/>
      <c r="D169" s="184"/>
      <c r="E169" s="184"/>
      <c r="F169" s="184"/>
      <c r="G169" s="184"/>
      <c r="H169" s="184"/>
      <c r="I169" s="184"/>
      <c r="J169" s="184"/>
      <c r="K169" s="184"/>
      <c r="L169" s="184"/>
      <c r="M169" s="184"/>
      <c r="N169" s="184"/>
      <c r="O169" s="184"/>
    </row>
    <row r="170" spans="3:15">
      <c r="C170" s="184"/>
      <c r="D170" s="184"/>
      <c r="E170" s="184"/>
      <c r="F170" s="184"/>
      <c r="G170" s="184"/>
      <c r="H170" s="184"/>
      <c r="I170" s="184"/>
      <c r="J170" s="184"/>
      <c r="K170" s="184"/>
      <c r="L170" s="184"/>
      <c r="M170" s="184"/>
      <c r="N170" s="184"/>
      <c r="O170" s="184"/>
    </row>
    <row r="171" spans="3:15">
      <c r="C171" s="184"/>
      <c r="D171" s="184"/>
      <c r="E171" s="184"/>
      <c r="F171" s="184"/>
      <c r="G171" s="184"/>
      <c r="H171" s="184"/>
      <c r="I171" s="184"/>
      <c r="J171" s="184"/>
      <c r="K171" s="184"/>
      <c r="L171" s="184"/>
      <c r="M171" s="184"/>
      <c r="N171" s="184"/>
      <c r="O171" s="184"/>
    </row>
    <row r="172" spans="3:15">
      <c r="C172" s="184"/>
      <c r="D172" s="184"/>
      <c r="E172" s="184"/>
      <c r="F172" s="184"/>
      <c r="G172" s="184"/>
      <c r="H172" s="184"/>
      <c r="I172" s="184"/>
      <c r="J172" s="184"/>
      <c r="K172" s="184"/>
      <c r="L172" s="184"/>
      <c r="M172" s="184"/>
      <c r="N172" s="184"/>
      <c r="O172" s="184"/>
    </row>
    <row r="173" spans="3:15">
      <c r="C173" s="184"/>
      <c r="D173" s="184"/>
      <c r="E173" s="184"/>
      <c r="F173" s="184"/>
      <c r="G173" s="184"/>
      <c r="H173" s="184"/>
      <c r="I173" s="184"/>
      <c r="J173" s="184"/>
      <c r="K173" s="184"/>
      <c r="L173" s="184"/>
      <c r="M173" s="184"/>
      <c r="N173" s="184"/>
      <c r="O173" s="184"/>
    </row>
    <row r="174" spans="3:15">
      <c r="C174" s="184"/>
      <c r="D174" s="184"/>
      <c r="E174" s="184"/>
      <c r="F174" s="184"/>
      <c r="G174" s="184"/>
      <c r="H174" s="184"/>
      <c r="I174" s="184"/>
      <c r="J174" s="184"/>
      <c r="K174" s="184"/>
      <c r="L174" s="184"/>
      <c r="M174" s="184"/>
      <c r="N174" s="184"/>
      <c r="O174" s="184"/>
    </row>
    <row r="175" spans="3:15">
      <c r="C175" s="184"/>
      <c r="D175" s="184"/>
      <c r="E175" s="184"/>
      <c r="F175" s="184"/>
      <c r="G175" s="184"/>
      <c r="H175" s="184"/>
      <c r="I175" s="184"/>
      <c r="J175" s="184"/>
      <c r="K175" s="184"/>
      <c r="L175" s="184"/>
      <c r="M175" s="184"/>
      <c r="N175" s="184"/>
      <c r="O175" s="184"/>
    </row>
    <row r="176" spans="3:15">
      <c r="C176" s="184"/>
      <c r="D176" s="184"/>
      <c r="E176" s="184"/>
      <c r="F176" s="184"/>
      <c r="G176" s="184"/>
      <c r="H176" s="184"/>
      <c r="I176" s="184"/>
      <c r="J176" s="184"/>
      <c r="K176" s="184"/>
      <c r="L176" s="184"/>
      <c r="M176" s="184"/>
      <c r="N176" s="184"/>
      <c r="O176" s="184"/>
    </row>
    <row r="177" spans="3:15">
      <c r="C177" s="184"/>
      <c r="D177" s="184"/>
      <c r="E177" s="184"/>
      <c r="F177" s="184"/>
      <c r="G177" s="184"/>
      <c r="H177" s="184"/>
      <c r="I177" s="184"/>
      <c r="J177" s="184"/>
      <c r="K177" s="184"/>
      <c r="L177" s="184"/>
      <c r="M177" s="184"/>
      <c r="N177" s="184"/>
      <c r="O177" s="184"/>
    </row>
    <row r="178" spans="3:15">
      <c r="C178" s="184"/>
      <c r="D178" s="184"/>
      <c r="E178" s="184"/>
      <c r="F178" s="184"/>
      <c r="G178" s="184"/>
      <c r="H178" s="184"/>
      <c r="I178" s="184"/>
      <c r="J178" s="184"/>
      <c r="K178" s="184"/>
      <c r="L178" s="184"/>
      <c r="M178" s="184"/>
      <c r="N178" s="184"/>
      <c r="O178" s="184"/>
    </row>
    <row r="179" spans="3:15">
      <c r="C179" s="184"/>
      <c r="D179" s="184"/>
      <c r="E179" s="184"/>
      <c r="F179" s="184"/>
      <c r="G179" s="184"/>
      <c r="H179" s="184"/>
      <c r="I179" s="184"/>
      <c r="J179" s="184"/>
      <c r="K179" s="184"/>
      <c r="L179" s="184"/>
      <c r="M179" s="184"/>
      <c r="N179" s="184"/>
      <c r="O179" s="184"/>
    </row>
    <row r="180" spans="3:15">
      <c r="C180" s="184"/>
      <c r="D180" s="184"/>
      <c r="E180" s="184"/>
      <c r="F180" s="184"/>
      <c r="G180" s="184"/>
      <c r="H180" s="184"/>
      <c r="I180" s="184"/>
      <c r="J180" s="184"/>
      <c r="K180" s="184"/>
      <c r="L180" s="184"/>
      <c r="M180" s="184"/>
      <c r="N180" s="184"/>
      <c r="O180" s="184"/>
    </row>
    <row r="181" spans="3:15">
      <c r="C181" s="184"/>
      <c r="D181" s="184"/>
      <c r="E181" s="184"/>
      <c r="F181" s="184"/>
      <c r="G181" s="184"/>
      <c r="H181" s="184"/>
      <c r="I181" s="184"/>
      <c r="J181" s="184"/>
      <c r="K181" s="184"/>
      <c r="L181" s="184"/>
      <c r="M181" s="184"/>
      <c r="N181" s="184"/>
      <c r="O181" s="184"/>
    </row>
    <row r="182" spans="3:15">
      <c r="C182" s="184"/>
      <c r="D182" s="184"/>
      <c r="E182" s="184"/>
      <c r="F182" s="184"/>
      <c r="G182" s="184"/>
      <c r="H182" s="184"/>
      <c r="I182" s="184"/>
      <c r="J182" s="184"/>
      <c r="K182" s="184"/>
      <c r="L182" s="184"/>
      <c r="M182" s="184"/>
      <c r="N182" s="184"/>
      <c r="O182" s="184"/>
    </row>
    <row r="183" spans="3:15">
      <c r="C183" s="184"/>
      <c r="D183" s="184"/>
      <c r="E183" s="184"/>
      <c r="F183" s="184"/>
      <c r="G183" s="184"/>
      <c r="H183" s="184"/>
      <c r="I183" s="184"/>
      <c r="J183" s="184"/>
      <c r="K183" s="184"/>
      <c r="L183" s="184"/>
      <c r="M183" s="184"/>
      <c r="N183" s="184"/>
      <c r="O183" s="184"/>
    </row>
    <row r="184" spans="3:15">
      <c r="C184" s="184"/>
      <c r="D184" s="184"/>
      <c r="E184" s="184"/>
      <c r="F184" s="184"/>
      <c r="G184" s="184"/>
      <c r="H184" s="184"/>
      <c r="I184" s="184"/>
      <c r="J184" s="184"/>
      <c r="K184" s="184"/>
      <c r="L184" s="184"/>
      <c r="M184" s="184"/>
      <c r="N184" s="184"/>
      <c r="O184" s="184"/>
    </row>
    <row r="185" spans="3:15">
      <c r="C185" s="184"/>
      <c r="D185" s="184"/>
      <c r="E185" s="184"/>
      <c r="F185" s="184"/>
      <c r="G185" s="184"/>
      <c r="H185" s="184"/>
      <c r="I185" s="184"/>
      <c r="J185" s="184"/>
      <c r="K185" s="184"/>
      <c r="L185" s="184"/>
      <c r="M185" s="184"/>
      <c r="N185" s="184"/>
      <c r="O185" s="184"/>
    </row>
    <row r="186" spans="3:15">
      <c r="C186" s="184"/>
      <c r="D186" s="184"/>
      <c r="E186" s="184"/>
      <c r="F186" s="184"/>
      <c r="G186" s="184"/>
      <c r="H186" s="184"/>
      <c r="I186" s="184"/>
      <c r="J186" s="184"/>
      <c r="K186" s="184"/>
      <c r="L186" s="184"/>
      <c r="M186" s="184"/>
      <c r="N186" s="184"/>
      <c r="O186" s="184"/>
    </row>
    <row r="187" spans="3:15">
      <c r="C187" s="184"/>
      <c r="D187" s="184"/>
      <c r="E187" s="184"/>
      <c r="F187" s="184"/>
      <c r="G187" s="184"/>
      <c r="H187" s="184"/>
      <c r="I187" s="184"/>
      <c r="J187" s="184"/>
      <c r="K187" s="184"/>
      <c r="L187" s="184"/>
      <c r="M187" s="184"/>
      <c r="N187" s="184"/>
      <c r="O187" s="184"/>
    </row>
    <row r="188" spans="3:15">
      <c r="C188" s="184"/>
      <c r="D188" s="184"/>
      <c r="E188" s="184"/>
      <c r="F188" s="184"/>
      <c r="G188" s="184"/>
      <c r="H188" s="184"/>
      <c r="I188" s="184"/>
      <c r="J188" s="184"/>
      <c r="K188" s="184"/>
      <c r="L188" s="184"/>
      <c r="M188" s="184"/>
      <c r="N188" s="184"/>
      <c r="O188" s="184"/>
    </row>
    <row r="189" spans="3:15">
      <c r="C189" s="184"/>
      <c r="D189" s="184"/>
      <c r="E189" s="184"/>
      <c r="F189" s="184"/>
      <c r="G189" s="184"/>
      <c r="H189" s="184"/>
      <c r="I189" s="184"/>
      <c r="J189" s="184"/>
      <c r="K189" s="184"/>
      <c r="L189" s="184"/>
      <c r="M189" s="184"/>
      <c r="N189" s="184"/>
      <c r="O189" s="184"/>
    </row>
    <row r="190" spans="3:15">
      <c r="C190" s="184"/>
      <c r="D190" s="184"/>
      <c r="E190" s="184"/>
      <c r="F190" s="184"/>
      <c r="G190" s="184"/>
      <c r="H190" s="184"/>
      <c r="I190" s="184"/>
      <c r="J190" s="184"/>
      <c r="K190" s="184"/>
      <c r="L190" s="184"/>
      <c r="M190" s="184"/>
      <c r="N190" s="184"/>
      <c r="O190" s="184"/>
    </row>
    <row r="191" spans="3:15">
      <c r="C191" s="184"/>
      <c r="D191" s="184"/>
      <c r="E191" s="184"/>
      <c r="F191" s="184"/>
      <c r="G191" s="184"/>
      <c r="H191" s="184"/>
      <c r="I191" s="184"/>
      <c r="J191" s="184"/>
      <c r="K191" s="184"/>
      <c r="L191" s="184"/>
      <c r="M191" s="184"/>
      <c r="N191" s="184"/>
      <c r="O191" s="184"/>
    </row>
    <row r="192" spans="3:15">
      <c r="C192" s="184"/>
      <c r="D192" s="184"/>
      <c r="E192" s="184"/>
      <c r="F192" s="184"/>
      <c r="G192" s="184"/>
      <c r="H192" s="184"/>
      <c r="I192" s="184"/>
      <c r="J192" s="184"/>
      <c r="K192" s="184"/>
      <c r="L192" s="184"/>
      <c r="M192" s="184"/>
      <c r="N192" s="184"/>
      <c r="O192" s="184"/>
    </row>
    <row r="193" spans="3:15">
      <c r="C193" s="184"/>
      <c r="D193" s="184"/>
      <c r="E193" s="184"/>
      <c r="F193" s="184"/>
      <c r="G193" s="184"/>
      <c r="H193" s="184"/>
      <c r="I193" s="184"/>
      <c r="J193" s="184"/>
      <c r="K193" s="184"/>
      <c r="L193" s="184"/>
      <c r="M193" s="184"/>
      <c r="N193" s="184"/>
      <c r="O193" s="184"/>
    </row>
    <row r="194" spans="3:15">
      <c r="C194" s="184"/>
      <c r="D194" s="184"/>
      <c r="E194" s="184"/>
      <c r="F194" s="184"/>
      <c r="G194" s="184"/>
      <c r="H194" s="184"/>
      <c r="I194" s="184"/>
      <c r="J194" s="184"/>
      <c r="K194" s="184"/>
      <c r="L194" s="184"/>
      <c r="M194" s="184"/>
      <c r="N194" s="184"/>
      <c r="O194" s="184"/>
    </row>
    <row r="195" spans="3:15">
      <c r="C195" s="184"/>
      <c r="D195" s="184"/>
      <c r="E195" s="184"/>
      <c r="F195" s="184"/>
      <c r="G195" s="184"/>
      <c r="H195" s="184"/>
      <c r="I195" s="184"/>
      <c r="J195" s="184"/>
      <c r="K195" s="184"/>
      <c r="L195" s="184"/>
      <c r="M195" s="184"/>
      <c r="N195" s="184"/>
      <c r="O195" s="184"/>
    </row>
    <row r="196" spans="3:15">
      <c r="C196" s="184"/>
      <c r="D196" s="184"/>
      <c r="E196" s="184"/>
      <c r="F196" s="184"/>
      <c r="G196" s="184"/>
      <c r="H196" s="184"/>
      <c r="I196" s="184"/>
      <c r="J196" s="184"/>
      <c r="K196" s="184"/>
      <c r="L196" s="184"/>
      <c r="M196" s="184"/>
      <c r="N196" s="184"/>
      <c r="O196" s="184"/>
    </row>
    <row r="197" spans="3:15">
      <c r="C197" s="184"/>
      <c r="D197" s="184"/>
      <c r="E197" s="184"/>
      <c r="F197" s="184"/>
      <c r="G197" s="184"/>
      <c r="H197" s="184"/>
      <c r="I197" s="184"/>
      <c r="J197" s="184"/>
      <c r="K197" s="184"/>
      <c r="L197" s="184"/>
      <c r="M197" s="184"/>
      <c r="N197" s="184"/>
      <c r="O197" s="184"/>
    </row>
    <row r="198" spans="3:15">
      <c r="C198" s="184"/>
      <c r="D198" s="184"/>
      <c r="E198" s="184"/>
      <c r="F198" s="184"/>
      <c r="G198" s="184"/>
      <c r="H198" s="184"/>
      <c r="I198" s="184"/>
      <c r="J198" s="184"/>
      <c r="K198" s="184"/>
      <c r="L198" s="184"/>
      <c r="M198" s="184"/>
      <c r="N198" s="184"/>
      <c r="O198" s="184"/>
    </row>
    <row r="199" spans="3:15">
      <c r="C199" s="184"/>
      <c r="D199" s="184"/>
      <c r="E199" s="184"/>
      <c r="F199" s="184"/>
      <c r="G199" s="184"/>
      <c r="H199" s="184"/>
      <c r="I199" s="184"/>
      <c r="J199" s="184"/>
      <c r="K199" s="184"/>
      <c r="L199" s="184"/>
      <c r="M199" s="184"/>
      <c r="N199" s="184"/>
      <c r="O199" s="184"/>
    </row>
    <row r="200" spans="3:15">
      <c r="C200" s="184"/>
      <c r="D200" s="184"/>
      <c r="E200" s="184"/>
      <c r="F200" s="184"/>
      <c r="G200" s="184"/>
      <c r="H200" s="184"/>
      <c r="I200" s="184"/>
      <c r="J200" s="184"/>
      <c r="K200" s="184"/>
      <c r="L200" s="184"/>
      <c r="M200" s="184"/>
      <c r="N200" s="184"/>
      <c r="O200" s="184"/>
    </row>
    <row r="201" spans="3:15">
      <c r="C201" s="184"/>
      <c r="D201" s="184"/>
      <c r="E201" s="184"/>
      <c r="F201" s="184"/>
      <c r="G201" s="184"/>
      <c r="H201" s="184"/>
      <c r="I201" s="184"/>
      <c r="J201" s="184"/>
      <c r="K201" s="184"/>
      <c r="L201" s="184"/>
      <c r="M201" s="184"/>
      <c r="N201" s="184"/>
      <c r="O201" s="184"/>
    </row>
    <row r="202" spans="3:15">
      <c r="C202" s="184"/>
      <c r="D202" s="184"/>
      <c r="E202" s="184"/>
      <c r="F202" s="184"/>
      <c r="G202" s="184"/>
      <c r="H202" s="184"/>
      <c r="I202" s="184"/>
      <c r="J202" s="184"/>
      <c r="K202" s="184"/>
      <c r="L202" s="184"/>
      <c r="M202" s="184"/>
      <c r="N202" s="184"/>
      <c r="O202" s="184"/>
    </row>
    <row r="203" spans="3:15">
      <c r="C203" s="184"/>
      <c r="D203" s="184"/>
      <c r="E203" s="184"/>
      <c r="F203" s="184"/>
      <c r="G203" s="184"/>
      <c r="H203" s="184"/>
      <c r="I203" s="184"/>
      <c r="J203" s="184"/>
      <c r="K203" s="184"/>
      <c r="L203" s="184"/>
      <c r="M203" s="184"/>
      <c r="N203" s="184"/>
      <c r="O203" s="184"/>
    </row>
    <row r="204" spans="3:15">
      <c r="C204" s="184"/>
      <c r="D204" s="184"/>
      <c r="E204" s="184"/>
      <c r="F204" s="184"/>
      <c r="G204" s="184"/>
      <c r="H204" s="184"/>
      <c r="I204" s="184"/>
      <c r="J204" s="184"/>
      <c r="K204" s="184"/>
      <c r="L204" s="184"/>
      <c r="M204" s="184"/>
      <c r="N204" s="184"/>
      <c r="O204" s="184"/>
    </row>
    <row r="205" spans="3:15">
      <c r="C205" s="184"/>
      <c r="D205" s="184"/>
      <c r="E205" s="184"/>
      <c r="F205" s="184"/>
      <c r="G205" s="184"/>
      <c r="H205" s="184"/>
      <c r="I205" s="184"/>
      <c r="J205" s="184"/>
      <c r="K205" s="184"/>
      <c r="L205" s="184"/>
      <c r="M205" s="184"/>
      <c r="N205" s="184"/>
      <c r="O205" s="184"/>
    </row>
    <row r="206" spans="3:15">
      <c r="C206" s="184"/>
      <c r="D206" s="184"/>
      <c r="E206" s="184"/>
      <c r="F206" s="184"/>
      <c r="G206" s="184"/>
      <c r="H206" s="184"/>
      <c r="I206" s="184"/>
      <c r="J206" s="184"/>
      <c r="K206" s="184"/>
      <c r="L206" s="184"/>
      <c r="M206" s="184"/>
      <c r="N206" s="184"/>
      <c r="O206" s="184"/>
    </row>
    <row r="207" spans="3:15">
      <c r="C207" s="184"/>
      <c r="D207" s="184"/>
      <c r="E207" s="184"/>
      <c r="F207" s="184"/>
      <c r="G207" s="184"/>
      <c r="H207" s="184"/>
      <c r="I207" s="184"/>
      <c r="J207" s="184"/>
      <c r="K207" s="184"/>
      <c r="L207" s="184"/>
      <c r="M207" s="184"/>
      <c r="N207" s="184"/>
      <c r="O207" s="184"/>
    </row>
    <row r="208" spans="3:15">
      <c r="C208" s="184"/>
      <c r="D208" s="184"/>
      <c r="E208" s="184"/>
      <c r="F208" s="184"/>
      <c r="G208" s="184"/>
      <c r="H208" s="184"/>
      <c r="I208" s="184"/>
      <c r="J208" s="184"/>
      <c r="K208" s="184"/>
      <c r="L208" s="184"/>
      <c r="M208" s="184"/>
      <c r="N208" s="184"/>
      <c r="O208" s="184"/>
    </row>
    <row r="209" spans="3:15">
      <c r="C209" s="184"/>
      <c r="D209" s="184"/>
      <c r="E209" s="184"/>
      <c r="F209" s="184"/>
      <c r="G209" s="184"/>
      <c r="H209" s="184"/>
      <c r="I209" s="184"/>
      <c r="J209" s="184"/>
      <c r="K209" s="184"/>
      <c r="L209" s="184"/>
      <c r="M209" s="184"/>
      <c r="N209" s="184"/>
      <c r="O209" s="184"/>
    </row>
    <row r="210" spans="3:15">
      <c r="C210" s="184"/>
      <c r="D210" s="184"/>
      <c r="E210" s="184"/>
      <c r="F210" s="184"/>
      <c r="G210" s="184"/>
      <c r="H210" s="184"/>
      <c r="I210" s="184"/>
      <c r="J210" s="184"/>
      <c r="K210" s="184"/>
      <c r="L210" s="184"/>
      <c r="M210" s="184"/>
      <c r="N210" s="184"/>
      <c r="O210" s="184"/>
    </row>
    <row r="211" spans="3:15">
      <c r="C211" s="184"/>
      <c r="D211" s="184"/>
      <c r="E211" s="184"/>
      <c r="F211" s="184"/>
      <c r="G211" s="184"/>
      <c r="H211" s="184"/>
      <c r="I211" s="184"/>
      <c r="J211" s="184"/>
      <c r="K211" s="184"/>
      <c r="L211" s="184"/>
      <c r="M211" s="184"/>
      <c r="N211" s="184"/>
      <c r="O211" s="184"/>
    </row>
    <row r="212" spans="3:15">
      <c r="C212" s="184"/>
      <c r="D212" s="184"/>
      <c r="E212" s="184"/>
      <c r="F212" s="184"/>
      <c r="G212" s="184"/>
      <c r="H212" s="184"/>
      <c r="I212" s="184"/>
      <c r="J212" s="184"/>
      <c r="K212" s="184"/>
      <c r="L212" s="184"/>
      <c r="M212" s="184"/>
      <c r="N212" s="184"/>
      <c r="O212" s="184"/>
    </row>
    <row r="213" spans="3:15">
      <c r="C213" s="184"/>
      <c r="D213" s="184"/>
      <c r="E213" s="184"/>
      <c r="F213" s="184"/>
      <c r="G213" s="184"/>
      <c r="H213" s="184"/>
      <c r="I213" s="184"/>
      <c r="J213" s="184"/>
      <c r="K213" s="184"/>
      <c r="L213" s="184"/>
      <c r="M213" s="184"/>
      <c r="N213" s="184"/>
      <c r="O213" s="184"/>
    </row>
    <row r="214" spans="3:15">
      <c r="C214" s="184"/>
      <c r="D214" s="184"/>
      <c r="E214" s="184"/>
      <c r="F214" s="184"/>
      <c r="G214" s="184"/>
      <c r="H214" s="184"/>
      <c r="I214" s="184"/>
      <c r="J214" s="184"/>
      <c r="K214" s="184"/>
      <c r="L214" s="184"/>
      <c r="M214" s="184"/>
      <c r="N214" s="184"/>
      <c r="O214" s="184"/>
    </row>
    <row r="215" spans="3:15">
      <c r="C215" s="184"/>
      <c r="D215" s="184"/>
      <c r="E215" s="184"/>
      <c r="F215" s="184"/>
      <c r="G215" s="184"/>
      <c r="H215" s="184"/>
      <c r="I215" s="184"/>
      <c r="J215" s="184"/>
      <c r="K215" s="184"/>
      <c r="L215" s="184"/>
      <c r="M215" s="184"/>
      <c r="N215" s="184"/>
      <c r="O215" s="184"/>
    </row>
    <row r="216" spans="3:15">
      <c r="C216" s="184"/>
      <c r="D216" s="184"/>
      <c r="E216" s="184"/>
      <c r="F216" s="184"/>
      <c r="G216" s="184"/>
      <c r="H216" s="184"/>
      <c r="I216" s="184"/>
      <c r="J216" s="184"/>
      <c r="K216" s="184"/>
      <c r="L216" s="184"/>
      <c r="M216" s="184"/>
      <c r="N216" s="184"/>
      <c r="O216" s="184"/>
    </row>
    <row r="217" spans="3:15">
      <c r="C217" s="184"/>
      <c r="D217" s="184"/>
      <c r="E217" s="184"/>
      <c r="F217" s="184"/>
      <c r="G217" s="184"/>
      <c r="H217" s="184"/>
      <c r="I217" s="184"/>
      <c r="J217" s="184"/>
      <c r="K217" s="184"/>
      <c r="L217" s="184"/>
      <c r="M217" s="184"/>
      <c r="N217" s="184"/>
      <c r="O217" s="184"/>
    </row>
    <row r="218" spans="3:15">
      <c r="C218" s="184"/>
      <c r="D218" s="184"/>
      <c r="E218" s="184"/>
      <c r="F218" s="184"/>
      <c r="G218" s="184"/>
      <c r="H218" s="184"/>
      <c r="I218" s="184"/>
      <c r="J218" s="184"/>
      <c r="K218" s="184"/>
      <c r="L218" s="184"/>
      <c r="M218" s="184"/>
      <c r="N218" s="184"/>
      <c r="O218" s="184"/>
    </row>
    <row r="219" spans="3:15">
      <c r="C219" s="184"/>
      <c r="D219" s="184"/>
      <c r="E219" s="184"/>
      <c r="F219" s="184"/>
      <c r="G219" s="184"/>
      <c r="H219" s="184"/>
      <c r="I219" s="184"/>
      <c r="J219" s="184"/>
      <c r="K219" s="184"/>
      <c r="L219" s="184"/>
      <c r="M219" s="184"/>
      <c r="N219" s="184"/>
      <c r="O219" s="184"/>
    </row>
    <row r="220" spans="3:15">
      <c r="C220" s="184"/>
      <c r="D220" s="184"/>
      <c r="E220" s="184"/>
      <c r="F220" s="184"/>
      <c r="G220" s="184"/>
      <c r="H220" s="184"/>
      <c r="I220" s="184"/>
      <c r="J220" s="184"/>
      <c r="K220" s="184"/>
      <c r="L220" s="184"/>
      <c r="M220" s="184"/>
      <c r="N220" s="184"/>
      <c r="O220" s="184"/>
    </row>
    <row r="221" spans="3:15">
      <c r="C221" s="184"/>
      <c r="D221" s="184"/>
      <c r="E221" s="184"/>
      <c r="F221" s="184"/>
      <c r="G221" s="184"/>
      <c r="H221" s="184"/>
      <c r="I221" s="184"/>
      <c r="J221" s="184"/>
      <c r="K221" s="184"/>
      <c r="L221" s="184"/>
      <c r="M221" s="184"/>
      <c r="N221" s="184"/>
      <c r="O221" s="184"/>
    </row>
    <row r="222" spans="3:15">
      <c r="C222" s="184"/>
      <c r="D222" s="184"/>
      <c r="E222" s="184"/>
      <c r="F222" s="184"/>
      <c r="G222" s="184"/>
      <c r="H222" s="184"/>
      <c r="I222" s="184"/>
      <c r="J222" s="184"/>
      <c r="K222" s="184"/>
      <c r="L222" s="184"/>
      <c r="M222" s="184"/>
      <c r="N222" s="184"/>
      <c r="O222" s="184"/>
    </row>
    <row r="223" spans="3:15">
      <c r="C223" s="184"/>
      <c r="D223" s="184"/>
      <c r="E223" s="184"/>
      <c r="F223" s="184"/>
      <c r="G223" s="184"/>
      <c r="H223" s="184"/>
      <c r="I223" s="184"/>
      <c r="J223" s="184"/>
      <c r="K223" s="184"/>
      <c r="L223" s="184"/>
      <c r="M223" s="184"/>
      <c r="N223" s="184"/>
      <c r="O223" s="184"/>
    </row>
    <row r="224" spans="3:15">
      <c r="C224" s="184"/>
      <c r="D224" s="184"/>
      <c r="E224" s="184"/>
      <c r="F224" s="184"/>
      <c r="G224" s="184"/>
      <c r="H224" s="184"/>
      <c r="I224" s="184"/>
      <c r="J224" s="184"/>
      <c r="K224" s="184"/>
      <c r="L224" s="184"/>
      <c r="M224" s="184"/>
      <c r="N224" s="184"/>
      <c r="O224" s="184"/>
    </row>
    <row r="225" spans="3:15">
      <c r="C225" s="184"/>
      <c r="D225" s="184"/>
      <c r="E225" s="184"/>
      <c r="F225" s="184"/>
      <c r="G225" s="184"/>
      <c r="H225" s="184"/>
      <c r="I225" s="184"/>
      <c r="J225" s="184"/>
      <c r="K225" s="184"/>
      <c r="L225" s="184"/>
      <c r="M225" s="184"/>
      <c r="N225" s="184"/>
      <c r="O225" s="184"/>
    </row>
    <row r="226" spans="3:15">
      <c r="C226" s="184"/>
      <c r="D226" s="184"/>
      <c r="E226" s="184"/>
      <c r="F226" s="184"/>
      <c r="G226" s="184"/>
      <c r="H226" s="184"/>
      <c r="I226" s="184"/>
      <c r="J226" s="184"/>
      <c r="K226" s="184"/>
      <c r="L226" s="184"/>
      <c r="M226" s="184"/>
      <c r="N226" s="184"/>
      <c r="O226" s="184"/>
    </row>
    <row r="227" spans="3:15">
      <c r="C227" s="184"/>
      <c r="D227" s="184"/>
      <c r="E227" s="184"/>
      <c r="F227" s="184"/>
      <c r="G227" s="184"/>
      <c r="H227" s="184"/>
      <c r="I227" s="184"/>
      <c r="J227" s="184"/>
      <c r="K227" s="184"/>
      <c r="L227" s="184"/>
      <c r="M227" s="184"/>
      <c r="N227" s="184"/>
      <c r="O227" s="184"/>
    </row>
    <row r="228" spans="3:15">
      <c r="C228" s="184"/>
      <c r="D228" s="184"/>
      <c r="E228" s="184"/>
      <c r="F228" s="184"/>
      <c r="G228" s="184"/>
      <c r="H228" s="184"/>
      <c r="I228" s="184"/>
      <c r="J228" s="184"/>
      <c r="K228" s="184"/>
      <c r="L228" s="184"/>
      <c r="M228" s="184"/>
      <c r="N228" s="184"/>
      <c r="O228" s="184"/>
    </row>
    <row r="229" spans="3:15">
      <c r="C229" s="184"/>
      <c r="D229" s="184"/>
      <c r="E229" s="184"/>
      <c r="F229" s="184"/>
      <c r="G229" s="184"/>
      <c r="H229" s="184"/>
      <c r="I229" s="184"/>
      <c r="J229" s="184"/>
      <c r="K229" s="184"/>
      <c r="L229" s="184"/>
      <c r="M229" s="184"/>
      <c r="N229" s="184"/>
      <c r="O229" s="184"/>
    </row>
    <row r="230" spans="3:15">
      <c r="C230" s="184"/>
      <c r="D230" s="184"/>
      <c r="E230" s="184"/>
      <c r="F230" s="184"/>
      <c r="G230" s="184"/>
      <c r="H230" s="184"/>
      <c r="I230" s="184"/>
      <c r="J230" s="184"/>
      <c r="K230" s="184"/>
      <c r="L230" s="184"/>
      <c r="M230" s="184"/>
      <c r="N230" s="184"/>
      <c r="O230" s="184"/>
    </row>
    <row r="231" spans="3:15">
      <c r="C231" s="184"/>
      <c r="D231" s="184"/>
      <c r="E231" s="184"/>
      <c r="F231" s="184"/>
      <c r="G231" s="184"/>
      <c r="H231" s="184"/>
      <c r="I231" s="184"/>
      <c r="J231" s="184"/>
      <c r="K231" s="184"/>
      <c r="L231" s="184"/>
      <c r="M231" s="184"/>
      <c r="N231" s="184"/>
      <c r="O231" s="184"/>
    </row>
    <row r="232" spans="3:15">
      <c r="C232" s="184"/>
      <c r="D232" s="184"/>
      <c r="E232" s="184"/>
      <c r="F232" s="184"/>
      <c r="G232" s="184"/>
      <c r="H232" s="184"/>
      <c r="I232" s="184"/>
      <c r="J232" s="184"/>
      <c r="K232" s="184"/>
      <c r="L232" s="184"/>
      <c r="M232" s="184"/>
      <c r="N232" s="184"/>
      <c r="O232" s="184"/>
    </row>
    <row r="233" spans="3:15">
      <c r="C233" s="184"/>
      <c r="D233" s="184"/>
      <c r="E233" s="184"/>
      <c r="F233" s="184"/>
      <c r="G233" s="184"/>
      <c r="H233" s="184"/>
      <c r="I233" s="184"/>
      <c r="J233" s="184"/>
      <c r="K233" s="184"/>
      <c r="L233" s="184"/>
      <c r="M233" s="184"/>
      <c r="N233" s="184"/>
      <c r="O233" s="184"/>
    </row>
    <row r="234" spans="3:15">
      <c r="C234" s="184"/>
      <c r="D234" s="184"/>
      <c r="E234" s="184"/>
      <c r="F234" s="184"/>
      <c r="G234" s="184"/>
      <c r="H234" s="184"/>
      <c r="I234" s="184"/>
      <c r="J234" s="184"/>
      <c r="K234" s="184"/>
      <c r="L234" s="184"/>
      <c r="M234" s="184"/>
      <c r="N234" s="184"/>
      <c r="O234" s="184"/>
    </row>
    <row r="235" spans="3:15">
      <c r="C235" s="184"/>
      <c r="D235" s="184"/>
      <c r="E235" s="184"/>
      <c r="F235" s="184"/>
      <c r="G235" s="184"/>
      <c r="H235" s="184"/>
      <c r="I235" s="184"/>
      <c r="J235" s="184"/>
      <c r="K235" s="184"/>
      <c r="L235" s="184"/>
      <c r="M235" s="184"/>
      <c r="N235" s="184"/>
      <c r="O235" s="184"/>
    </row>
    <row r="236" spans="3:15">
      <c r="C236" s="184"/>
      <c r="D236" s="184"/>
      <c r="E236" s="184"/>
      <c r="F236" s="184"/>
      <c r="G236" s="184"/>
      <c r="H236" s="184"/>
      <c r="I236" s="184"/>
      <c r="J236" s="184"/>
      <c r="K236" s="184"/>
      <c r="L236" s="184"/>
      <c r="M236" s="184"/>
      <c r="N236" s="184"/>
      <c r="O236" s="184"/>
    </row>
    <row r="237" spans="3:15">
      <c r="C237" s="184"/>
      <c r="D237" s="184"/>
      <c r="E237" s="184"/>
      <c r="F237" s="184"/>
      <c r="G237" s="184"/>
      <c r="H237" s="184"/>
      <c r="I237" s="184"/>
      <c r="J237" s="184"/>
      <c r="K237" s="184"/>
      <c r="L237" s="184"/>
      <c r="M237" s="184"/>
      <c r="N237" s="184"/>
      <c r="O237" s="184"/>
    </row>
    <row r="238" spans="3:15">
      <c r="C238" s="184"/>
      <c r="D238" s="184"/>
      <c r="E238" s="184"/>
      <c r="F238" s="184"/>
      <c r="G238" s="184"/>
      <c r="H238" s="184"/>
      <c r="I238" s="184"/>
      <c r="J238" s="184"/>
      <c r="K238" s="184"/>
      <c r="L238" s="184"/>
      <c r="M238" s="184"/>
      <c r="N238" s="184"/>
      <c r="O238" s="184"/>
    </row>
    <row r="239" spans="3:15">
      <c r="C239" s="184"/>
      <c r="D239" s="184"/>
      <c r="E239" s="184"/>
      <c r="F239" s="184"/>
      <c r="G239" s="184"/>
      <c r="H239" s="184"/>
      <c r="I239" s="184"/>
      <c r="J239" s="184"/>
      <c r="K239" s="184"/>
      <c r="L239" s="184"/>
      <c r="M239" s="184"/>
      <c r="N239" s="184"/>
      <c r="O239" s="184"/>
    </row>
    <row r="240" spans="3:15">
      <c r="C240" s="184"/>
      <c r="D240" s="184"/>
      <c r="E240" s="184"/>
      <c r="F240" s="184"/>
      <c r="G240" s="184"/>
      <c r="H240" s="184"/>
      <c r="I240" s="184"/>
      <c r="J240" s="184"/>
      <c r="K240" s="184"/>
      <c r="L240" s="184"/>
      <c r="M240" s="184"/>
      <c r="N240" s="184"/>
      <c r="O240" s="184"/>
    </row>
    <row r="241" spans="3:15">
      <c r="C241" s="184"/>
      <c r="D241" s="184"/>
      <c r="E241" s="184"/>
      <c r="F241" s="184"/>
      <c r="G241" s="184"/>
      <c r="H241" s="184"/>
      <c r="I241" s="184"/>
      <c r="J241" s="184"/>
      <c r="K241" s="184"/>
      <c r="L241" s="184"/>
      <c r="M241" s="184"/>
      <c r="N241" s="184"/>
      <c r="O241" s="184"/>
    </row>
    <row r="242" spans="3:15">
      <c r="C242" s="184"/>
      <c r="D242" s="184"/>
      <c r="E242" s="184"/>
      <c r="F242" s="184"/>
      <c r="G242" s="184"/>
      <c r="H242" s="184"/>
      <c r="I242" s="184"/>
      <c r="J242" s="184"/>
      <c r="K242" s="184"/>
      <c r="L242" s="184"/>
      <c r="M242" s="184"/>
      <c r="N242" s="184"/>
      <c r="O242" s="184"/>
    </row>
    <row r="243" spans="3:15">
      <c r="C243" s="184"/>
      <c r="D243" s="184"/>
      <c r="E243" s="184"/>
      <c r="F243" s="184"/>
      <c r="G243" s="184"/>
      <c r="H243" s="184"/>
      <c r="I243" s="184"/>
      <c r="J243" s="184"/>
      <c r="K243" s="184"/>
      <c r="L243" s="184"/>
      <c r="M243" s="184"/>
      <c r="N243" s="184"/>
      <c r="O243" s="184"/>
    </row>
    <row r="244" spans="3:15">
      <c r="C244" s="184"/>
      <c r="D244" s="184"/>
      <c r="E244" s="184"/>
      <c r="F244" s="184"/>
      <c r="G244" s="184"/>
      <c r="H244" s="184"/>
      <c r="I244" s="184"/>
      <c r="J244" s="184"/>
      <c r="K244" s="184"/>
      <c r="L244" s="184"/>
      <c r="M244" s="184"/>
      <c r="N244" s="184"/>
      <c r="O244" s="184"/>
    </row>
    <row r="245" spans="3:15">
      <c r="C245" s="184"/>
      <c r="D245" s="184"/>
      <c r="E245" s="184"/>
      <c r="F245" s="184"/>
      <c r="G245" s="184"/>
      <c r="H245" s="184"/>
      <c r="I245" s="184"/>
      <c r="J245" s="184"/>
      <c r="K245" s="184"/>
      <c r="L245" s="184"/>
      <c r="M245" s="184"/>
      <c r="N245" s="184"/>
      <c r="O245" s="184"/>
    </row>
    <row r="246" spans="3:15">
      <c r="C246" s="184"/>
      <c r="D246" s="184"/>
      <c r="E246" s="184"/>
      <c r="F246" s="184"/>
      <c r="G246" s="184"/>
      <c r="H246" s="184"/>
      <c r="I246" s="184"/>
      <c r="J246" s="184"/>
      <c r="K246" s="184"/>
      <c r="L246" s="184"/>
      <c r="M246" s="184"/>
      <c r="N246" s="184"/>
      <c r="O246" s="184"/>
    </row>
    <row r="247" spans="3:15">
      <c r="C247" s="184"/>
      <c r="D247" s="184"/>
      <c r="E247" s="184"/>
      <c r="F247" s="184"/>
      <c r="G247" s="184"/>
      <c r="H247" s="184"/>
      <c r="I247" s="184"/>
      <c r="J247" s="184"/>
      <c r="K247" s="184"/>
      <c r="L247" s="184"/>
      <c r="M247" s="184"/>
      <c r="N247" s="184"/>
      <c r="O247" s="184"/>
    </row>
    <row r="248" spans="3:15">
      <c r="C248" s="184"/>
      <c r="D248" s="184"/>
      <c r="E248" s="184"/>
      <c r="F248" s="184"/>
      <c r="G248" s="184"/>
      <c r="H248" s="184"/>
      <c r="I248" s="184"/>
      <c r="J248" s="184"/>
      <c r="K248" s="184"/>
      <c r="L248" s="184"/>
      <c r="M248" s="184"/>
      <c r="N248" s="184"/>
      <c r="O248" s="184"/>
    </row>
    <row r="249" spans="3:15">
      <c r="C249" s="184"/>
      <c r="D249" s="184"/>
      <c r="E249" s="184"/>
      <c r="F249" s="184"/>
      <c r="G249" s="184"/>
      <c r="H249" s="184"/>
      <c r="I249" s="184"/>
      <c r="J249" s="184"/>
      <c r="K249" s="184"/>
      <c r="L249" s="184"/>
      <c r="M249" s="184"/>
      <c r="N249" s="184"/>
      <c r="O249" s="184"/>
    </row>
    <row r="250" spans="3:15">
      <c r="C250" s="184"/>
      <c r="D250" s="184"/>
      <c r="E250" s="184"/>
      <c r="F250" s="184"/>
      <c r="G250" s="184"/>
      <c r="H250" s="184"/>
      <c r="I250" s="184"/>
      <c r="J250" s="184"/>
      <c r="K250" s="184"/>
      <c r="L250" s="184"/>
      <c r="M250" s="184"/>
      <c r="N250" s="184"/>
      <c r="O250" s="184"/>
    </row>
    <row r="251" spans="3:15">
      <c r="C251" s="184"/>
      <c r="D251" s="184"/>
      <c r="E251" s="184"/>
      <c r="F251" s="184"/>
      <c r="G251" s="184"/>
      <c r="H251" s="184"/>
      <c r="I251" s="184"/>
      <c r="J251" s="184"/>
      <c r="K251" s="184"/>
      <c r="L251" s="184"/>
      <c r="M251" s="184"/>
      <c r="N251" s="184"/>
      <c r="O251" s="184"/>
    </row>
    <row r="252" spans="3:15">
      <c r="C252" s="184"/>
      <c r="D252" s="184"/>
      <c r="E252" s="184"/>
      <c r="F252" s="184"/>
      <c r="G252" s="184"/>
      <c r="H252" s="184"/>
      <c r="I252" s="184"/>
      <c r="J252" s="184"/>
      <c r="K252" s="184"/>
      <c r="L252" s="184"/>
      <c r="M252" s="184"/>
      <c r="N252" s="184"/>
      <c r="O252" s="184"/>
    </row>
    <row r="253" spans="3:15">
      <c r="C253" s="184"/>
      <c r="D253" s="184"/>
      <c r="E253" s="184"/>
      <c r="F253" s="184"/>
      <c r="G253" s="184"/>
      <c r="H253" s="184"/>
      <c r="I253" s="184"/>
      <c r="J253" s="184"/>
      <c r="K253" s="184"/>
      <c r="L253" s="184"/>
      <c r="M253" s="184"/>
      <c r="N253" s="184"/>
      <c r="O253" s="184"/>
    </row>
    <row r="254" spans="3:15">
      <c r="C254" s="184"/>
      <c r="D254" s="184"/>
      <c r="E254" s="184"/>
      <c r="F254" s="184"/>
      <c r="G254" s="184"/>
      <c r="H254" s="184"/>
      <c r="I254" s="184"/>
      <c r="J254" s="184"/>
      <c r="K254" s="184"/>
      <c r="L254" s="184"/>
      <c r="M254" s="184"/>
      <c r="N254" s="184"/>
      <c r="O254" s="184"/>
    </row>
    <row r="255" spans="3:15">
      <c r="C255" s="184"/>
      <c r="D255" s="184"/>
      <c r="E255" s="184"/>
      <c r="F255" s="184"/>
      <c r="G255" s="184"/>
      <c r="H255" s="184"/>
      <c r="I255" s="184"/>
      <c r="J255" s="184"/>
      <c r="K255" s="184"/>
      <c r="L255" s="184"/>
      <c r="M255" s="184"/>
      <c r="N255" s="184"/>
      <c r="O255" s="184"/>
    </row>
    <row r="256" spans="3:15">
      <c r="C256" s="184"/>
      <c r="D256" s="184"/>
      <c r="E256" s="184"/>
      <c r="F256" s="184"/>
      <c r="G256" s="184"/>
      <c r="H256" s="184"/>
      <c r="I256" s="184"/>
      <c r="J256" s="184"/>
      <c r="K256" s="184"/>
      <c r="L256" s="184"/>
      <c r="M256" s="184"/>
      <c r="N256" s="184"/>
      <c r="O256" s="184"/>
    </row>
    <row r="257" spans="3:15">
      <c r="C257" s="184"/>
      <c r="D257" s="184"/>
      <c r="E257" s="184"/>
      <c r="F257" s="184"/>
      <c r="G257" s="184"/>
      <c r="H257" s="184"/>
      <c r="I257" s="184"/>
      <c r="J257" s="184"/>
      <c r="K257" s="184"/>
      <c r="L257" s="184"/>
      <c r="M257" s="184"/>
      <c r="N257" s="184"/>
      <c r="O257" s="184"/>
    </row>
    <row r="258" spans="3:15">
      <c r="C258" s="184"/>
      <c r="D258" s="184"/>
      <c r="E258" s="184"/>
      <c r="F258" s="184"/>
      <c r="G258" s="184"/>
      <c r="H258" s="184"/>
      <c r="I258" s="184"/>
      <c r="J258" s="184"/>
      <c r="K258" s="184"/>
      <c r="L258" s="184"/>
      <c r="M258" s="184"/>
      <c r="N258" s="184"/>
      <c r="O258" s="184"/>
    </row>
    <row r="259" spans="3:15">
      <c r="C259" s="184"/>
      <c r="D259" s="184"/>
      <c r="E259" s="184"/>
      <c r="F259" s="184"/>
      <c r="G259" s="184"/>
      <c r="H259" s="184"/>
      <c r="I259" s="184"/>
      <c r="J259" s="184"/>
      <c r="K259" s="184"/>
      <c r="L259" s="184"/>
      <c r="M259" s="184"/>
      <c r="N259" s="184"/>
      <c r="O259" s="184"/>
    </row>
    <row r="260" spans="3:15">
      <c r="C260" s="184"/>
      <c r="D260" s="184"/>
      <c r="E260" s="184"/>
      <c r="F260" s="184"/>
      <c r="G260" s="184"/>
      <c r="H260" s="184"/>
      <c r="I260" s="184"/>
      <c r="J260" s="184"/>
      <c r="K260" s="184"/>
      <c r="L260" s="184"/>
      <c r="M260" s="184"/>
      <c r="N260" s="184"/>
      <c r="O260" s="184"/>
    </row>
    <row r="261" spans="3:15">
      <c r="C261" s="184"/>
      <c r="D261" s="184"/>
      <c r="E261" s="184"/>
      <c r="F261" s="184"/>
      <c r="G261" s="184"/>
      <c r="H261" s="184"/>
      <c r="I261" s="184"/>
      <c r="J261" s="184"/>
      <c r="K261" s="184"/>
      <c r="L261" s="184"/>
      <c r="M261" s="184"/>
      <c r="N261" s="184"/>
      <c r="O261" s="184"/>
    </row>
    <row r="262" spans="3:15">
      <c r="C262" s="184"/>
      <c r="D262" s="184"/>
      <c r="E262" s="184"/>
      <c r="F262" s="184"/>
      <c r="G262" s="184"/>
      <c r="H262" s="184"/>
      <c r="I262" s="184"/>
      <c r="J262" s="184"/>
      <c r="K262" s="184"/>
      <c r="L262" s="184"/>
      <c r="M262" s="184"/>
      <c r="N262" s="184"/>
      <c r="O262" s="184"/>
    </row>
    <row r="263" spans="3:15">
      <c r="C263" s="184"/>
      <c r="D263" s="184"/>
      <c r="E263" s="184"/>
      <c r="F263" s="184"/>
      <c r="G263" s="184"/>
      <c r="H263" s="184"/>
      <c r="I263" s="184"/>
      <c r="J263" s="184"/>
      <c r="K263" s="184"/>
      <c r="L263" s="184"/>
      <c r="M263" s="184"/>
      <c r="N263" s="184"/>
      <c r="O263" s="184"/>
    </row>
    <row r="264" spans="3:15">
      <c r="C264" s="184"/>
      <c r="D264" s="184"/>
      <c r="E264" s="184"/>
      <c r="F264" s="184"/>
      <c r="G264" s="184"/>
      <c r="H264" s="184"/>
      <c r="I264" s="184"/>
      <c r="J264" s="184"/>
      <c r="K264" s="184"/>
      <c r="L264" s="184"/>
      <c r="M264" s="184"/>
      <c r="N264" s="184"/>
      <c r="O264" s="184"/>
    </row>
    <row r="265" spans="3:15">
      <c r="C265" s="184"/>
      <c r="D265" s="184"/>
      <c r="E265" s="184"/>
      <c r="F265" s="184"/>
      <c r="G265" s="184"/>
      <c r="H265" s="184"/>
      <c r="I265" s="184"/>
      <c r="J265" s="184"/>
      <c r="K265" s="184"/>
      <c r="L265" s="184"/>
      <c r="M265" s="184"/>
      <c r="N265" s="184"/>
      <c r="O265" s="184"/>
    </row>
    <row r="266" spans="3:15">
      <c r="C266" s="184"/>
      <c r="D266" s="184"/>
      <c r="E266" s="184"/>
      <c r="F266" s="184"/>
      <c r="G266" s="184"/>
      <c r="H266" s="184"/>
      <c r="I266" s="184"/>
      <c r="J266" s="184"/>
      <c r="K266" s="184"/>
      <c r="L266" s="184"/>
      <c r="M266" s="184"/>
      <c r="N266" s="184"/>
      <c r="O266" s="184"/>
    </row>
    <row r="267" spans="3:15">
      <c r="C267" s="184"/>
      <c r="D267" s="184"/>
      <c r="E267" s="184"/>
      <c r="F267" s="184"/>
      <c r="G267" s="184"/>
      <c r="H267" s="184"/>
      <c r="I267" s="184"/>
      <c r="J267" s="184"/>
      <c r="K267" s="184"/>
      <c r="L267" s="184"/>
      <c r="M267" s="184"/>
      <c r="N267" s="184"/>
      <c r="O267" s="184"/>
    </row>
    <row r="268" spans="3:15">
      <c r="C268" s="184"/>
      <c r="D268" s="184"/>
      <c r="E268" s="184"/>
      <c r="F268" s="184"/>
      <c r="G268" s="184"/>
      <c r="H268" s="184"/>
      <c r="I268" s="184"/>
      <c r="J268" s="184"/>
      <c r="K268" s="184"/>
      <c r="L268" s="184"/>
      <c r="M268" s="184"/>
      <c r="N268" s="184"/>
      <c r="O268" s="184"/>
    </row>
    <row r="269" spans="3:15">
      <c r="C269" s="184"/>
      <c r="D269" s="184"/>
      <c r="E269" s="184"/>
      <c r="F269" s="184"/>
      <c r="G269" s="184"/>
      <c r="H269" s="184"/>
      <c r="I269" s="184"/>
      <c r="J269" s="184"/>
      <c r="K269" s="184"/>
      <c r="L269" s="184"/>
      <c r="M269" s="184"/>
      <c r="N269" s="184"/>
      <c r="O269" s="184"/>
    </row>
    <row r="270" spans="3:15">
      <c r="C270" s="184"/>
      <c r="D270" s="184"/>
      <c r="E270" s="184"/>
      <c r="F270" s="184"/>
      <c r="G270" s="184"/>
      <c r="H270" s="184"/>
      <c r="I270" s="184"/>
      <c r="J270" s="184"/>
      <c r="K270" s="184"/>
      <c r="L270" s="184"/>
      <c r="M270" s="184"/>
      <c r="N270" s="184"/>
      <c r="O270" s="184"/>
    </row>
    <row r="271" spans="3:15">
      <c r="C271" s="184"/>
      <c r="D271" s="184"/>
      <c r="E271" s="184"/>
      <c r="F271" s="184"/>
      <c r="G271" s="184"/>
      <c r="H271" s="184"/>
      <c r="I271" s="184"/>
      <c r="J271" s="184"/>
      <c r="K271" s="184"/>
      <c r="L271" s="184"/>
      <c r="M271" s="184"/>
      <c r="N271" s="184"/>
      <c r="O271" s="184"/>
    </row>
    <row r="272" spans="3:15">
      <c r="C272" s="184"/>
      <c r="D272" s="184"/>
      <c r="E272" s="184"/>
      <c r="F272" s="184"/>
      <c r="G272" s="184"/>
      <c r="H272" s="184"/>
      <c r="I272" s="184"/>
      <c r="J272" s="184"/>
      <c r="K272" s="184"/>
      <c r="L272" s="184"/>
      <c r="M272" s="184"/>
      <c r="N272" s="184"/>
      <c r="O272" s="184"/>
    </row>
    <row r="273" spans="3:15">
      <c r="C273" s="184"/>
      <c r="D273" s="184"/>
      <c r="E273" s="184"/>
      <c r="F273" s="184"/>
      <c r="G273" s="184"/>
      <c r="H273" s="184"/>
      <c r="I273" s="184"/>
      <c r="J273" s="184"/>
      <c r="K273" s="184"/>
      <c r="L273" s="184"/>
      <c r="M273" s="184"/>
      <c r="N273" s="184"/>
      <c r="O273" s="184"/>
    </row>
    <row r="274" spans="3:15">
      <c r="C274" s="184"/>
      <c r="D274" s="184"/>
      <c r="E274" s="184"/>
      <c r="F274" s="184"/>
      <c r="G274" s="184"/>
      <c r="H274" s="184"/>
      <c r="I274" s="184"/>
      <c r="J274" s="184"/>
      <c r="K274" s="184"/>
      <c r="L274" s="184"/>
      <c r="M274" s="184"/>
      <c r="N274" s="184"/>
      <c r="O274" s="184"/>
    </row>
    <row r="275" spans="3:15">
      <c r="C275" s="184"/>
      <c r="D275" s="184"/>
      <c r="E275" s="184"/>
      <c r="F275" s="184"/>
      <c r="G275" s="184"/>
      <c r="H275" s="184"/>
      <c r="I275" s="184"/>
      <c r="J275" s="184"/>
      <c r="K275" s="184"/>
      <c r="L275" s="184"/>
      <c r="M275" s="184"/>
      <c r="N275" s="184"/>
      <c r="O275" s="184"/>
    </row>
    <row r="276" spans="3:15">
      <c r="C276" s="184"/>
      <c r="D276" s="184"/>
      <c r="E276" s="184"/>
      <c r="F276" s="184"/>
      <c r="G276" s="184"/>
      <c r="H276" s="184"/>
      <c r="I276" s="184"/>
      <c r="J276" s="184"/>
      <c r="K276" s="184"/>
      <c r="L276" s="184"/>
      <c r="M276" s="184"/>
      <c r="N276" s="184"/>
      <c r="O276" s="184"/>
    </row>
    <row r="277" spans="3:15">
      <c r="C277" s="184"/>
      <c r="D277" s="184"/>
      <c r="E277" s="184"/>
      <c r="F277" s="184"/>
      <c r="G277" s="184"/>
      <c r="H277" s="184"/>
      <c r="I277" s="184"/>
      <c r="J277" s="184"/>
      <c r="K277" s="184"/>
      <c r="L277" s="184"/>
      <c r="M277" s="184"/>
      <c r="N277" s="184"/>
      <c r="O277" s="184"/>
    </row>
    <row r="278" spans="3:15">
      <c r="C278" s="184"/>
      <c r="D278" s="184"/>
      <c r="E278" s="184"/>
      <c r="F278" s="184"/>
      <c r="G278" s="184"/>
      <c r="H278" s="184"/>
      <c r="I278" s="184"/>
      <c r="J278" s="184"/>
      <c r="K278" s="184"/>
      <c r="L278" s="184"/>
      <c r="M278" s="184"/>
      <c r="N278" s="184"/>
      <c r="O278" s="184"/>
    </row>
    <row r="279" spans="3:15">
      <c r="C279" s="184"/>
      <c r="D279" s="184"/>
      <c r="E279" s="184"/>
      <c r="F279" s="184"/>
      <c r="G279" s="184"/>
      <c r="H279" s="184"/>
      <c r="I279" s="184"/>
      <c r="J279" s="184"/>
      <c r="K279" s="184"/>
      <c r="L279" s="184"/>
      <c r="M279" s="184"/>
      <c r="N279" s="184"/>
      <c r="O279" s="184"/>
    </row>
    <row r="280" spans="3:15">
      <c r="C280" s="184"/>
      <c r="D280" s="184"/>
      <c r="E280" s="184"/>
      <c r="F280" s="184"/>
      <c r="G280" s="184"/>
      <c r="H280" s="184"/>
      <c r="I280" s="184"/>
      <c r="J280" s="184"/>
      <c r="K280" s="184"/>
      <c r="L280" s="184"/>
      <c r="M280" s="184"/>
      <c r="N280" s="184"/>
      <c r="O280" s="184"/>
    </row>
    <row r="281" spans="3:15">
      <c r="C281" s="184"/>
      <c r="D281" s="184"/>
      <c r="E281" s="184"/>
      <c r="F281" s="184"/>
      <c r="G281" s="184"/>
      <c r="H281" s="184"/>
      <c r="I281" s="184"/>
      <c r="J281" s="184"/>
      <c r="K281" s="184"/>
      <c r="L281" s="184"/>
      <c r="M281" s="184"/>
      <c r="N281" s="184"/>
      <c r="O281" s="184"/>
    </row>
    <row r="282" spans="3:15">
      <c r="C282" s="184"/>
      <c r="D282" s="184"/>
      <c r="E282" s="184"/>
      <c r="F282" s="184"/>
      <c r="G282" s="184"/>
      <c r="H282" s="184"/>
      <c r="I282" s="184"/>
      <c r="J282" s="184"/>
      <c r="K282" s="184"/>
      <c r="L282" s="184"/>
      <c r="M282" s="184"/>
      <c r="N282" s="184"/>
      <c r="O282" s="184"/>
    </row>
    <row r="283" spans="3:15">
      <c r="C283" s="184"/>
      <c r="D283" s="184"/>
      <c r="E283" s="184"/>
      <c r="F283" s="184"/>
      <c r="G283" s="184"/>
      <c r="H283" s="184"/>
      <c r="I283" s="184"/>
      <c r="J283" s="184"/>
      <c r="K283" s="184"/>
      <c r="L283" s="184"/>
      <c r="M283" s="184"/>
      <c r="N283" s="184"/>
      <c r="O283" s="184"/>
    </row>
    <row r="284" spans="3:15">
      <c r="C284" s="184"/>
      <c r="D284" s="184"/>
      <c r="E284" s="184"/>
      <c r="F284" s="184"/>
      <c r="G284" s="184"/>
      <c r="H284" s="184"/>
      <c r="I284" s="184"/>
      <c r="J284" s="184"/>
      <c r="K284" s="184"/>
      <c r="L284" s="184"/>
      <c r="M284" s="184"/>
      <c r="N284" s="184"/>
      <c r="O284" s="184"/>
    </row>
    <row r="285" spans="3:15">
      <c r="C285" s="184"/>
      <c r="D285" s="184"/>
      <c r="E285" s="184"/>
      <c r="F285" s="184"/>
      <c r="G285" s="184"/>
      <c r="H285" s="184"/>
      <c r="I285" s="184"/>
      <c r="J285" s="184"/>
      <c r="K285" s="184"/>
      <c r="L285" s="184"/>
      <c r="M285" s="184"/>
      <c r="N285" s="184"/>
      <c r="O285" s="184"/>
    </row>
    <row r="286" spans="3:15">
      <c r="C286" s="184"/>
      <c r="D286" s="184"/>
      <c r="E286" s="184"/>
      <c r="F286" s="184"/>
      <c r="G286" s="184"/>
      <c r="H286" s="184"/>
      <c r="I286" s="184"/>
      <c r="J286" s="184"/>
      <c r="K286" s="184"/>
      <c r="L286" s="184"/>
      <c r="M286" s="184"/>
      <c r="N286" s="184"/>
      <c r="O286" s="184"/>
    </row>
    <row r="287" spans="3:15">
      <c r="C287" s="184"/>
      <c r="D287" s="184"/>
      <c r="E287" s="184"/>
      <c r="F287" s="184"/>
      <c r="G287" s="184"/>
      <c r="H287" s="184"/>
      <c r="I287" s="184"/>
      <c r="J287" s="184"/>
      <c r="K287" s="184"/>
      <c r="L287" s="184"/>
      <c r="M287" s="184"/>
      <c r="N287" s="184"/>
      <c r="O287" s="184"/>
    </row>
    <row r="288" spans="3:15">
      <c r="C288" s="184"/>
      <c r="D288" s="184"/>
      <c r="E288" s="184"/>
      <c r="F288" s="184"/>
      <c r="G288" s="184"/>
      <c r="H288" s="184"/>
      <c r="I288" s="184"/>
      <c r="J288" s="184"/>
      <c r="K288" s="184"/>
      <c r="L288" s="184"/>
      <c r="M288" s="184"/>
      <c r="N288" s="184"/>
      <c r="O288" s="184"/>
    </row>
    <row r="289" spans="3:15">
      <c r="C289" s="184"/>
      <c r="D289" s="184"/>
      <c r="E289" s="184"/>
      <c r="F289" s="184"/>
      <c r="G289" s="184"/>
      <c r="H289" s="184"/>
      <c r="I289" s="184"/>
      <c r="J289" s="184"/>
      <c r="K289" s="184"/>
      <c r="L289" s="184"/>
      <c r="M289" s="184"/>
      <c r="N289" s="184"/>
      <c r="O289" s="184"/>
    </row>
    <row r="290" spans="3:15">
      <c r="C290" s="184"/>
      <c r="D290" s="184"/>
      <c r="E290" s="184"/>
      <c r="F290" s="184"/>
      <c r="G290" s="184"/>
      <c r="H290" s="184"/>
      <c r="I290" s="184"/>
      <c r="J290" s="184"/>
      <c r="K290" s="184"/>
      <c r="L290" s="184"/>
      <c r="M290" s="184"/>
      <c r="N290" s="184"/>
      <c r="O290" s="184"/>
    </row>
    <row r="291" spans="3:15">
      <c r="C291" s="184"/>
      <c r="D291" s="184"/>
      <c r="E291" s="184"/>
      <c r="F291" s="184"/>
      <c r="G291" s="184"/>
      <c r="H291" s="184"/>
      <c r="I291" s="184"/>
      <c r="J291" s="184"/>
    </row>
    <row r="292" spans="3:15">
      <c r="C292" s="184"/>
      <c r="D292" s="184"/>
      <c r="E292" s="184"/>
      <c r="F292" s="184"/>
      <c r="G292" s="184"/>
      <c r="H292" s="184"/>
      <c r="I292" s="184"/>
      <c r="J292" s="184"/>
    </row>
    <row r="293" spans="3:15">
      <c r="C293" s="184"/>
      <c r="D293" s="184"/>
      <c r="E293" s="184"/>
      <c r="F293" s="184"/>
      <c r="G293" s="184"/>
      <c r="H293" s="184"/>
      <c r="I293" s="184"/>
      <c r="J293" s="184"/>
    </row>
    <row r="294" spans="3:15">
      <c r="C294" s="184"/>
      <c r="D294" s="184"/>
      <c r="E294" s="184"/>
      <c r="F294" s="184"/>
      <c r="G294" s="184"/>
      <c r="H294" s="184"/>
      <c r="I294" s="184"/>
      <c r="J294" s="184"/>
    </row>
    <row r="295" spans="3:15">
      <c r="C295" s="184"/>
      <c r="D295" s="184"/>
      <c r="E295" s="184"/>
      <c r="F295" s="184"/>
      <c r="G295" s="184"/>
      <c r="H295" s="184"/>
      <c r="I295" s="184"/>
      <c r="J295" s="184"/>
    </row>
    <row r="296" spans="3:15">
      <c r="C296" s="184"/>
      <c r="D296" s="184"/>
      <c r="E296" s="184"/>
      <c r="F296" s="184"/>
      <c r="G296" s="184"/>
      <c r="H296" s="184"/>
      <c r="I296" s="184"/>
      <c r="J296" s="184"/>
    </row>
    <row r="297" spans="3:15">
      <c r="C297" s="184"/>
      <c r="D297" s="184"/>
      <c r="E297" s="184"/>
      <c r="F297" s="184"/>
      <c r="G297" s="184"/>
      <c r="H297" s="184"/>
      <c r="I297" s="184"/>
      <c r="J297" s="184"/>
    </row>
    <row r="298" spans="3:15">
      <c r="C298" s="184"/>
      <c r="D298" s="184"/>
      <c r="E298" s="184"/>
      <c r="F298" s="184"/>
      <c r="G298" s="184"/>
      <c r="H298" s="184"/>
      <c r="I298" s="184"/>
      <c r="J298" s="184"/>
    </row>
  </sheetData>
  <mergeCells count="8">
    <mergeCell ref="M100:X100"/>
    <mergeCell ref="M99:X99"/>
    <mergeCell ref="M93:X93"/>
    <mergeCell ref="M94:X94"/>
    <mergeCell ref="M95:X95"/>
    <mergeCell ref="M96:X96"/>
    <mergeCell ref="M97:X97"/>
    <mergeCell ref="M98:X98"/>
  </mergeCells>
  <printOptions horizontalCentered="1"/>
  <pageMargins left="0.75" right="0.75" top="0.75" bottom="0.5" header="0.5" footer="0.5"/>
  <pageSetup scale="56" orientation="landscape" horizontalDpi="300" verticalDpi="300" r:id="rId1"/>
  <headerFooter alignWithMargins="0"/>
  <rowBreaks count="1" manualBreakCount="1">
    <brk id="48" min="10" max="2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B050"/>
    <pageSetUpPr fitToPage="1"/>
  </sheetPr>
  <dimension ref="A1:G136"/>
  <sheetViews>
    <sheetView workbookViewId="0"/>
  </sheetViews>
  <sheetFormatPr defaultColWidth="8.77734375" defaultRowHeight="12.75"/>
  <cols>
    <col min="1" max="1" width="8.77734375" style="429"/>
    <col min="2" max="2" width="0.88671875" style="429" customWidth="1"/>
    <col min="3" max="3" width="8.77734375" style="429"/>
    <col min="4" max="4" width="1.5546875" style="429" customWidth="1"/>
    <col min="5" max="5" width="46.109375" style="429" customWidth="1"/>
    <col min="6" max="6" width="6" style="429" customWidth="1"/>
    <col min="7" max="7" width="9.6640625" style="438" customWidth="1"/>
    <col min="8" max="16384" width="8.77734375" style="429"/>
  </cols>
  <sheetData>
    <row r="1" spans="1:7">
      <c r="A1" s="427" t="s">
        <v>445</v>
      </c>
      <c r="B1" s="427"/>
      <c r="C1" s="427"/>
      <c r="D1" s="427"/>
      <c r="E1" s="427"/>
      <c r="F1" s="427"/>
      <c r="G1" s="428"/>
    </row>
    <row r="2" spans="1:7">
      <c r="A2" s="427" t="s">
        <v>446</v>
      </c>
      <c r="B2" s="427"/>
      <c r="C2" s="427"/>
      <c r="D2" s="427"/>
      <c r="E2" s="427"/>
      <c r="F2" s="427"/>
      <c r="G2" s="428"/>
    </row>
    <row r="5" spans="1:7">
      <c r="A5" s="430" t="s">
        <v>447</v>
      </c>
      <c r="B5" s="430"/>
      <c r="C5" s="430" t="s">
        <v>448</v>
      </c>
      <c r="D5" s="430"/>
      <c r="E5" s="430"/>
      <c r="F5" s="430"/>
      <c r="G5" s="431" t="s">
        <v>280</v>
      </c>
    </row>
    <row r="6" spans="1:7">
      <c r="A6" s="430" t="s">
        <v>449</v>
      </c>
      <c r="B6" s="430"/>
      <c r="C6" s="430" t="s">
        <v>449</v>
      </c>
      <c r="D6" s="430"/>
      <c r="E6" s="430"/>
      <c r="F6" s="430"/>
      <c r="G6" s="431" t="s">
        <v>450</v>
      </c>
    </row>
    <row r="7" spans="1:7">
      <c r="A7" s="432" t="s">
        <v>451</v>
      </c>
      <c r="B7" s="432"/>
      <c r="C7" s="432" t="s">
        <v>451</v>
      </c>
      <c r="D7" s="432"/>
      <c r="E7" s="432" t="s">
        <v>452</v>
      </c>
      <c r="F7" s="432"/>
      <c r="G7" s="433" t="s">
        <v>453</v>
      </c>
    </row>
    <row r="8" spans="1:7">
      <c r="A8" s="434" t="s">
        <v>418</v>
      </c>
      <c r="B8" s="430"/>
      <c r="C8" s="434" t="s">
        <v>419</v>
      </c>
      <c r="D8" s="430"/>
      <c r="E8" s="430" t="s">
        <v>420</v>
      </c>
      <c r="F8" s="430"/>
      <c r="G8" s="435" t="s">
        <v>454</v>
      </c>
    </row>
    <row r="9" spans="1:7">
      <c r="A9" s="434"/>
      <c r="B9" s="430"/>
      <c r="C9" s="434"/>
      <c r="D9" s="430"/>
      <c r="E9" s="430"/>
      <c r="F9" s="430"/>
      <c r="G9" s="431" t="s">
        <v>88</v>
      </c>
    </row>
    <row r="10" spans="1:7">
      <c r="A10" s="436" t="s">
        <v>455</v>
      </c>
      <c r="B10" s="436"/>
      <c r="C10" s="427"/>
      <c r="D10" s="427"/>
      <c r="E10" s="427"/>
      <c r="F10" s="427"/>
      <c r="G10" s="428"/>
    </row>
    <row r="11" spans="1:7">
      <c r="G11" s="437"/>
    </row>
    <row r="12" spans="1:7">
      <c r="A12" s="858">
        <v>350</v>
      </c>
      <c r="B12" s="858"/>
      <c r="C12" s="858">
        <v>3403</v>
      </c>
      <c r="E12" s="429" t="s">
        <v>456</v>
      </c>
      <c r="G12" s="1034">
        <v>1.54</v>
      </c>
    </row>
    <row r="13" spans="1:7">
      <c r="A13" s="858">
        <v>352</v>
      </c>
      <c r="B13" s="858"/>
      <c r="C13" s="858">
        <v>3420</v>
      </c>
      <c r="E13" s="429" t="s">
        <v>457</v>
      </c>
      <c r="G13" s="1034">
        <v>1.9</v>
      </c>
    </row>
    <row r="14" spans="1:7">
      <c r="A14" s="858">
        <v>352</v>
      </c>
      <c r="B14" s="858"/>
      <c r="C14" s="858">
        <v>3424</v>
      </c>
      <c r="E14" s="429" t="s">
        <v>458</v>
      </c>
      <c r="G14" s="1034">
        <v>1.9</v>
      </c>
    </row>
    <row r="15" spans="1:7">
      <c r="A15" s="858">
        <v>353</v>
      </c>
      <c r="B15" s="858"/>
      <c r="C15" s="858">
        <v>3430</v>
      </c>
      <c r="E15" s="429" t="s">
        <v>459</v>
      </c>
      <c r="G15" s="1034">
        <v>1.68</v>
      </c>
    </row>
    <row r="16" spans="1:7">
      <c r="A16" s="858">
        <v>353</v>
      </c>
      <c r="B16" s="858"/>
      <c r="C16" s="858">
        <v>3434</v>
      </c>
      <c r="E16" s="429" t="s">
        <v>460</v>
      </c>
      <c r="G16" s="1034">
        <v>1.68</v>
      </c>
    </row>
    <row r="17" spans="1:7">
      <c r="A17" s="858">
        <v>354</v>
      </c>
      <c r="B17" s="858"/>
      <c r="C17" s="858">
        <v>3440</v>
      </c>
      <c r="E17" s="429" t="s">
        <v>461</v>
      </c>
      <c r="G17" s="1034">
        <v>1.85</v>
      </c>
    </row>
    <row r="18" spans="1:7">
      <c r="A18" s="858">
        <v>354</v>
      </c>
      <c r="B18" s="858"/>
      <c r="C18" s="858">
        <v>3444</v>
      </c>
      <c r="E18" s="429" t="s">
        <v>462</v>
      </c>
      <c r="G18" s="1034">
        <v>1.85</v>
      </c>
    </row>
    <row r="19" spans="1:7">
      <c r="A19" s="858">
        <v>355</v>
      </c>
      <c r="B19" s="858"/>
      <c r="C19" s="858">
        <v>3450</v>
      </c>
      <c r="E19" s="429" t="s">
        <v>463</v>
      </c>
      <c r="G19" s="1034">
        <v>2.31</v>
      </c>
    </row>
    <row r="20" spans="1:7">
      <c r="A20" s="858">
        <v>355</v>
      </c>
      <c r="B20" s="858"/>
      <c r="C20" s="858">
        <v>3454</v>
      </c>
      <c r="E20" s="429" t="s">
        <v>464</v>
      </c>
      <c r="G20" s="1034">
        <v>2.31</v>
      </c>
    </row>
    <row r="21" spans="1:7">
      <c r="A21" s="858">
        <v>356</v>
      </c>
      <c r="B21" s="858"/>
      <c r="C21" s="858">
        <v>3460</v>
      </c>
      <c r="E21" s="429" t="s">
        <v>465</v>
      </c>
      <c r="G21" s="1034">
        <v>1.91</v>
      </c>
    </row>
    <row r="22" spans="1:7">
      <c r="A22" s="858">
        <v>356</v>
      </c>
      <c r="B22" s="858"/>
      <c r="C22" s="858">
        <v>3464</v>
      </c>
      <c r="E22" s="429" t="s">
        <v>466</v>
      </c>
      <c r="G22" s="1034">
        <v>1.91</v>
      </c>
    </row>
    <row r="23" spans="1:7">
      <c r="A23" s="858">
        <v>357</v>
      </c>
      <c r="B23" s="858"/>
      <c r="C23" s="858">
        <v>3470</v>
      </c>
      <c r="E23" s="429" t="s">
        <v>467</v>
      </c>
      <c r="G23" s="1034">
        <v>1.43</v>
      </c>
    </row>
    <row r="24" spans="1:7">
      <c r="A24" s="858">
        <v>358</v>
      </c>
      <c r="B24" s="858"/>
      <c r="C24" s="858">
        <v>3480</v>
      </c>
      <c r="E24" s="429" t="s">
        <v>468</v>
      </c>
      <c r="G24" s="1034">
        <v>2.37</v>
      </c>
    </row>
    <row r="25" spans="1:7">
      <c r="A25" s="858"/>
      <c r="B25" s="858"/>
      <c r="C25" s="858"/>
      <c r="G25" s="1034"/>
    </row>
    <row r="26" spans="1:7">
      <c r="A26" s="859" t="s">
        <v>469</v>
      </c>
      <c r="B26" s="860"/>
      <c r="C26" s="860"/>
      <c r="D26" s="427"/>
      <c r="E26" s="427"/>
      <c r="F26" s="427"/>
      <c r="G26" s="1034"/>
    </row>
    <row r="27" spans="1:7">
      <c r="A27" s="858"/>
      <c r="B27" s="858"/>
      <c r="C27" s="858"/>
      <c r="G27" s="1034"/>
    </row>
    <row r="28" spans="1:7">
      <c r="A28" s="858">
        <v>352</v>
      </c>
      <c r="B28" s="858"/>
      <c r="C28" s="858">
        <v>3421</v>
      </c>
      <c r="E28" s="429" t="s">
        <v>470</v>
      </c>
      <c r="G28" s="1034">
        <v>2.5</v>
      </c>
    </row>
    <row r="29" spans="1:7">
      <c r="A29" s="858">
        <v>352</v>
      </c>
      <c r="B29" s="858"/>
      <c r="C29" s="858">
        <v>3425</v>
      </c>
      <c r="E29" s="429" t="s">
        <v>470</v>
      </c>
      <c r="G29" s="1034">
        <v>2.5</v>
      </c>
    </row>
    <row r="30" spans="1:7">
      <c r="A30" s="858">
        <v>353</v>
      </c>
      <c r="B30" s="858"/>
      <c r="C30" s="858">
        <v>3431</v>
      </c>
      <c r="E30" s="429" t="s">
        <v>471</v>
      </c>
      <c r="G30" s="1034">
        <v>2.86</v>
      </c>
    </row>
    <row r="31" spans="1:7">
      <c r="A31" s="858">
        <v>353</v>
      </c>
      <c r="B31" s="858"/>
      <c r="C31" s="858">
        <v>3432</v>
      </c>
      <c r="E31" s="429" t="s">
        <v>471</v>
      </c>
      <c r="G31" s="1034">
        <v>2.86</v>
      </c>
    </row>
    <row r="32" spans="1:7">
      <c r="A32" s="858">
        <v>353</v>
      </c>
      <c r="B32" s="858"/>
      <c r="C32" s="858">
        <v>3435</v>
      </c>
      <c r="E32" s="429" t="s">
        <v>471</v>
      </c>
      <c r="G32" s="1034">
        <v>2.86</v>
      </c>
    </row>
    <row r="33" spans="1:7">
      <c r="A33" s="858">
        <v>353</v>
      </c>
      <c r="B33" s="858"/>
      <c r="C33" s="858">
        <v>3437</v>
      </c>
      <c r="E33" s="429" t="s">
        <v>471</v>
      </c>
      <c r="G33" s="1034">
        <v>2.86</v>
      </c>
    </row>
    <row r="34" spans="1:7">
      <c r="A34" s="858">
        <v>354</v>
      </c>
      <c r="B34" s="858"/>
      <c r="C34" s="858">
        <v>3441</v>
      </c>
      <c r="E34" s="429" t="s">
        <v>472</v>
      </c>
      <c r="G34" s="1034">
        <v>3</v>
      </c>
    </row>
    <row r="35" spans="1:7">
      <c r="A35" s="858">
        <v>354</v>
      </c>
      <c r="B35" s="858"/>
      <c r="C35" s="858">
        <v>3442</v>
      </c>
      <c r="E35" s="429" t="s">
        <v>472</v>
      </c>
      <c r="G35" s="1034">
        <v>3</v>
      </c>
    </row>
    <row r="36" spans="1:7">
      <c r="A36" s="858">
        <v>354</v>
      </c>
      <c r="B36" s="858"/>
      <c r="C36" s="858">
        <v>3445</v>
      </c>
      <c r="E36" s="429" t="s">
        <v>472</v>
      </c>
      <c r="G36" s="1034">
        <v>3</v>
      </c>
    </row>
    <row r="37" spans="1:7">
      <c r="A37" s="858">
        <v>354</v>
      </c>
      <c r="B37" s="858"/>
      <c r="C37" s="858">
        <v>3446</v>
      </c>
      <c r="E37" s="429" t="s">
        <v>473</v>
      </c>
      <c r="G37" s="1034">
        <v>3</v>
      </c>
    </row>
    <row r="38" spans="1:7">
      <c r="A38" s="858">
        <v>354</v>
      </c>
      <c r="B38" s="858"/>
      <c r="C38" s="858">
        <v>3448</v>
      </c>
      <c r="E38" s="429" t="s">
        <v>472</v>
      </c>
      <c r="G38" s="1034">
        <v>3</v>
      </c>
    </row>
    <row r="39" spans="1:7">
      <c r="A39" s="858">
        <v>355</v>
      </c>
      <c r="B39" s="858"/>
      <c r="C39" s="858">
        <v>3451</v>
      </c>
      <c r="E39" s="429" t="s">
        <v>474</v>
      </c>
      <c r="G39" s="1034">
        <v>3</v>
      </c>
    </row>
    <row r="40" spans="1:7">
      <c r="A40" s="858">
        <v>355</v>
      </c>
      <c r="B40" s="858"/>
      <c r="C40" s="858">
        <v>3455</v>
      </c>
      <c r="E40" s="429" t="s">
        <v>474</v>
      </c>
      <c r="G40" s="1034">
        <v>3</v>
      </c>
    </row>
    <row r="41" spans="1:7">
      <c r="A41" s="858">
        <v>356</v>
      </c>
      <c r="B41" s="858"/>
      <c r="C41" s="858">
        <v>3461</v>
      </c>
      <c r="E41" s="429" t="s">
        <v>475</v>
      </c>
      <c r="G41" s="1034">
        <v>2.5</v>
      </c>
    </row>
    <row r="42" spans="1:7">
      <c r="A42" s="858">
        <v>356</v>
      </c>
      <c r="B42" s="858"/>
      <c r="C42" s="858">
        <v>3462</v>
      </c>
      <c r="E42" s="429" t="s">
        <v>475</v>
      </c>
      <c r="G42" s="1034">
        <v>2.5</v>
      </c>
    </row>
    <row r="43" spans="1:7">
      <c r="A43" s="858">
        <v>356</v>
      </c>
      <c r="B43" s="858"/>
      <c r="C43" s="858">
        <v>3465</v>
      </c>
      <c r="E43" s="429" t="s">
        <v>475</v>
      </c>
      <c r="G43" s="1034">
        <v>2.5</v>
      </c>
    </row>
    <row r="44" spans="1:7">
      <c r="A44" s="858">
        <v>356</v>
      </c>
      <c r="B44" s="858"/>
      <c r="C44" s="858">
        <v>3466</v>
      </c>
      <c r="E44" s="429" t="s">
        <v>476</v>
      </c>
      <c r="G44" s="1034">
        <v>2.5</v>
      </c>
    </row>
    <row r="45" spans="1:7">
      <c r="A45" s="858"/>
      <c r="B45" s="858"/>
      <c r="C45" s="858"/>
      <c r="G45" s="1034"/>
    </row>
    <row r="46" spans="1:7">
      <c r="A46" s="859" t="s">
        <v>477</v>
      </c>
      <c r="B46" s="860"/>
      <c r="C46" s="860"/>
      <c r="D46" s="427"/>
      <c r="E46" s="427"/>
      <c r="F46" s="427"/>
      <c r="G46" s="1034"/>
    </row>
    <row r="47" spans="1:7">
      <c r="A47" s="858"/>
      <c r="B47" s="858"/>
      <c r="C47" s="858"/>
      <c r="G47" s="1034"/>
    </row>
    <row r="48" spans="1:7">
      <c r="A48" s="858">
        <v>352</v>
      </c>
      <c r="B48" s="858"/>
      <c r="C48" s="858">
        <v>3423</v>
      </c>
      <c r="E48" s="429" t="s">
        <v>478</v>
      </c>
      <c r="G48" s="1034">
        <v>2.5</v>
      </c>
    </row>
    <row r="49" spans="1:7">
      <c r="A49" s="858">
        <v>353</v>
      </c>
      <c r="B49" s="858"/>
      <c r="C49" s="858">
        <v>3433</v>
      </c>
      <c r="E49" s="429" t="s">
        <v>479</v>
      </c>
      <c r="G49" s="1034">
        <v>2.86</v>
      </c>
    </row>
    <row r="50" spans="1:7">
      <c r="A50" s="858">
        <v>353</v>
      </c>
      <c r="B50" s="858"/>
      <c r="C50" s="858">
        <v>3438</v>
      </c>
      <c r="E50" s="429" t="s">
        <v>479</v>
      </c>
      <c r="G50" s="1034">
        <v>2.86</v>
      </c>
    </row>
    <row r="51" spans="1:7">
      <c r="A51" s="858">
        <v>354</v>
      </c>
      <c r="B51" s="858"/>
      <c r="C51" s="858">
        <v>3447</v>
      </c>
      <c r="E51" s="429" t="s">
        <v>480</v>
      </c>
      <c r="G51" s="1034">
        <v>3</v>
      </c>
    </row>
    <row r="52" spans="1:7">
      <c r="A52" s="858">
        <v>356</v>
      </c>
      <c r="B52" s="858"/>
      <c r="C52" s="858">
        <v>3467</v>
      </c>
      <c r="E52" s="429" t="s">
        <v>481</v>
      </c>
      <c r="G52" s="1034">
        <v>2.5</v>
      </c>
    </row>
    <row r="53" spans="1:7">
      <c r="A53" s="858"/>
      <c r="B53" s="858"/>
      <c r="C53" s="858"/>
      <c r="G53" s="964"/>
    </row>
    <row r="54" spans="1:7">
      <c r="A54" s="859" t="s">
        <v>535</v>
      </c>
      <c r="B54" s="860"/>
      <c r="C54" s="860"/>
      <c r="D54" s="427"/>
      <c r="E54" s="427"/>
      <c r="F54" s="427"/>
      <c r="G54" s="964"/>
    </row>
    <row r="55" spans="1:7">
      <c r="A55" s="858"/>
      <c r="B55" s="858"/>
      <c r="C55" s="858"/>
      <c r="G55" s="964"/>
    </row>
    <row r="56" spans="1:7">
      <c r="A56" s="861">
        <v>303</v>
      </c>
      <c r="B56" s="862">
        <v>3030</v>
      </c>
      <c r="C56" s="858">
        <v>3030</v>
      </c>
      <c r="E56" s="429" t="s">
        <v>483</v>
      </c>
      <c r="G56" s="1034">
        <v>20</v>
      </c>
    </row>
    <row r="57" spans="1:7">
      <c r="A57" s="861">
        <v>389</v>
      </c>
      <c r="B57" s="862">
        <v>3890</v>
      </c>
      <c r="C57" s="858">
        <v>3890</v>
      </c>
      <c r="E57" s="429" t="s">
        <v>484</v>
      </c>
      <c r="G57" s="964" t="s">
        <v>485</v>
      </c>
    </row>
    <row r="58" spans="1:7">
      <c r="A58" s="861">
        <v>390</v>
      </c>
      <c r="B58" s="862">
        <v>3900</v>
      </c>
      <c r="C58" s="858">
        <v>3900</v>
      </c>
      <c r="E58" s="429" t="s">
        <v>486</v>
      </c>
      <c r="G58" s="1034">
        <v>2.9</v>
      </c>
    </row>
    <row r="59" spans="1:7">
      <c r="A59" s="861">
        <v>391</v>
      </c>
      <c r="B59" s="862">
        <v>3910</v>
      </c>
      <c r="C59" s="858">
        <v>3910</v>
      </c>
      <c r="E59" s="429" t="s">
        <v>487</v>
      </c>
      <c r="G59" s="1034">
        <v>5</v>
      </c>
    </row>
    <row r="60" spans="1:7">
      <c r="A60" s="861">
        <v>391</v>
      </c>
      <c r="B60" s="862">
        <v>3911</v>
      </c>
      <c r="C60" s="858">
        <v>3911</v>
      </c>
      <c r="E60" s="429" t="s">
        <v>488</v>
      </c>
      <c r="G60" s="1034">
        <v>20</v>
      </c>
    </row>
    <row r="61" spans="1:7">
      <c r="A61" s="861">
        <v>392</v>
      </c>
      <c r="B61" s="862">
        <v>3920</v>
      </c>
      <c r="C61" s="858">
        <v>3920</v>
      </c>
      <c r="E61" s="429" t="s">
        <v>489</v>
      </c>
      <c r="G61" s="1034">
        <v>7.5</v>
      </c>
    </row>
    <row r="62" spans="1:7">
      <c r="A62" s="861">
        <v>392</v>
      </c>
      <c r="B62" s="862">
        <v>3921</v>
      </c>
      <c r="C62" s="858">
        <v>3921</v>
      </c>
      <c r="E62" s="429" t="s">
        <v>490</v>
      </c>
      <c r="G62" s="1034">
        <v>4.05</v>
      </c>
    </row>
    <row r="63" spans="1:7">
      <c r="A63" s="861">
        <v>394</v>
      </c>
      <c r="B63" s="862">
        <v>3940</v>
      </c>
      <c r="C63" s="858">
        <v>3940</v>
      </c>
      <c r="E63" s="429" t="s">
        <v>491</v>
      </c>
      <c r="G63" s="1034">
        <v>4</v>
      </c>
    </row>
    <row r="64" spans="1:7">
      <c r="A64" s="861">
        <v>395</v>
      </c>
      <c r="B64" s="862">
        <v>3950</v>
      </c>
      <c r="C64" s="858">
        <v>3950</v>
      </c>
      <c r="E64" s="429" t="s">
        <v>492</v>
      </c>
      <c r="G64" s="1034">
        <v>6.67</v>
      </c>
    </row>
    <row r="65" spans="1:7">
      <c r="A65" s="861">
        <v>396</v>
      </c>
      <c r="B65" s="862">
        <v>3960</v>
      </c>
      <c r="C65" s="858">
        <v>3960</v>
      </c>
      <c r="E65" s="429" t="s">
        <v>493</v>
      </c>
      <c r="G65" s="1034">
        <v>4.45</v>
      </c>
    </row>
    <row r="66" spans="1:7">
      <c r="A66" s="861">
        <v>397</v>
      </c>
      <c r="B66" s="862">
        <v>3970</v>
      </c>
      <c r="C66" s="858">
        <v>3970</v>
      </c>
      <c r="E66" s="429" t="s">
        <v>494</v>
      </c>
      <c r="G66" s="1034">
        <v>6.67</v>
      </c>
    </row>
    <row r="67" spans="1:7">
      <c r="A67" s="861">
        <v>398</v>
      </c>
      <c r="B67" s="862">
        <v>3980</v>
      </c>
      <c r="C67" s="858">
        <v>3980</v>
      </c>
      <c r="E67" s="429" t="s">
        <v>495</v>
      </c>
      <c r="G67" s="1034">
        <v>5</v>
      </c>
    </row>
    <row r="68" spans="1:7">
      <c r="A68" s="430"/>
      <c r="B68" s="430"/>
      <c r="C68" s="430"/>
      <c r="G68" s="437"/>
    </row>
    <row r="69" spans="1:7">
      <c r="B69" s="430"/>
      <c r="C69" s="430"/>
    </row>
    <row r="70" spans="1:7">
      <c r="A70" s="439"/>
      <c r="B70" s="430"/>
      <c r="C70" s="430"/>
    </row>
    <row r="71" spans="1:7">
      <c r="A71" s="430"/>
      <c r="B71" s="430"/>
      <c r="C71" s="430"/>
    </row>
    <row r="72" spans="1:7">
      <c r="A72" s="430"/>
      <c r="B72" s="430"/>
      <c r="C72" s="430"/>
    </row>
    <row r="73" spans="1:7">
      <c r="A73" s="430"/>
      <c r="B73" s="430"/>
      <c r="C73" s="430"/>
    </row>
    <row r="74" spans="1:7">
      <c r="A74" s="430"/>
      <c r="B74" s="430"/>
      <c r="C74" s="430"/>
    </row>
    <row r="75" spans="1:7">
      <c r="A75" s="430"/>
      <c r="B75" s="430"/>
      <c r="C75" s="430"/>
    </row>
    <row r="76" spans="1:7">
      <c r="A76" s="430"/>
      <c r="B76" s="430"/>
      <c r="C76" s="430"/>
    </row>
    <row r="77" spans="1:7">
      <c r="A77" s="430"/>
      <c r="B77" s="430"/>
      <c r="C77" s="430"/>
    </row>
    <row r="78" spans="1:7">
      <c r="A78" s="430"/>
      <c r="B78" s="430"/>
      <c r="C78" s="430"/>
    </row>
    <row r="79" spans="1:7">
      <c r="A79" s="430"/>
      <c r="B79" s="430"/>
      <c r="C79" s="430"/>
    </row>
    <row r="80" spans="1:7">
      <c r="A80" s="430"/>
      <c r="B80" s="430"/>
      <c r="C80" s="430"/>
    </row>
    <row r="81" spans="1:3">
      <c r="A81" s="430"/>
      <c r="B81" s="430"/>
      <c r="C81" s="430"/>
    </row>
    <row r="82" spans="1:3">
      <c r="A82" s="430"/>
      <c r="B82" s="430"/>
      <c r="C82" s="430"/>
    </row>
    <row r="83" spans="1:3">
      <c r="A83" s="430"/>
      <c r="B83" s="430"/>
      <c r="C83" s="430"/>
    </row>
    <row r="84" spans="1:3">
      <c r="A84" s="430"/>
      <c r="B84" s="430"/>
      <c r="C84" s="430"/>
    </row>
    <row r="85" spans="1:3">
      <c r="A85" s="430"/>
      <c r="B85" s="430"/>
      <c r="C85" s="430"/>
    </row>
    <row r="86" spans="1:3">
      <c r="A86" s="430"/>
      <c r="B86" s="430"/>
      <c r="C86" s="430"/>
    </row>
    <row r="87" spans="1:3">
      <c r="A87" s="430"/>
      <c r="B87" s="430"/>
      <c r="C87" s="430"/>
    </row>
    <row r="88" spans="1:3">
      <c r="A88" s="430"/>
      <c r="B88" s="430"/>
      <c r="C88" s="430"/>
    </row>
    <row r="89" spans="1:3">
      <c r="A89" s="430"/>
      <c r="B89" s="430"/>
      <c r="C89" s="430"/>
    </row>
    <row r="90" spans="1:3">
      <c r="A90" s="430"/>
      <c r="B90" s="430"/>
      <c r="C90" s="430"/>
    </row>
    <row r="91" spans="1:3">
      <c r="A91" s="430"/>
      <c r="B91" s="430"/>
      <c r="C91" s="430"/>
    </row>
    <row r="92" spans="1:3">
      <c r="A92" s="430"/>
      <c r="B92" s="430"/>
      <c r="C92" s="430"/>
    </row>
    <row r="93" spans="1:3">
      <c r="A93" s="430"/>
      <c r="B93" s="430"/>
      <c r="C93" s="430"/>
    </row>
    <row r="94" spans="1:3">
      <c r="A94" s="430"/>
      <c r="B94" s="430"/>
      <c r="C94" s="430"/>
    </row>
    <row r="95" spans="1:3">
      <c r="A95" s="430"/>
      <c r="B95" s="430"/>
      <c r="C95" s="430"/>
    </row>
    <row r="96" spans="1:3">
      <c r="A96" s="430"/>
      <c r="B96" s="430"/>
      <c r="C96" s="430"/>
    </row>
    <row r="97" spans="1:3">
      <c r="A97" s="430"/>
      <c r="B97" s="430"/>
      <c r="C97" s="430"/>
    </row>
    <row r="98" spans="1:3">
      <c r="A98" s="430"/>
      <c r="B98" s="430"/>
      <c r="C98" s="430"/>
    </row>
    <row r="99" spans="1:3">
      <c r="A99" s="430"/>
      <c r="B99" s="430"/>
      <c r="C99" s="430"/>
    </row>
    <row r="100" spans="1:3">
      <c r="A100" s="430"/>
      <c r="B100" s="430"/>
      <c r="C100" s="430"/>
    </row>
    <row r="101" spans="1:3">
      <c r="A101" s="430"/>
      <c r="B101" s="430"/>
      <c r="C101" s="430"/>
    </row>
    <row r="102" spans="1:3">
      <c r="A102" s="430"/>
      <c r="B102" s="430"/>
      <c r="C102" s="430"/>
    </row>
    <row r="103" spans="1:3">
      <c r="A103" s="430"/>
      <c r="B103" s="430"/>
      <c r="C103" s="430"/>
    </row>
    <row r="104" spans="1:3">
      <c r="A104" s="430"/>
      <c r="B104" s="430"/>
      <c r="C104" s="430"/>
    </row>
    <row r="105" spans="1:3">
      <c r="A105" s="430"/>
      <c r="B105" s="430"/>
      <c r="C105" s="430"/>
    </row>
    <row r="106" spans="1:3">
      <c r="A106" s="430"/>
      <c r="B106" s="430"/>
      <c r="C106" s="430"/>
    </row>
    <row r="107" spans="1:3">
      <c r="A107" s="430"/>
      <c r="B107" s="430"/>
      <c r="C107" s="430"/>
    </row>
    <row r="108" spans="1:3">
      <c r="A108" s="430"/>
      <c r="B108" s="430"/>
      <c r="C108" s="430"/>
    </row>
    <row r="109" spans="1:3">
      <c r="A109" s="430"/>
      <c r="B109" s="430"/>
      <c r="C109" s="430"/>
    </row>
    <row r="110" spans="1:3">
      <c r="A110" s="430"/>
      <c r="B110" s="430"/>
      <c r="C110" s="430"/>
    </row>
    <row r="111" spans="1:3">
      <c r="A111" s="430"/>
      <c r="B111" s="430"/>
      <c r="C111" s="430"/>
    </row>
    <row r="112" spans="1:3">
      <c r="A112" s="430"/>
      <c r="B112" s="430"/>
      <c r="C112" s="430"/>
    </row>
    <row r="113" spans="1:3">
      <c r="A113" s="430"/>
      <c r="B113" s="430"/>
      <c r="C113" s="430"/>
    </row>
    <row r="114" spans="1:3">
      <c r="A114" s="430"/>
      <c r="B114" s="430"/>
      <c r="C114" s="430"/>
    </row>
    <row r="115" spans="1:3">
      <c r="A115" s="430"/>
      <c r="B115" s="430"/>
      <c r="C115" s="430"/>
    </row>
    <row r="116" spans="1:3">
      <c r="A116" s="430"/>
      <c r="B116" s="430"/>
      <c r="C116" s="430"/>
    </row>
    <row r="117" spans="1:3">
      <c r="A117" s="430"/>
      <c r="B117" s="430"/>
      <c r="C117" s="430"/>
    </row>
    <row r="118" spans="1:3">
      <c r="A118" s="430"/>
      <c r="B118" s="430"/>
      <c r="C118" s="430"/>
    </row>
    <row r="119" spans="1:3">
      <c r="A119" s="430"/>
      <c r="B119" s="430"/>
      <c r="C119" s="430"/>
    </row>
    <row r="120" spans="1:3">
      <c r="A120" s="430"/>
      <c r="B120" s="430"/>
      <c r="C120" s="430"/>
    </row>
    <row r="121" spans="1:3">
      <c r="A121" s="430"/>
      <c r="B121" s="430"/>
      <c r="C121" s="430"/>
    </row>
    <row r="122" spans="1:3">
      <c r="A122" s="430"/>
      <c r="B122" s="430"/>
      <c r="C122" s="430"/>
    </row>
    <row r="123" spans="1:3">
      <c r="A123" s="430"/>
      <c r="B123" s="430"/>
      <c r="C123" s="430"/>
    </row>
    <row r="124" spans="1:3">
      <c r="A124" s="430"/>
      <c r="B124" s="430"/>
      <c r="C124" s="430"/>
    </row>
    <row r="125" spans="1:3">
      <c r="A125" s="430"/>
      <c r="B125" s="430"/>
      <c r="C125" s="430"/>
    </row>
    <row r="126" spans="1:3">
      <c r="A126" s="430"/>
      <c r="B126" s="430"/>
      <c r="C126" s="430"/>
    </row>
    <row r="127" spans="1:3">
      <c r="A127" s="430"/>
      <c r="B127" s="430"/>
      <c r="C127" s="430"/>
    </row>
    <row r="128" spans="1:3">
      <c r="A128" s="430"/>
      <c r="B128" s="430"/>
      <c r="C128" s="430"/>
    </row>
    <row r="129" spans="1:3">
      <c r="A129" s="430"/>
      <c r="B129" s="430"/>
      <c r="C129" s="430"/>
    </row>
    <row r="130" spans="1:3">
      <c r="A130" s="430"/>
      <c r="B130" s="430"/>
      <c r="C130" s="430"/>
    </row>
    <row r="131" spans="1:3">
      <c r="A131" s="430"/>
      <c r="B131" s="430"/>
      <c r="C131" s="430"/>
    </row>
    <row r="132" spans="1:3">
      <c r="A132" s="430"/>
      <c r="B132" s="430"/>
      <c r="C132" s="430"/>
    </row>
    <row r="133" spans="1:3">
      <c r="A133" s="430"/>
      <c r="B133" s="430"/>
      <c r="C133" s="430"/>
    </row>
    <row r="134" spans="1:3">
      <c r="A134" s="430"/>
      <c r="B134" s="430"/>
      <c r="C134" s="430"/>
    </row>
    <row r="135" spans="1:3">
      <c r="A135" s="430"/>
      <c r="B135" s="430"/>
      <c r="C135" s="430"/>
    </row>
    <row r="136" spans="1:3">
      <c r="A136" s="430"/>
      <c r="B136" s="430"/>
      <c r="C136" s="430"/>
    </row>
  </sheetData>
  <printOptions horizontalCentered="1"/>
  <pageMargins left="0.75" right="0.75" top="0.75" bottom="0.5" header="0.75" footer="0.3"/>
  <pageSetup scale="83" orientation="portrait" blackAndWhite="1" r:id="rId1"/>
  <headerFooter>
    <oddHeader>&amp;R&amp;10Attachment H-22A
Appendix D
Page 1 of 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B050"/>
    <pageSetUpPr fitToPage="1"/>
  </sheetPr>
  <dimension ref="A1:H97"/>
  <sheetViews>
    <sheetView workbookViewId="0"/>
  </sheetViews>
  <sheetFormatPr defaultColWidth="8.77734375" defaultRowHeight="12.75"/>
  <cols>
    <col min="1" max="1" width="8.77734375" style="429"/>
    <col min="2" max="2" width="0.88671875" style="429" customWidth="1"/>
    <col min="3" max="3" width="8.77734375" style="429"/>
    <col min="4" max="4" width="1.5546875" style="429" customWidth="1"/>
    <col min="5" max="5" width="46.109375" style="429" customWidth="1"/>
    <col min="6" max="6" width="6" style="429" customWidth="1"/>
    <col min="7" max="7" width="9.6640625" style="438" customWidth="1"/>
    <col min="8" max="16384" width="8.77734375" style="429"/>
  </cols>
  <sheetData>
    <row r="1" spans="1:7">
      <c r="A1" s="427" t="s">
        <v>496</v>
      </c>
      <c r="B1" s="427"/>
      <c r="C1" s="427"/>
      <c r="D1" s="427"/>
      <c r="E1" s="427"/>
      <c r="F1" s="427"/>
      <c r="G1" s="428"/>
    </row>
    <row r="2" spans="1:7">
      <c r="A2" s="427" t="s">
        <v>446</v>
      </c>
      <c r="B2" s="427"/>
      <c r="C2" s="427"/>
      <c r="D2" s="427"/>
      <c r="E2" s="427"/>
      <c r="F2" s="427"/>
      <c r="G2" s="428"/>
    </row>
    <row r="5" spans="1:7">
      <c r="A5" s="430" t="s">
        <v>447</v>
      </c>
      <c r="B5" s="430"/>
      <c r="C5" s="430" t="s">
        <v>448</v>
      </c>
      <c r="D5" s="430"/>
      <c r="E5" s="430"/>
      <c r="F5" s="430"/>
      <c r="G5" s="431" t="s">
        <v>280</v>
      </c>
    </row>
    <row r="6" spans="1:7">
      <c r="A6" s="430" t="s">
        <v>449</v>
      </c>
      <c r="B6" s="430"/>
      <c r="C6" s="430" t="s">
        <v>449</v>
      </c>
      <c r="D6" s="430"/>
      <c r="E6" s="430"/>
      <c r="F6" s="430"/>
      <c r="G6" s="431" t="s">
        <v>450</v>
      </c>
    </row>
    <row r="7" spans="1:7">
      <c r="A7" s="432" t="s">
        <v>451</v>
      </c>
      <c r="B7" s="432"/>
      <c r="C7" s="432" t="s">
        <v>451</v>
      </c>
      <c r="D7" s="432"/>
      <c r="E7" s="432" t="s">
        <v>452</v>
      </c>
      <c r="F7" s="432"/>
      <c r="G7" s="433" t="s">
        <v>453</v>
      </c>
    </row>
    <row r="8" spans="1:7">
      <c r="A8" s="434" t="s">
        <v>418</v>
      </c>
      <c r="B8" s="430"/>
      <c r="C8" s="434" t="s">
        <v>419</v>
      </c>
      <c r="D8" s="430"/>
      <c r="E8" s="430" t="s">
        <v>420</v>
      </c>
      <c r="F8" s="430"/>
      <c r="G8" s="435" t="s">
        <v>454</v>
      </c>
    </row>
    <row r="9" spans="1:7">
      <c r="A9" s="434"/>
      <c r="B9" s="430"/>
      <c r="C9" s="434"/>
      <c r="D9" s="430"/>
      <c r="E9" s="430"/>
      <c r="F9" s="430"/>
      <c r="G9" s="431" t="s">
        <v>88</v>
      </c>
    </row>
    <row r="10" spans="1:7">
      <c r="A10" s="436" t="s">
        <v>203</v>
      </c>
      <c r="B10" s="436"/>
      <c r="C10" s="427"/>
      <c r="D10" s="427"/>
      <c r="E10" s="427"/>
      <c r="F10" s="427"/>
      <c r="G10" s="428"/>
    </row>
    <row r="11" spans="1:7">
      <c r="G11" s="437"/>
    </row>
    <row r="12" spans="1:7">
      <c r="A12" s="858">
        <v>350</v>
      </c>
      <c r="B12" s="863"/>
      <c r="C12" s="858">
        <v>3501</v>
      </c>
      <c r="E12" s="429" t="s">
        <v>456</v>
      </c>
      <c r="G12" s="1034">
        <v>1.48</v>
      </c>
    </row>
    <row r="13" spans="1:7">
      <c r="A13" s="858">
        <v>352</v>
      </c>
      <c r="B13" s="863"/>
      <c r="C13" s="858">
        <v>3520</v>
      </c>
      <c r="E13" s="429" t="s">
        <v>497</v>
      </c>
      <c r="G13" s="1034">
        <v>0.41</v>
      </c>
    </row>
    <row r="14" spans="1:7">
      <c r="A14" s="858">
        <v>353</v>
      </c>
      <c r="B14" s="863"/>
      <c r="C14" s="858">
        <v>3530</v>
      </c>
      <c r="E14" s="429" t="s">
        <v>459</v>
      </c>
      <c r="G14" s="1034">
        <v>2.25</v>
      </c>
    </row>
    <row r="15" spans="1:7">
      <c r="A15" s="858">
        <v>353</v>
      </c>
      <c r="B15" s="863"/>
      <c r="C15" s="858">
        <v>3532</v>
      </c>
      <c r="E15" s="429" t="s">
        <v>498</v>
      </c>
      <c r="G15" s="1034">
        <v>2.27</v>
      </c>
    </row>
    <row r="16" spans="1:7">
      <c r="A16" s="858">
        <v>353</v>
      </c>
      <c r="B16" s="863"/>
      <c r="C16" s="858">
        <v>3535</v>
      </c>
      <c r="E16" s="429" t="s">
        <v>499</v>
      </c>
      <c r="G16" s="1034">
        <v>9.5500000000000007</v>
      </c>
    </row>
    <row r="17" spans="1:8">
      <c r="A17" s="858">
        <v>355</v>
      </c>
      <c r="B17" s="863"/>
      <c r="C17" s="858">
        <v>3550</v>
      </c>
      <c r="E17" s="429" t="s">
        <v>463</v>
      </c>
      <c r="G17" s="1034">
        <v>2.1</v>
      </c>
    </row>
    <row r="18" spans="1:8">
      <c r="A18" s="858">
        <v>356</v>
      </c>
      <c r="B18" s="863"/>
      <c r="C18" s="858">
        <v>3560</v>
      </c>
      <c r="E18" s="429" t="s">
        <v>465</v>
      </c>
      <c r="G18" s="1034">
        <v>2.31</v>
      </c>
    </row>
    <row r="19" spans="1:8">
      <c r="A19" s="858"/>
      <c r="B19" s="858"/>
      <c r="C19" s="858"/>
      <c r="G19" s="1034"/>
    </row>
    <row r="20" spans="1:8">
      <c r="A20" s="858"/>
      <c r="B20" s="858"/>
      <c r="C20" s="858"/>
      <c r="G20" s="964"/>
    </row>
    <row r="21" spans="1:8">
      <c r="A21" s="859" t="s">
        <v>482</v>
      </c>
      <c r="B21" s="860"/>
      <c r="C21" s="860"/>
      <c r="D21" s="427"/>
      <c r="E21" s="427"/>
      <c r="F21" s="427"/>
      <c r="G21" s="964"/>
    </row>
    <row r="22" spans="1:8">
      <c r="A22" s="858"/>
      <c r="B22" s="858"/>
      <c r="C22" s="858"/>
      <c r="G22" s="964"/>
    </row>
    <row r="23" spans="1:8" ht="15">
      <c r="A23" s="858">
        <v>303</v>
      </c>
      <c r="B23" s="864"/>
      <c r="C23" s="858">
        <v>3030</v>
      </c>
      <c r="E23" s="429" t="s">
        <v>500</v>
      </c>
      <c r="G23" s="1034">
        <v>20</v>
      </c>
      <c r="H23" s="440"/>
    </row>
    <row r="24" spans="1:8" ht="15">
      <c r="A24" s="858">
        <v>390</v>
      </c>
      <c r="B24" s="864"/>
      <c r="C24" s="858">
        <v>3900</v>
      </c>
      <c r="E24" s="429" t="s">
        <v>486</v>
      </c>
      <c r="G24" s="1034">
        <v>1.77</v>
      </c>
    </row>
    <row r="25" spans="1:8" ht="15">
      <c r="A25" s="858">
        <v>391</v>
      </c>
      <c r="B25" s="864"/>
      <c r="C25" s="858">
        <v>39110</v>
      </c>
      <c r="E25" s="429" t="s">
        <v>487</v>
      </c>
      <c r="G25" s="1034">
        <v>18.559999999999999</v>
      </c>
    </row>
    <row r="26" spans="1:8" ht="15">
      <c r="A26" s="858">
        <v>392</v>
      </c>
      <c r="B26" s="864"/>
      <c r="C26" s="858">
        <v>3921</v>
      </c>
      <c r="E26" s="429" t="s">
        <v>490</v>
      </c>
      <c r="G26" s="441">
        <v>6.53</v>
      </c>
    </row>
    <row r="27" spans="1:8" ht="15">
      <c r="A27" s="858">
        <v>394</v>
      </c>
      <c r="B27" s="864"/>
      <c r="C27" s="858">
        <v>3940</v>
      </c>
      <c r="E27" s="429" t="s">
        <v>491</v>
      </c>
      <c r="G27" s="1034">
        <v>4.1399999999999997</v>
      </c>
    </row>
    <row r="28" spans="1:8" ht="15">
      <c r="A28" s="858">
        <v>397</v>
      </c>
      <c r="B28" s="864"/>
      <c r="C28" s="858">
        <v>3970</v>
      </c>
      <c r="E28" s="429" t="s">
        <v>494</v>
      </c>
      <c r="G28" s="1034">
        <v>6.93</v>
      </c>
    </row>
    <row r="29" spans="1:8">
      <c r="A29" s="430"/>
      <c r="B29" s="430"/>
      <c r="C29" s="430"/>
      <c r="G29" s="1026"/>
    </row>
    <row r="30" spans="1:8">
      <c r="B30" s="430"/>
      <c r="C30" s="430"/>
    </row>
    <row r="31" spans="1:8">
      <c r="A31" s="439"/>
      <c r="B31" s="430"/>
      <c r="C31" s="430"/>
    </row>
    <row r="32" spans="1:8">
      <c r="A32" s="430"/>
      <c r="B32" s="430"/>
      <c r="C32" s="430"/>
    </row>
    <row r="33" spans="1:3">
      <c r="A33" s="430"/>
      <c r="B33" s="430"/>
      <c r="C33" s="430"/>
    </row>
    <row r="34" spans="1:3">
      <c r="A34" s="430"/>
      <c r="B34" s="430"/>
      <c r="C34" s="430"/>
    </row>
    <row r="35" spans="1:3">
      <c r="A35" s="430"/>
      <c r="B35" s="430"/>
      <c r="C35" s="430"/>
    </row>
    <row r="36" spans="1:3">
      <c r="A36" s="430"/>
      <c r="B36" s="430"/>
      <c r="C36" s="430"/>
    </row>
    <row r="37" spans="1:3">
      <c r="A37" s="430"/>
      <c r="B37" s="430"/>
      <c r="C37" s="430"/>
    </row>
    <row r="38" spans="1:3">
      <c r="A38" s="430"/>
      <c r="B38" s="430"/>
      <c r="C38" s="430"/>
    </row>
    <row r="39" spans="1:3">
      <c r="A39" s="430"/>
      <c r="B39" s="430"/>
      <c r="C39" s="430"/>
    </row>
    <row r="40" spans="1:3">
      <c r="A40" s="430"/>
      <c r="B40" s="430"/>
      <c r="C40" s="430"/>
    </row>
    <row r="41" spans="1:3">
      <c r="A41" s="430"/>
      <c r="B41" s="430"/>
      <c r="C41" s="430"/>
    </row>
    <row r="42" spans="1:3">
      <c r="A42" s="430"/>
      <c r="B42" s="430"/>
      <c r="C42" s="430"/>
    </row>
    <row r="43" spans="1:3">
      <c r="A43" s="430"/>
      <c r="B43" s="430"/>
      <c r="C43" s="430"/>
    </row>
    <row r="44" spans="1:3">
      <c r="A44" s="430"/>
      <c r="B44" s="430"/>
      <c r="C44" s="430"/>
    </row>
    <row r="45" spans="1:3">
      <c r="A45" s="430"/>
      <c r="B45" s="430"/>
      <c r="C45" s="430"/>
    </row>
    <row r="46" spans="1:3">
      <c r="A46" s="430"/>
      <c r="B46" s="430"/>
      <c r="C46" s="430"/>
    </row>
    <row r="47" spans="1:3">
      <c r="A47" s="430"/>
      <c r="B47" s="430"/>
      <c r="C47" s="430"/>
    </row>
    <row r="48" spans="1:3">
      <c r="A48" s="430"/>
      <c r="B48" s="430"/>
      <c r="C48" s="430"/>
    </row>
    <row r="49" spans="1:3">
      <c r="A49" s="430"/>
      <c r="B49" s="430"/>
      <c r="C49" s="430"/>
    </row>
    <row r="50" spans="1:3">
      <c r="A50" s="430"/>
      <c r="B50" s="430"/>
      <c r="C50" s="430"/>
    </row>
    <row r="51" spans="1:3">
      <c r="A51" s="430"/>
      <c r="B51" s="430"/>
      <c r="C51" s="430"/>
    </row>
    <row r="52" spans="1:3">
      <c r="A52" s="430"/>
      <c r="B52" s="430"/>
      <c r="C52" s="430"/>
    </row>
    <row r="53" spans="1:3">
      <c r="A53" s="430"/>
      <c r="B53" s="430"/>
      <c r="C53" s="430"/>
    </row>
    <row r="54" spans="1:3">
      <c r="A54" s="430"/>
      <c r="B54" s="430"/>
      <c r="C54" s="430"/>
    </row>
    <row r="55" spans="1:3">
      <c r="A55" s="430"/>
      <c r="B55" s="430"/>
      <c r="C55" s="430"/>
    </row>
    <row r="56" spans="1:3">
      <c r="A56" s="430"/>
      <c r="B56" s="430"/>
      <c r="C56" s="430"/>
    </row>
    <row r="57" spans="1:3">
      <c r="A57" s="430"/>
      <c r="B57" s="430"/>
      <c r="C57" s="430"/>
    </row>
    <row r="58" spans="1:3">
      <c r="A58" s="430"/>
      <c r="B58" s="430"/>
      <c r="C58" s="430"/>
    </row>
    <row r="59" spans="1:3">
      <c r="A59" s="430"/>
      <c r="B59" s="430"/>
      <c r="C59" s="430"/>
    </row>
    <row r="60" spans="1:3">
      <c r="A60" s="430"/>
      <c r="B60" s="430"/>
      <c r="C60" s="430"/>
    </row>
    <row r="61" spans="1:3">
      <c r="A61" s="430"/>
      <c r="B61" s="430"/>
      <c r="C61" s="430"/>
    </row>
    <row r="62" spans="1:3">
      <c r="A62" s="430"/>
      <c r="B62" s="430"/>
      <c r="C62" s="430"/>
    </row>
    <row r="63" spans="1:3">
      <c r="A63" s="430"/>
      <c r="B63" s="430"/>
      <c r="C63" s="430"/>
    </row>
    <row r="64" spans="1:3">
      <c r="A64" s="430"/>
      <c r="B64" s="430"/>
      <c r="C64" s="430"/>
    </row>
    <row r="65" spans="1:3">
      <c r="A65" s="430"/>
      <c r="B65" s="430"/>
      <c r="C65" s="430"/>
    </row>
    <row r="66" spans="1:3">
      <c r="A66" s="430"/>
      <c r="B66" s="430"/>
      <c r="C66" s="430"/>
    </row>
    <row r="67" spans="1:3">
      <c r="A67" s="430"/>
      <c r="B67" s="430"/>
      <c r="C67" s="430"/>
    </row>
    <row r="68" spans="1:3">
      <c r="A68" s="430"/>
      <c r="B68" s="430"/>
      <c r="C68" s="430"/>
    </row>
    <row r="69" spans="1:3">
      <c r="A69" s="430"/>
      <c r="B69" s="430"/>
      <c r="C69" s="430"/>
    </row>
    <row r="70" spans="1:3">
      <c r="A70" s="430"/>
      <c r="B70" s="430"/>
      <c r="C70" s="430"/>
    </row>
    <row r="71" spans="1:3">
      <c r="A71" s="430"/>
      <c r="B71" s="430"/>
      <c r="C71" s="430"/>
    </row>
    <row r="72" spans="1:3">
      <c r="A72" s="430"/>
      <c r="B72" s="430"/>
      <c r="C72" s="430"/>
    </row>
    <row r="73" spans="1:3">
      <c r="A73" s="430"/>
      <c r="B73" s="430"/>
      <c r="C73" s="430"/>
    </row>
    <row r="74" spans="1:3">
      <c r="A74" s="430"/>
      <c r="B74" s="430"/>
      <c r="C74" s="430"/>
    </row>
    <row r="75" spans="1:3">
      <c r="A75" s="430"/>
      <c r="B75" s="430"/>
      <c r="C75" s="430"/>
    </row>
    <row r="76" spans="1:3">
      <c r="A76" s="430"/>
      <c r="B76" s="430"/>
      <c r="C76" s="430"/>
    </row>
    <row r="77" spans="1:3">
      <c r="A77" s="430"/>
      <c r="B77" s="430"/>
      <c r="C77" s="430"/>
    </row>
    <row r="78" spans="1:3">
      <c r="A78" s="430"/>
      <c r="B78" s="430"/>
      <c r="C78" s="430"/>
    </row>
    <row r="79" spans="1:3">
      <c r="A79" s="430"/>
      <c r="B79" s="430"/>
      <c r="C79" s="430"/>
    </row>
    <row r="80" spans="1:3">
      <c r="A80" s="430"/>
      <c r="B80" s="430"/>
      <c r="C80" s="430"/>
    </row>
    <row r="81" spans="1:3">
      <c r="A81" s="430"/>
      <c r="B81" s="430"/>
      <c r="C81" s="430"/>
    </row>
    <row r="82" spans="1:3">
      <c r="A82" s="430"/>
      <c r="B82" s="430"/>
      <c r="C82" s="430"/>
    </row>
    <row r="83" spans="1:3">
      <c r="A83" s="430"/>
      <c r="B83" s="430"/>
      <c r="C83" s="430"/>
    </row>
    <row r="84" spans="1:3">
      <c r="A84" s="430"/>
      <c r="B84" s="430"/>
      <c r="C84" s="430"/>
    </row>
    <row r="85" spans="1:3">
      <c r="A85" s="430"/>
      <c r="B85" s="430"/>
      <c r="C85" s="430"/>
    </row>
    <row r="86" spans="1:3">
      <c r="A86" s="430"/>
      <c r="B86" s="430"/>
      <c r="C86" s="430"/>
    </row>
    <row r="87" spans="1:3">
      <c r="A87" s="430"/>
      <c r="B87" s="430"/>
      <c r="C87" s="430"/>
    </row>
    <row r="88" spans="1:3">
      <c r="A88" s="430"/>
      <c r="B88" s="430"/>
      <c r="C88" s="430"/>
    </row>
    <row r="89" spans="1:3">
      <c r="A89" s="430"/>
      <c r="B89" s="430"/>
      <c r="C89" s="430"/>
    </row>
    <row r="90" spans="1:3">
      <c r="A90" s="430"/>
      <c r="B90" s="430"/>
      <c r="C90" s="430"/>
    </row>
    <row r="91" spans="1:3">
      <c r="A91" s="430"/>
      <c r="B91" s="430"/>
      <c r="C91" s="430"/>
    </row>
    <row r="92" spans="1:3">
      <c r="A92" s="430"/>
      <c r="B92" s="430"/>
      <c r="C92" s="430"/>
    </row>
    <row r="93" spans="1:3">
      <c r="A93" s="430"/>
      <c r="B93" s="430"/>
      <c r="C93" s="430"/>
    </row>
    <row r="94" spans="1:3">
      <c r="A94" s="430"/>
      <c r="B94" s="430"/>
      <c r="C94" s="430"/>
    </row>
    <row r="95" spans="1:3">
      <c r="A95" s="430"/>
      <c r="B95" s="430"/>
      <c r="C95" s="430"/>
    </row>
    <row r="96" spans="1:3">
      <c r="A96" s="430"/>
      <c r="B96" s="430"/>
      <c r="C96" s="430"/>
    </row>
    <row r="97" spans="1:3">
      <c r="A97" s="430"/>
      <c r="B97" s="430"/>
      <c r="C97" s="430"/>
    </row>
  </sheetData>
  <printOptions horizontalCentered="1"/>
  <pageMargins left="0.75" right="0.75" top="0.75" bottom="0.5" header="0.75" footer="0.3"/>
  <pageSetup scale="91" orientation="portrait" blackAndWhite="1" r:id="rId1"/>
  <headerFooter>
    <oddHeader>&amp;R&amp;10Attachment H-22A
Appendix D
Page 2 of 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1" tint="4.9989318521683403E-2"/>
    <pageSetUpPr fitToPage="1"/>
  </sheetPr>
  <dimension ref="A1:J58"/>
  <sheetViews>
    <sheetView zoomScale="80" zoomScaleNormal="80" workbookViewId="0"/>
  </sheetViews>
  <sheetFormatPr defaultColWidth="16.21875" defaultRowHeight="12.75"/>
  <cols>
    <col min="1" max="1" width="2.109375" style="197" customWidth="1"/>
    <col min="2" max="2" width="42.21875" style="96" customWidth="1"/>
    <col min="3" max="3" width="8.44140625" style="96" customWidth="1"/>
    <col min="4" max="5" width="16.21875" style="96"/>
    <col min="6" max="6" width="3.44140625" style="96" customWidth="1"/>
    <col min="7" max="7" width="7.44140625" style="96" customWidth="1"/>
    <col min="8" max="16384" width="16.21875" style="96"/>
  </cols>
  <sheetData>
    <row r="1" spans="1:10" s="94" customFormat="1" ht="18">
      <c r="A1" s="982" t="s">
        <v>421</v>
      </c>
      <c r="B1" s="120"/>
      <c r="C1" s="120"/>
      <c r="D1" s="95"/>
      <c r="E1" s="95"/>
      <c r="F1" s="88"/>
    </row>
    <row r="2" spans="1:10" s="94" customFormat="1" ht="18">
      <c r="A2" s="982"/>
      <c r="B2" s="120"/>
      <c r="C2" s="120"/>
      <c r="D2" s="95"/>
      <c r="E2" s="95"/>
      <c r="F2" s="88"/>
    </row>
    <row r="3" spans="1:10" s="94" customFormat="1" ht="18">
      <c r="A3" s="982"/>
      <c r="B3" s="120"/>
      <c r="C3" s="120"/>
      <c r="D3" s="95"/>
      <c r="E3" s="88" t="s">
        <v>426</v>
      </c>
      <c r="F3" s="88"/>
    </row>
    <row r="4" spans="1:10" s="94" customFormat="1" ht="15.75">
      <c r="A4" s="983"/>
      <c r="B4" s="108"/>
      <c r="C4" s="108"/>
      <c r="D4" s="109"/>
      <c r="E4" s="88" t="str">
        <f>"Page 1 of "&amp;Workpaper</f>
        <v>Page 1 of 18</v>
      </c>
      <c r="F4" s="88"/>
    </row>
    <row r="5" spans="1:10" s="94" customFormat="1" ht="15.75">
      <c r="A5" s="983"/>
      <c r="B5" s="108"/>
      <c r="C5" s="108"/>
      <c r="D5" s="109"/>
      <c r="E5" s="275" t="str">
        <f>"For the 12 months ended: "&amp;TEXT(INPUT!$B$1,"mm/dd/yyyy")</f>
        <v>For the 12 months ended: 12/31/2017</v>
      </c>
      <c r="F5" s="88"/>
    </row>
    <row r="6" spans="1:10" s="94" customFormat="1" ht="15.75">
      <c r="A6" s="983"/>
      <c r="B6" s="108"/>
      <c r="C6" s="108"/>
      <c r="D6" s="109"/>
      <c r="F6" s="88"/>
    </row>
    <row r="7" spans="1:10" s="94" customFormat="1" ht="15.75">
      <c r="A7" s="983" t="s">
        <v>546</v>
      </c>
      <c r="B7" s="656"/>
      <c r="C7" s="656"/>
      <c r="D7" s="657"/>
      <c r="E7" s="657"/>
      <c r="F7" s="88"/>
      <c r="G7" s="281"/>
    </row>
    <row r="8" spans="1:10" s="94" customFormat="1" ht="15.75">
      <c r="A8" s="983" t="s">
        <v>606</v>
      </c>
      <c r="B8" s="656"/>
      <c r="C8" s="656"/>
      <c r="D8" s="657"/>
      <c r="E8" s="657"/>
      <c r="F8" s="88"/>
    </row>
    <row r="9" spans="1:10" s="94" customFormat="1" ht="15">
      <c r="A9" s="362"/>
      <c r="B9" s="97"/>
      <c r="C9" s="97"/>
      <c r="D9" s="97"/>
      <c r="E9" s="97"/>
      <c r="F9" s="88"/>
    </row>
    <row r="10" spans="1:10" s="94" customFormat="1" ht="16.5" thickBot="1">
      <c r="A10" s="984"/>
      <c r="B10" s="111"/>
      <c r="C10" s="111"/>
      <c r="D10" s="110"/>
      <c r="E10" s="110"/>
      <c r="F10" s="110"/>
    </row>
    <row r="11" spans="1:10" s="94" customFormat="1" ht="21" thickBot="1">
      <c r="A11" s="346"/>
      <c r="B11" s="574" t="s">
        <v>226</v>
      </c>
      <c r="C11" s="200"/>
      <c r="D11" s="114" t="s">
        <v>191</v>
      </c>
      <c r="E11" s="114" t="s">
        <v>192</v>
      </c>
      <c r="F11" s="114"/>
      <c r="H11" s="346"/>
      <c r="I11" s="346"/>
      <c r="J11" s="346"/>
    </row>
    <row r="12" spans="1:10" s="94" customFormat="1" ht="20.25">
      <c r="A12" s="204"/>
      <c r="B12" s="110"/>
      <c r="C12" s="110"/>
      <c r="D12" s="545"/>
      <c r="E12" s="202"/>
      <c r="F12" s="114"/>
    </row>
    <row r="13" spans="1:10" s="94" customFormat="1" ht="15">
      <c r="A13" s="645" t="s">
        <v>547</v>
      </c>
      <c r="B13" s="975"/>
      <c r="C13" s="346"/>
      <c r="D13" s="546">
        <f>105719293+429594</f>
        <v>106148887</v>
      </c>
      <c r="E13" s="546">
        <f>42458400-10232</f>
        <v>42448168</v>
      </c>
      <c r="F13" s="376"/>
    </row>
    <row r="14" spans="1:10" s="94" customFormat="1" ht="15">
      <c r="A14" s="840"/>
      <c r="B14" s="840"/>
      <c r="C14" s="840"/>
      <c r="D14" s="547"/>
      <c r="E14" s="547"/>
      <c r="F14" s="199"/>
    </row>
    <row r="15" spans="1:10" s="94" customFormat="1" ht="15.75">
      <c r="A15" s="840" t="s">
        <v>528</v>
      </c>
      <c r="B15" s="840"/>
      <c r="C15" s="840"/>
      <c r="D15" s="547"/>
      <c r="E15" s="547"/>
      <c r="F15" s="199"/>
    </row>
    <row r="16" spans="1:10" s="94" customFormat="1" ht="15">
      <c r="A16" s="840"/>
      <c r="B16" s="840" t="s">
        <v>600</v>
      </c>
      <c r="C16" s="840"/>
      <c r="D16" s="976">
        <f>2758118-676</f>
        <v>2757442</v>
      </c>
      <c r="E16" s="976">
        <v>354108</v>
      </c>
      <c r="F16" s="199"/>
    </row>
    <row r="17" spans="1:8" s="94" customFormat="1" ht="15">
      <c r="A17" s="840"/>
      <c r="B17" s="840" t="s">
        <v>601</v>
      </c>
      <c r="C17" s="840"/>
      <c r="D17" s="976">
        <v>128702</v>
      </c>
      <c r="E17" s="976">
        <v>1037558</v>
      </c>
      <c r="F17" s="199"/>
    </row>
    <row r="18" spans="1:8" s="94" customFormat="1" ht="15">
      <c r="A18" s="840"/>
      <c r="B18" s="840" t="s">
        <v>762</v>
      </c>
      <c r="C18" s="840"/>
      <c r="D18" s="976">
        <v>79217273</v>
      </c>
      <c r="E18" s="976">
        <v>22918343</v>
      </c>
      <c r="F18" s="199"/>
    </row>
    <row r="19" spans="1:8" s="94" customFormat="1" ht="17.25">
      <c r="A19" s="840"/>
      <c r="B19" s="840" t="s">
        <v>725</v>
      </c>
      <c r="C19" s="865"/>
      <c r="D19" s="558">
        <f>73853+1420602</f>
        <v>1494455</v>
      </c>
      <c r="E19" s="558">
        <v>0</v>
      </c>
      <c r="F19" s="199"/>
    </row>
    <row r="20" spans="1:8" s="94" customFormat="1" ht="15.75">
      <c r="A20" s="840"/>
      <c r="B20" s="840" t="s">
        <v>761</v>
      </c>
      <c r="C20" s="865"/>
      <c r="D20" s="691">
        <f>SUM(D16:D19)</f>
        <v>83597872</v>
      </c>
      <c r="E20" s="691">
        <f t="shared" ref="E20" si="0">SUM(E16:E19)</f>
        <v>24310009</v>
      </c>
      <c r="F20" s="199"/>
    </row>
    <row r="21" spans="1:8" s="94" customFormat="1" ht="15.75">
      <c r="A21" s="840"/>
      <c r="B21" s="840"/>
      <c r="C21" s="865"/>
      <c r="D21" s="690"/>
      <c r="E21" s="690"/>
      <c r="F21" s="199"/>
    </row>
    <row r="22" spans="1:8" s="94" customFormat="1" ht="15.75">
      <c r="A22" s="985" t="s">
        <v>760</v>
      </c>
      <c r="B22" s="840"/>
      <c r="C22" s="865"/>
      <c r="D22" s="690"/>
      <c r="E22" s="690"/>
      <c r="F22" s="199"/>
    </row>
    <row r="23" spans="1:8" s="94" customFormat="1" ht="17.25">
      <c r="A23" s="985"/>
      <c r="B23" s="840" t="s">
        <v>763</v>
      </c>
      <c r="C23" s="865"/>
      <c r="D23" s="558">
        <v>13375820</v>
      </c>
      <c r="E23" s="558">
        <v>7536533</v>
      </c>
      <c r="F23" s="199"/>
    </row>
    <row r="24" spans="1:8" s="94" customFormat="1" ht="15.75">
      <c r="A24" s="985"/>
      <c r="B24" s="840" t="s">
        <v>764</v>
      </c>
      <c r="C24" s="865"/>
      <c r="D24" s="691">
        <f>SUM(D23)</f>
        <v>13375820</v>
      </c>
      <c r="E24" s="691">
        <f t="shared" ref="E24" si="1">SUM(E23)</f>
        <v>7536533</v>
      </c>
      <c r="F24" s="199"/>
    </row>
    <row r="25" spans="1:8" s="94" customFormat="1" ht="15">
      <c r="A25" s="840"/>
      <c r="B25" s="840"/>
      <c r="C25" s="840"/>
      <c r="D25" s="204"/>
      <c r="E25" s="204"/>
      <c r="F25" s="110"/>
    </row>
    <row r="26" spans="1:8" s="94" customFormat="1" ht="19.5" customHeight="1">
      <c r="A26" s="647" t="s">
        <v>586</v>
      </c>
      <c r="B26" s="977"/>
      <c r="C26" s="977"/>
      <c r="D26" s="463">
        <f>D13-D20+D24</f>
        <v>35926835</v>
      </c>
      <c r="E26" s="463">
        <f>E13-E20+E24</f>
        <v>25674692</v>
      </c>
      <c r="F26" s="119"/>
      <c r="H26" s="866"/>
    </row>
    <row r="27" spans="1:8" s="94" customFormat="1">
      <c r="A27" s="978"/>
      <c r="B27" s="978"/>
      <c r="C27" s="978"/>
      <c r="D27" s="464"/>
      <c r="E27" s="464"/>
      <c r="F27" s="106"/>
    </row>
    <row r="28" spans="1:8" ht="13.5" thickBot="1">
      <c r="B28" s="197"/>
      <c r="C28" s="197"/>
      <c r="D28" s="197"/>
      <c r="E28" s="197"/>
    </row>
    <row r="29" spans="1:8" s="94" customFormat="1" ht="21" thickBot="1">
      <c r="A29" s="346"/>
      <c r="B29" s="979" t="s">
        <v>225</v>
      </c>
      <c r="C29" s="980"/>
      <c r="D29" s="202" t="s">
        <v>191</v>
      </c>
      <c r="E29" s="202" t="s">
        <v>192</v>
      </c>
      <c r="F29" s="114"/>
    </row>
    <row r="30" spans="1:8" s="94" customFormat="1" ht="20.25">
      <c r="A30" s="204"/>
      <c r="B30" s="204"/>
      <c r="C30" s="204"/>
      <c r="D30" s="545"/>
      <c r="E30" s="202"/>
      <c r="F30" s="114"/>
    </row>
    <row r="31" spans="1:8" s="94" customFormat="1" ht="15">
      <c r="A31" s="975" t="s">
        <v>537</v>
      </c>
      <c r="B31" s="975"/>
      <c r="C31" s="346"/>
      <c r="D31" s="981">
        <f>453914358+18099292</f>
        <v>472013650</v>
      </c>
      <c r="E31" s="981">
        <f>129657967+28122287</f>
        <v>157780254</v>
      </c>
      <c r="F31" s="376"/>
    </row>
    <row r="32" spans="1:8" s="94" customFormat="1" ht="15">
      <c r="A32" s="840"/>
      <c r="B32" s="840"/>
      <c r="C32" s="840"/>
      <c r="D32" s="547"/>
      <c r="E32" s="547"/>
      <c r="F32" s="199"/>
    </row>
    <row r="33" spans="1:6" s="94" customFormat="1" ht="15.75">
      <c r="A33" s="840" t="s">
        <v>529</v>
      </c>
      <c r="B33" s="840"/>
      <c r="C33" s="840"/>
      <c r="D33" s="547"/>
      <c r="E33" s="547"/>
      <c r="F33" s="199"/>
    </row>
    <row r="34" spans="1:6" s="94" customFormat="1" ht="15">
      <c r="A34" s="840"/>
      <c r="B34" s="840" t="s">
        <v>601</v>
      </c>
      <c r="C34" s="840"/>
      <c r="D34" s="690">
        <f>22602095-4923542</f>
        <v>17678553</v>
      </c>
      <c r="E34" s="690">
        <f>2989980-944955</f>
        <v>2045025</v>
      </c>
      <c r="F34" s="199"/>
    </row>
    <row r="35" spans="1:6" s="94" customFormat="1" ht="17.25">
      <c r="A35" s="840"/>
      <c r="B35" s="840" t="s">
        <v>725</v>
      </c>
      <c r="C35" s="840"/>
      <c r="D35" s="558">
        <v>6552449</v>
      </c>
      <c r="E35" s="558">
        <v>-2475470</v>
      </c>
      <c r="F35" s="199"/>
    </row>
    <row r="36" spans="1:6" s="94" customFormat="1" ht="15">
      <c r="A36" s="840"/>
      <c r="B36" s="840" t="s">
        <v>765</v>
      </c>
      <c r="C36" s="840"/>
      <c r="D36" s="691">
        <f>SUM(D34:D35)</f>
        <v>24231002</v>
      </c>
      <c r="E36" s="691">
        <f t="shared" ref="E36" si="2">SUM(E34:E35)</f>
        <v>-430445</v>
      </c>
      <c r="F36" s="199"/>
    </row>
    <row r="37" spans="1:6" s="94" customFormat="1" ht="15">
      <c r="A37" s="840"/>
      <c r="B37" s="840"/>
      <c r="C37" s="840"/>
      <c r="D37" s="690"/>
      <c r="E37" s="690"/>
      <c r="F37" s="199"/>
    </row>
    <row r="38" spans="1:6" s="94" customFormat="1" ht="15.75">
      <c r="A38" s="985" t="s">
        <v>760</v>
      </c>
      <c r="B38" s="840"/>
      <c r="C38" s="840"/>
      <c r="D38" s="690"/>
      <c r="E38" s="690"/>
      <c r="F38" s="199"/>
    </row>
    <row r="39" spans="1:6" s="94" customFormat="1" ht="17.25">
      <c r="A39" s="985"/>
      <c r="B39" s="840" t="s">
        <v>763</v>
      </c>
      <c r="C39" s="840"/>
      <c r="D39" s="558">
        <v>288457228</v>
      </c>
      <c r="E39" s="558">
        <v>64478597</v>
      </c>
      <c r="F39" s="199"/>
    </row>
    <row r="40" spans="1:6" s="94" customFormat="1" ht="15.75">
      <c r="A40" s="346"/>
      <c r="B40" s="840" t="s">
        <v>766</v>
      </c>
      <c r="C40" s="865"/>
      <c r="D40" s="691">
        <f>SUM(D39:D39)</f>
        <v>288457228</v>
      </c>
      <c r="E40" s="691">
        <f t="shared" ref="E40" si="3">SUM(E39:E39)</f>
        <v>64478597</v>
      </c>
      <c r="F40" s="376"/>
    </row>
    <row r="41" spans="1:6" s="94" customFormat="1" ht="15">
      <c r="A41" s="840"/>
      <c r="B41" s="840"/>
      <c r="C41" s="840"/>
      <c r="D41" s="204"/>
      <c r="E41" s="204"/>
      <c r="F41" s="110"/>
    </row>
    <row r="42" spans="1:6" s="94" customFormat="1" ht="19.5" customHeight="1">
      <c r="A42" s="647" t="s">
        <v>587</v>
      </c>
      <c r="B42" s="977"/>
      <c r="C42" s="977"/>
      <c r="D42" s="463">
        <f>D31-D36+D40</f>
        <v>736239876</v>
      </c>
      <c r="E42" s="463">
        <f t="shared" ref="E42" si="4">E31-E36+E40</f>
        <v>222689296</v>
      </c>
      <c r="F42" s="119"/>
    </row>
    <row r="43" spans="1:6">
      <c r="B43" s="197"/>
      <c r="C43" s="197"/>
      <c r="D43" s="197"/>
      <c r="E43" s="197"/>
    </row>
    <row r="44" spans="1:6" ht="13.5" thickBot="1">
      <c r="B44" s="197"/>
      <c r="C44" s="197"/>
      <c r="D44" s="197"/>
      <c r="E44" s="197"/>
    </row>
    <row r="45" spans="1:6" ht="21" thickBot="1">
      <c r="A45" s="346"/>
      <c r="B45" s="979" t="s">
        <v>599</v>
      </c>
      <c r="C45" s="980"/>
      <c r="D45" s="202" t="s">
        <v>191</v>
      </c>
      <c r="E45" s="202" t="s">
        <v>192</v>
      </c>
    </row>
    <row r="46" spans="1:6" ht="20.25">
      <c r="A46" s="204"/>
      <c r="B46" s="204"/>
      <c r="C46" s="204"/>
      <c r="D46" s="545"/>
      <c r="E46" s="202"/>
    </row>
    <row r="47" spans="1:6" ht="15">
      <c r="A47" s="975" t="s">
        <v>602</v>
      </c>
      <c r="B47" s="975"/>
      <c r="C47" s="346"/>
      <c r="D47" s="981">
        <f>25787692-720403</f>
        <v>25067289</v>
      </c>
      <c r="E47" s="981">
        <f>21782350+5120</f>
        <v>21787470</v>
      </c>
    </row>
    <row r="48" spans="1:6" ht="15">
      <c r="A48" s="840"/>
      <c r="B48" s="840"/>
      <c r="C48" s="840"/>
      <c r="D48" s="547"/>
      <c r="E48" s="547"/>
    </row>
    <row r="49" spans="1:5" ht="15.75">
      <c r="A49" s="840" t="s">
        <v>529</v>
      </c>
      <c r="B49" s="840"/>
      <c r="C49" s="840"/>
      <c r="D49" s="547"/>
      <c r="E49" s="547"/>
    </row>
    <row r="50" spans="1:5" ht="15">
      <c r="A50" s="840"/>
      <c r="B50" s="840" t="s">
        <v>600</v>
      </c>
      <c r="C50" s="840"/>
      <c r="D50" s="690">
        <v>1733914</v>
      </c>
      <c r="E50" s="690">
        <v>0</v>
      </c>
    </row>
    <row r="51" spans="1:5" ht="17.25">
      <c r="A51" s="840"/>
      <c r="B51" s="840" t="s">
        <v>725</v>
      </c>
      <c r="C51" s="840"/>
      <c r="D51" s="558">
        <v>927</v>
      </c>
      <c r="E51" s="558">
        <v>5120</v>
      </c>
    </row>
    <row r="52" spans="1:5" ht="15">
      <c r="A52" s="840"/>
      <c r="B52" s="840" t="s">
        <v>767</v>
      </c>
      <c r="C52" s="840"/>
      <c r="D52" s="691">
        <f>SUM(D50:D51)</f>
        <v>1734841</v>
      </c>
      <c r="E52" s="691">
        <f t="shared" ref="E52" si="5">SUM(E50:E51)</f>
        <v>5120</v>
      </c>
    </row>
    <row r="53" spans="1:5" ht="15">
      <c r="A53" s="840"/>
      <c r="B53" s="840"/>
      <c r="C53" s="840"/>
      <c r="D53" s="690"/>
      <c r="E53" s="690"/>
    </row>
    <row r="54" spans="1:5" ht="15.75">
      <c r="A54" s="985" t="s">
        <v>760</v>
      </c>
      <c r="B54" s="840"/>
      <c r="C54" s="840"/>
      <c r="D54" s="690"/>
      <c r="E54" s="690"/>
    </row>
    <row r="55" spans="1:5" ht="17.25">
      <c r="A55" s="985"/>
      <c r="B55" s="840" t="s">
        <v>763</v>
      </c>
      <c r="C55" s="840"/>
      <c r="D55" s="558">
        <v>15203411</v>
      </c>
      <c r="E55" s="558">
        <v>11003519</v>
      </c>
    </row>
    <row r="56" spans="1:5" ht="15.75">
      <c r="A56" s="346"/>
      <c r="B56" s="840" t="s">
        <v>768</v>
      </c>
      <c r="C56" s="865"/>
      <c r="D56" s="691">
        <f>SUM(D55:D55)</f>
        <v>15203411</v>
      </c>
      <c r="E56" s="691">
        <f t="shared" ref="E56" si="6">SUM(E55:E55)</f>
        <v>11003519</v>
      </c>
    </row>
    <row r="57" spans="1:5" ht="15">
      <c r="A57" s="840"/>
      <c r="B57" s="840"/>
      <c r="C57" s="840"/>
      <c r="D57" s="204"/>
      <c r="E57" s="204"/>
    </row>
    <row r="58" spans="1:5" ht="17.25">
      <c r="A58" s="647" t="s">
        <v>853</v>
      </c>
      <c r="B58" s="977"/>
      <c r="C58" s="977"/>
      <c r="D58" s="463">
        <f>D47-D52+D56</f>
        <v>38535859</v>
      </c>
      <c r="E58" s="463">
        <f t="shared" ref="E58" si="7">E47-E52+E56</f>
        <v>32785869</v>
      </c>
    </row>
  </sheetData>
  <phoneticPr fontId="0" type="noConversion"/>
  <printOptions horizontalCentered="1"/>
  <pageMargins left="0.75" right="0.75" top="0.75" bottom="0.5" header="0.25" footer="0.25"/>
  <pageSetup scale="76"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1"/>
    <pageSetUpPr fitToPage="1"/>
  </sheetPr>
  <dimension ref="A1:I273"/>
  <sheetViews>
    <sheetView zoomScale="90" zoomScaleNormal="90" zoomScaleSheetLayoutView="75" workbookViewId="0">
      <selection activeCell="R16" sqref="R16"/>
    </sheetView>
  </sheetViews>
  <sheetFormatPr defaultColWidth="7.109375" defaultRowHeight="12.75"/>
  <cols>
    <col min="1" max="1" width="18.44140625" style="81" customWidth="1"/>
    <col min="2" max="2" width="12.33203125" style="81" customWidth="1"/>
    <col min="3" max="3" width="1.44140625" style="81" customWidth="1"/>
    <col min="4" max="4" width="8.6640625" style="81" customWidth="1"/>
    <col min="5" max="5" width="1.109375" style="81" customWidth="1"/>
    <col min="6" max="6" width="12.88671875" style="81" customWidth="1"/>
    <col min="7" max="7" width="0.6640625" style="81" customWidth="1"/>
    <col min="8" max="8" width="11.44140625" style="81" customWidth="1"/>
    <col min="9" max="9" width="3.6640625" style="81" customWidth="1"/>
    <col min="10" max="16384" width="7.109375" style="81"/>
  </cols>
  <sheetData>
    <row r="1" spans="1:9" ht="18">
      <c r="A1" s="562" t="str">
        <f>'P1 ADIT 190 &amp; 282'!A1</f>
        <v>Duke Energy Ohio and Duke Energy Kentucky</v>
      </c>
      <c r="B1" s="563"/>
      <c r="C1" s="563"/>
      <c r="D1" s="563"/>
      <c r="E1" s="563"/>
      <c r="F1" s="563"/>
      <c r="G1" s="563"/>
      <c r="H1" s="563"/>
    </row>
    <row r="2" spans="1:9" ht="18">
      <c r="A2" s="562"/>
      <c r="B2" s="563"/>
      <c r="C2" s="563"/>
      <c r="D2" s="563"/>
      <c r="E2" s="563"/>
      <c r="F2" s="563"/>
      <c r="G2" s="564"/>
      <c r="H2" s="564"/>
    </row>
    <row r="3" spans="1:9">
      <c r="A3" s="564"/>
      <c r="B3" s="564"/>
      <c r="C3" s="564"/>
      <c r="D3" s="564"/>
      <c r="E3" s="564"/>
      <c r="F3" s="565"/>
      <c r="G3" s="564"/>
      <c r="H3" s="565" t="s">
        <v>426</v>
      </c>
    </row>
    <row r="4" spans="1:9">
      <c r="A4" s="564"/>
      <c r="B4" s="564"/>
      <c r="C4" s="564"/>
      <c r="D4" s="564"/>
      <c r="E4" s="564"/>
      <c r="F4" s="565"/>
      <c r="G4" s="564"/>
      <c r="H4" s="561" t="str">
        <f>"Page 2 of "&amp;Workpaper</f>
        <v>Page 2 of 18</v>
      </c>
    </row>
    <row r="5" spans="1:9">
      <c r="A5" s="564"/>
      <c r="B5" s="564"/>
      <c r="C5" s="564"/>
      <c r="D5" s="564"/>
      <c r="E5" s="564"/>
      <c r="F5" s="565"/>
      <c r="G5" s="564"/>
      <c r="H5" s="729" t="str">
        <f>"For the 12 months ended: "&amp;TEXT(INPUT!$B$1,"mm/dd/yyyy")</f>
        <v>For the 12 months ended: 12/31/2017</v>
      </c>
    </row>
    <row r="6" spans="1:9">
      <c r="A6" s="564"/>
      <c r="B6" s="564"/>
      <c r="C6" s="564"/>
      <c r="D6" s="564"/>
      <c r="E6" s="564"/>
      <c r="F6" s="565"/>
      <c r="G6" s="564"/>
      <c r="H6" s="565"/>
    </row>
    <row r="7" spans="1:9">
      <c r="A7" s="566" t="s">
        <v>277</v>
      </c>
      <c r="B7" s="563"/>
      <c r="C7" s="563"/>
      <c r="D7" s="563"/>
      <c r="E7" s="563"/>
      <c r="F7" s="563"/>
      <c r="G7" s="563"/>
      <c r="H7" s="563"/>
    </row>
    <row r="8" spans="1:9">
      <c r="A8" s="566" t="s">
        <v>341</v>
      </c>
      <c r="B8" s="563"/>
      <c r="C8" s="563"/>
      <c r="D8" s="563"/>
      <c r="E8" s="563"/>
      <c r="F8" s="563"/>
      <c r="G8" s="563"/>
      <c r="H8" s="563"/>
    </row>
    <row r="9" spans="1:9">
      <c r="A9" s="357"/>
      <c r="B9" s="356"/>
      <c r="C9" s="356"/>
      <c r="D9" s="356"/>
      <c r="E9" s="356"/>
      <c r="F9" s="356"/>
    </row>
    <row r="10" spans="1:9">
      <c r="A10" s="238"/>
      <c r="D10" s="239"/>
      <c r="E10" s="239"/>
    </row>
    <row r="11" spans="1:9">
      <c r="D11" s="126"/>
      <c r="E11" s="126"/>
      <c r="F11" s="237"/>
    </row>
    <row r="12" spans="1:9">
      <c r="A12" s="336" t="s">
        <v>187</v>
      </c>
    </row>
    <row r="13" spans="1:9" ht="19.5">
      <c r="B13" s="665" t="s">
        <v>548</v>
      </c>
      <c r="C13" s="665"/>
      <c r="D13" s="665" t="s">
        <v>542</v>
      </c>
      <c r="E13" s="665"/>
      <c r="F13" s="652" t="s">
        <v>549</v>
      </c>
      <c r="H13" s="442" t="s">
        <v>427</v>
      </c>
    </row>
    <row r="14" spans="1:9">
      <c r="A14" s="81" t="s">
        <v>201</v>
      </c>
      <c r="B14" s="1029">
        <v>0</v>
      </c>
      <c r="C14" s="457"/>
      <c r="D14" s="666">
        <f>B14/B17</f>
        <v>0</v>
      </c>
      <c r="E14" s="666"/>
      <c r="F14" s="1030">
        <f>ROUND(F17*D14,0)</f>
        <v>0</v>
      </c>
      <c r="H14" s="90"/>
    </row>
    <row r="15" spans="1:9">
      <c r="A15" s="81" t="s">
        <v>25</v>
      </c>
      <c r="B15" s="678">
        <v>19816823</v>
      </c>
      <c r="C15" s="459"/>
      <c r="D15" s="666">
        <f>B15/B17</f>
        <v>0.3332109682455367</v>
      </c>
      <c r="E15" s="666"/>
      <c r="F15" s="458">
        <f>ROUND(D15*F17,0)</f>
        <v>989413</v>
      </c>
      <c r="G15" s="401"/>
      <c r="H15" s="1031">
        <f>F15+B15</f>
        <v>20806236</v>
      </c>
      <c r="I15" s="401"/>
    </row>
    <row r="16" spans="1:9" ht="15">
      <c r="A16" s="81" t="s">
        <v>202</v>
      </c>
      <c r="B16" s="974">
        <v>39655478</v>
      </c>
      <c r="C16" s="345"/>
      <c r="D16" s="667">
        <f>B16/B17</f>
        <v>0.66678903175446336</v>
      </c>
      <c r="E16" s="667"/>
      <c r="F16" s="247">
        <f>F17-F15-F14</f>
        <v>1979917</v>
      </c>
    </row>
    <row r="17" spans="1:9" ht="15">
      <c r="A17" s="81" t="s">
        <v>278</v>
      </c>
      <c r="B17" s="1032">
        <f>SUM(B14:B16)</f>
        <v>59472301</v>
      </c>
      <c r="C17" s="345"/>
      <c r="D17" s="402">
        <f>SUM(D14:D16)</f>
        <v>1</v>
      </c>
      <c r="E17" s="282"/>
      <c r="F17" s="1033">
        <v>2969330</v>
      </c>
    </row>
    <row r="18" spans="1:9">
      <c r="B18" s="461"/>
      <c r="C18" s="345"/>
      <c r="D18" s="461"/>
      <c r="E18" s="461"/>
      <c r="F18" s="345"/>
    </row>
    <row r="19" spans="1:9">
      <c r="B19" s="462"/>
      <c r="C19" s="345"/>
      <c r="D19" s="462"/>
      <c r="E19" s="462"/>
      <c r="F19" s="345"/>
    </row>
    <row r="20" spans="1:9" s="240" customFormat="1">
      <c r="A20" s="336" t="s">
        <v>188</v>
      </c>
      <c r="B20" s="345"/>
      <c r="C20" s="345"/>
      <c r="D20" s="345"/>
      <c r="E20" s="345"/>
      <c r="F20" s="345"/>
      <c r="G20" s="81"/>
      <c r="H20" s="81"/>
      <c r="I20" s="81"/>
    </row>
    <row r="21" spans="1:9" s="240" customFormat="1" ht="19.5">
      <c r="A21" s="81"/>
      <c r="B21" s="665" t="s">
        <v>548</v>
      </c>
      <c r="C21" s="665"/>
      <c r="D21" s="665" t="s">
        <v>542</v>
      </c>
      <c r="E21" s="665"/>
      <c r="F21" s="652" t="s">
        <v>549</v>
      </c>
      <c r="G21" s="81"/>
      <c r="H21" s="81"/>
      <c r="I21" s="81"/>
    </row>
    <row r="22" spans="1:9" s="240" customFormat="1">
      <c r="A22" s="81" t="s">
        <v>201</v>
      </c>
      <c r="B22" s="1029">
        <v>16981969</v>
      </c>
      <c r="C22" s="345"/>
      <c r="D22" s="666">
        <f>B22/B25</f>
        <v>0.96407450580304987</v>
      </c>
      <c r="E22" s="666"/>
      <c r="F22" s="1030">
        <f>ROUND(F25*D22,0)</f>
        <v>932607</v>
      </c>
      <c r="G22" s="81"/>
      <c r="H22" s="81"/>
      <c r="I22" s="81"/>
    </row>
    <row r="23" spans="1:9" s="240" customFormat="1">
      <c r="A23" s="81" t="s">
        <v>25</v>
      </c>
      <c r="B23" s="678">
        <v>3909</v>
      </c>
      <c r="C23" s="459"/>
      <c r="D23" s="666">
        <f>B23/B25</f>
        <v>2.2191580041066629E-4</v>
      </c>
      <c r="E23" s="666"/>
      <c r="F23" s="458">
        <f>ROUND(D23*F25,0)</f>
        <v>215</v>
      </c>
      <c r="G23" s="401"/>
      <c r="H23" s="1031">
        <f>F23+B23</f>
        <v>4124</v>
      </c>
      <c r="I23" s="401"/>
    </row>
    <row r="24" spans="1:9" s="240" customFormat="1" ht="15">
      <c r="A24" s="81" t="s">
        <v>202</v>
      </c>
      <c r="B24" s="974">
        <v>628911</v>
      </c>
      <c r="C24" s="460"/>
      <c r="D24" s="667">
        <f>B24/B25</f>
        <v>3.5703578396539405E-2</v>
      </c>
      <c r="E24" s="667"/>
      <c r="F24" s="247">
        <f>F25-F23-F22</f>
        <v>34538</v>
      </c>
      <c r="G24" s="81"/>
      <c r="H24" s="81"/>
      <c r="I24" s="81"/>
    </row>
    <row r="25" spans="1:9" s="240" customFormat="1" ht="15">
      <c r="A25" s="81" t="s">
        <v>278</v>
      </c>
      <c r="B25" s="1032">
        <f>SUM(B22:B24)</f>
        <v>17614789</v>
      </c>
      <c r="C25" s="248"/>
      <c r="D25" s="402">
        <f>SUM(D22:D24)</f>
        <v>0.99999999999999989</v>
      </c>
      <c r="E25" s="282"/>
      <c r="F25" s="1033">
        <v>967360</v>
      </c>
    </row>
    <row r="26" spans="1:9" s="240" customFormat="1">
      <c r="B26" s="243"/>
      <c r="C26" s="243"/>
      <c r="D26" s="243"/>
      <c r="E26" s="243"/>
      <c r="F26" s="243"/>
    </row>
    <row r="27" spans="1:9" s="240" customFormat="1">
      <c r="B27" s="243"/>
      <c r="C27" s="243"/>
      <c r="D27" s="243"/>
      <c r="E27" s="243"/>
      <c r="F27" s="243"/>
    </row>
    <row r="28" spans="1:9" s="240" customFormat="1" ht="14.25">
      <c r="A28" s="240" t="s">
        <v>585</v>
      </c>
      <c r="B28" s="241"/>
      <c r="C28" s="241"/>
      <c r="D28" s="241"/>
      <c r="E28" s="241"/>
    </row>
    <row r="29" spans="1:9" s="240" customFormat="1" ht="14.25">
      <c r="A29" s="661" t="s">
        <v>573</v>
      </c>
      <c r="B29" s="659"/>
      <c r="C29" s="659"/>
      <c r="D29" s="659"/>
      <c r="E29" s="241"/>
    </row>
    <row r="30" spans="1:9" s="240" customFormat="1" ht="14.25">
      <c r="A30" s="661" t="s">
        <v>574</v>
      </c>
      <c r="B30" s="660"/>
      <c r="C30" s="660"/>
      <c r="D30" s="660"/>
      <c r="E30" s="242"/>
    </row>
    <row r="31" spans="1:9" s="240" customFormat="1">
      <c r="B31" s="242"/>
      <c r="C31" s="242"/>
      <c r="D31" s="242"/>
      <c r="E31" s="242"/>
    </row>
    <row r="32" spans="1:9" s="240" customFormat="1"/>
    <row r="33" spans="2:5" s="240" customFormat="1">
      <c r="B33" s="241"/>
      <c r="C33" s="241"/>
      <c r="D33" s="241"/>
      <c r="E33" s="241"/>
    </row>
    <row r="34" spans="2:5" s="240" customFormat="1">
      <c r="B34" s="242"/>
      <c r="C34" s="242"/>
      <c r="D34" s="242"/>
      <c r="E34" s="242"/>
    </row>
    <row r="35" spans="2:5">
      <c r="B35" s="242"/>
      <c r="C35" s="242"/>
      <c r="D35" s="242"/>
      <c r="E35" s="242"/>
    </row>
    <row r="36" spans="2:5">
      <c r="B36" s="242"/>
      <c r="C36" s="242"/>
      <c r="D36" s="242"/>
      <c r="E36" s="242"/>
    </row>
    <row r="37" spans="2:5">
      <c r="B37" s="242"/>
      <c r="C37" s="242"/>
      <c r="D37" s="242"/>
      <c r="E37" s="242"/>
    </row>
    <row r="38" spans="2:5">
      <c r="B38" s="242"/>
      <c r="C38" s="242"/>
      <c r="D38" s="242"/>
      <c r="E38" s="242"/>
    </row>
    <row r="39" spans="2:5">
      <c r="B39" s="242"/>
      <c r="C39" s="242"/>
      <c r="D39" s="242"/>
      <c r="E39" s="242"/>
    </row>
    <row r="40" spans="2:5">
      <c r="B40" s="242"/>
      <c r="C40" s="242"/>
      <c r="D40" s="242"/>
      <c r="E40" s="242"/>
    </row>
    <row r="42" spans="2:5">
      <c r="B42" s="345"/>
      <c r="C42" s="345"/>
    </row>
    <row r="46" spans="2:5" s="243" customFormat="1"/>
    <row r="47" spans="2:5" s="243" customFormat="1" ht="20.100000000000001" customHeight="1">
      <c r="B47" s="244"/>
      <c r="C47" s="244"/>
      <c r="D47" s="244"/>
      <c r="E47" s="244"/>
    </row>
    <row r="48" spans="2:5" s="243" customFormat="1"/>
    <row r="49" spans="2:6" s="243" customFormat="1"/>
    <row r="50" spans="2:6" s="243" customFormat="1"/>
    <row r="51" spans="2:6" s="243" customFormat="1"/>
    <row r="52" spans="2:6" s="243" customFormat="1" ht="15">
      <c r="B52" s="245"/>
      <c r="C52" s="245"/>
      <c r="D52" s="245"/>
      <c r="E52" s="245"/>
    </row>
    <row r="53" spans="2:6" s="243" customFormat="1">
      <c r="B53" s="246"/>
      <c r="C53" s="246"/>
      <c r="D53" s="246"/>
      <c r="E53" s="246"/>
      <c r="F53" s="246"/>
    </row>
    <row r="54" spans="2:6" s="243" customFormat="1" ht="20.100000000000001" customHeight="1">
      <c r="B54" s="246"/>
      <c r="C54" s="246"/>
      <c r="D54" s="246"/>
      <c r="E54" s="246"/>
      <c r="F54" s="246"/>
    </row>
    <row r="55" spans="2:6" s="243" customFormat="1" ht="15">
      <c r="B55" s="247"/>
      <c r="C55" s="247"/>
      <c r="D55" s="247"/>
      <c r="E55" s="247"/>
      <c r="F55" s="246"/>
    </row>
    <row r="56" spans="2:6" s="243" customFormat="1" ht="15">
      <c r="B56" s="248"/>
      <c r="C56" s="248"/>
      <c r="D56" s="248"/>
      <c r="E56" s="248"/>
      <c r="F56" s="248"/>
    </row>
    <row r="57" spans="2:6" s="243" customFormat="1">
      <c r="B57" s="249"/>
      <c r="C57" s="249"/>
      <c r="D57" s="249"/>
      <c r="E57" s="249"/>
    </row>
    <row r="58" spans="2:6" s="243" customFormat="1">
      <c r="B58" s="250"/>
      <c r="C58" s="250"/>
      <c r="D58" s="250"/>
      <c r="E58" s="250"/>
    </row>
    <row r="59" spans="2:6" s="243" customFormat="1"/>
    <row r="60" spans="2:6" s="243" customFormat="1"/>
    <row r="61" spans="2:6" s="243" customFormat="1"/>
    <row r="62" spans="2:6" s="243" customFormat="1" ht="15">
      <c r="B62" s="245"/>
      <c r="C62" s="245"/>
      <c r="D62" s="245"/>
      <c r="E62" s="245"/>
    </row>
    <row r="63" spans="2:6" s="243" customFormat="1">
      <c r="B63" s="246"/>
      <c r="C63" s="246"/>
      <c r="D63" s="246"/>
      <c r="E63" s="246"/>
      <c r="F63" s="246"/>
    </row>
    <row r="64" spans="2:6" s="243" customFormat="1">
      <c r="B64" s="246"/>
      <c r="C64" s="246"/>
      <c r="D64" s="246"/>
      <c r="E64" s="246"/>
      <c r="F64" s="246"/>
    </row>
    <row r="65" spans="2:6" s="243" customFormat="1" ht="15">
      <c r="B65" s="248"/>
      <c r="C65" s="248"/>
      <c r="D65" s="248"/>
      <c r="E65" s="248"/>
      <c r="F65" s="248"/>
    </row>
    <row r="66" spans="2:6" s="243" customFormat="1">
      <c r="B66" s="249"/>
      <c r="C66" s="249"/>
      <c r="D66" s="249"/>
      <c r="E66" s="249"/>
    </row>
    <row r="67" spans="2:6" s="243" customFormat="1">
      <c r="B67" s="250"/>
      <c r="C67" s="250"/>
      <c r="D67" s="250"/>
      <c r="E67" s="250"/>
    </row>
    <row r="68" spans="2:6" s="243" customFormat="1"/>
    <row r="69" spans="2:6" s="243" customFormat="1"/>
    <row r="70" spans="2:6" s="243" customFormat="1"/>
    <row r="71" spans="2:6" s="243" customFormat="1"/>
    <row r="72" spans="2:6" s="243" customFormat="1">
      <c r="B72" s="251"/>
      <c r="C72" s="251"/>
      <c r="D72" s="251"/>
      <c r="E72" s="251"/>
    </row>
    <row r="73" spans="2:6" s="243" customFormat="1">
      <c r="B73" s="246"/>
      <c r="C73" s="246"/>
      <c r="D73" s="246"/>
      <c r="E73" s="246"/>
    </row>
    <row r="74" spans="2:6" s="243" customFormat="1">
      <c r="B74" s="246"/>
      <c r="C74" s="246"/>
      <c r="D74" s="246"/>
      <c r="E74" s="246"/>
    </row>
    <row r="75" spans="2:6" s="243" customFormat="1"/>
    <row r="76" spans="2:6" s="243" customFormat="1">
      <c r="B76" s="251"/>
      <c r="C76" s="251"/>
      <c r="D76" s="251"/>
      <c r="E76" s="251"/>
    </row>
    <row r="77" spans="2:6" s="243" customFormat="1">
      <c r="B77" s="246"/>
      <c r="C77" s="246"/>
      <c r="D77" s="246"/>
      <c r="E77" s="246"/>
    </row>
    <row r="78" spans="2:6" s="243" customFormat="1">
      <c r="B78" s="246"/>
      <c r="C78" s="246"/>
      <c r="D78" s="246"/>
      <c r="E78" s="246"/>
    </row>
    <row r="79" spans="2:6" s="243" customFormat="1">
      <c r="B79" s="246"/>
      <c r="C79" s="246"/>
      <c r="D79" s="246"/>
      <c r="E79" s="246"/>
    </row>
    <row r="80" spans="2:6" s="243" customFormat="1">
      <c r="B80" s="246"/>
      <c r="C80" s="246"/>
      <c r="D80" s="246"/>
      <c r="E80" s="246"/>
    </row>
    <row r="81" spans="2:5" s="243" customFormat="1">
      <c r="B81" s="246"/>
      <c r="C81" s="246"/>
      <c r="D81" s="246"/>
      <c r="E81" s="246"/>
    </row>
    <row r="82" spans="2:5" s="243" customFormat="1">
      <c r="B82" s="246"/>
      <c r="C82" s="246"/>
      <c r="D82" s="246"/>
      <c r="E82" s="246"/>
    </row>
    <row r="83" spans="2:5" s="243" customFormat="1">
      <c r="B83" s="246"/>
      <c r="C83" s="246"/>
      <c r="D83" s="246"/>
      <c r="E83" s="246"/>
    </row>
    <row r="84" spans="2:5" s="243" customFormat="1"/>
    <row r="85" spans="2:5" s="243" customFormat="1"/>
    <row r="86" spans="2:5" s="243" customFormat="1"/>
    <row r="87" spans="2:5" s="243" customFormat="1"/>
    <row r="88" spans="2:5" s="243" customFormat="1"/>
    <row r="89" spans="2:5" s="243" customFormat="1"/>
    <row r="90" spans="2:5" s="243" customFormat="1"/>
    <row r="91" spans="2:5" s="243" customFormat="1"/>
    <row r="92" spans="2:5" s="243" customFormat="1"/>
    <row r="93" spans="2:5" s="243" customFormat="1"/>
    <row r="94" spans="2:5" s="243" customFormat="1"/>
    <row r="95" spans="2:5" s="243" customFormat="1"/>
    <row r="96" spans="2:5" s="243" customFormat="1"/>
    <row r="97" s="243" customFormat="1"/>
    <row r="98" s="243" customFormat="1"/>
    <row r="99" s="243" customFormat="1"/>
    <row r="100" s="243" customFormat="1"/>
    <row r="101" s="243" customFormat="1"/>
    <row r="102" s="243" customFormat="1"/>
    <row r="103" s="243" customFormat="1"/>
    <row r="104" s="243" customFormat="1"/>
    <row r="105" s="243" customFormat="1"/>
    <row r="106" s="243" customFormat="1"/>
    <row r="107" s="243" customFormat="1"/>
    <row r="108" s="243" customFormat="1"/>
    <row r="109" s="243" customFormat="1"/>
    <row r="110" s="243" customFormat="1"/>
    <row r="111" s="243" customFormat="1"/>
    <row r="112" s="243" customFormat="1"/>
    <row r="113" s="243" customFormat="1"/>
    <row r="114" s="243" customFormat="1"/>
    <row r="115" s="243" customFormat="1"/>
    <row r="116" s="243" customFormat="1"/>
    <row r="117" s="243" customFormat="1"/>
    <row r="118" s="243" customFormat="1"/>
    <row r="119" s="243" customFormat="1"/>
    <row r="120" s="243" customFormat="1"/>
    <row r="121" s="243" customFormat="1"/>
    <row r="122" s="243" customFormat="1"/>
    <row r="123" s="243" customFormat="1"/>
    <row r="124" s="243" customFormat="1"/>
    <row r="125" s="243" customFormat="1"/>
    <row r="126" s="243" customFormat="1"/>
    <row r="127" s="243" customFormat="1"/>
    <row r="128" s="243" customFormat="1"/>
    <row r="129" s="243" customFormat="1"/>
    <row r="130" s="243" customFormat="1"/>
    <row r="131" s="243" customFormat="1"/>
    <row r="132" s="243" customFormat="1"/>
    <row r="133" s="243" customFormat="1"/>
    <row r="134" s="243" customFormat="1"/>
    <row r="135" s="243" customFormat="1"/>
    <row r="136" s="243" customFormat="1"/>
    <row r="137" s="243" customFormat="1"/>
    <row r="138" s="243" customFormat="1"/>
    <row r="139" s="243" customFormat="1"/>
    <row r="140" s="243" customFormat="1"/>
    <row r="141" s="243" customFormat="1"/>
    <row r="142" s="243" customFormat="1"/>
    <row r="143" s="243" customFormat="1"/>
    <row r="144" s="243" customFormat="1"/>
    <row r="145" s="243" customFormat="1"/>
    <row r="146" s="243" customFormat="1"/>
    <row r="147" s="243" customFormat="1"/>
    <row r="148" s="243" customFormat="1"/>
    <row r="149" s="243" customFormat="1"/>
    <row r="150" s="243" customFormat="1"/>
    <row r="151" s="243" customFormat="1"/>
    <row r="152" s="243" customFormat="1"/>
    <row r="153" s="243" customFormat="1"/>
    <row r="154" s="243" customFormat="1"/>
    <row r="155" s="243" customFormat="1"/>
    <row r="156" s="243" customFormat="1"/>
    <row r="157" s="243" customFormat="1"/>
    <row r="158" s="243" customFormat="1"/>
    <row r="159" s="243" customFormat="1"/>
    <row r="160" s="243" customFormat="1"/>
    <row r="161" s="243" customFormat="1"/>
    <row r="162" s="243" customFormat="1"/>
    <row r="163" s="243" customFormat="1"/>
    <row r="164" s="243" customFormat="1"/>
    <row r="165" s="243" customFormat="1"/>
    <row r="166" s="243" customFormat="1"/>
    <row r="167" s="243" customFormat="1"/>
    <row r="168" s="243" customFormat="1"/>
    <row r="169" s="243" customFormat="1"/>
    <row r="170" s="243" customFormat="1"/>
    <row r="171" s="243" customFormat="1"/>
    <row r="172" s="243" customFormat="1"/>
    <row r="173" s="243" customFormat="1"/>
    <row r="174" s="243" customFormat="1"/>
    <row r="175" s="243" customFormat="1"/>
    <row r="176" s="243" customFormat="1"/>
    <row r="177" s="243" customFormat="1"/>
    <row r="178" s="243" customFormat="1"/>
    <row r="179" s="243" customFormat="1"/>
    <row r="180" s="243" customFormat="1"/>
    <row r="181" s="243" customFormat="1"/>
    <row r="182" s="243" customFormat="1"/>
    <row r="183" s="243" customFormat="1"/>
    <row r="184" s="243" customFormat="1"/>
    <row r="185" s="243" customFormat="1"/>
    <row r="186" s="243" customFormat="1"/>
    <row r="187" s="243" customFormat="1"/>
    <row r="188" s="243" customFormat="1"/>
    <row r="189" s="243" customFormat="1"/>
    <row r="190" s="243" customFormat="1"/>
    <row r="191" s="243" customFormat="1"/>
    <row r="192" s="243" customFormat="1"/>
    <row r="193" s="243" customFormat="1"/>
    <row r="194" s="243" customFormat="1"/>
    <row r="195" s="243" customFormat="1"/>
    <row r="196" s="243" customFormat="1"/>
    <row r="197" s="243" customFormat="1"/>
    <row r="198" s="243" customFormat="1"/>
    <row r="199" s="243" customFormat="1"/>
    <row r="200" s="243" customFormat="1"/>
    <row r="201" s="243" customFormat="1"/>
    <row r="202" s="243" customFormat="1"/>
    <row r="203" s="243" customFormat="1"/>
    <row r="204" s="243" customFormat="1"/>
    <row r="205" s="243" customFormat="1"/>
    <row r="206" s="243" customFormat="1"/>
    <row r="207" s="243" customFormat="1"/>
    <row r="208" s="243" customFormat="1"/>
    <row r="209" s="243" customFormat="1"/>
    <row r="210" s="243" customFormat="1"/>
    <row r="211" s="243" customFormat="1"/>
    <row r="212" s="243" customFormat="1"/>
    <row r="213" s="243" customFormat="1"/>
    <row r="214" s="243" customFormat="1"/>
    <row r="215" s="243" customFormat="1"/>
    <row r="216" s="243" customFormat="1"/>
    <row r="217" s="243" customFormat="1"/>
    <row r="218" s="243" customFormat="1"/>
    <row r="219" s="243" customFormat="1"/>
    <row r="220" s="243" customFormat="1"/>
    <row r="221" s="243" customFormat="1"/>
    <row r="222" s="243" customFormat="1"/>
    <row r="223" s="243" customFormat="1"/>
    <row r="224" s="243" customFormat="1"/>
    <row r="225" s="243" customFormat="1"/>
    <row r="226" s="243" customFormat="1"/>
    <row r="227" s="243" customFormat="1"/>
    <row r="228" s="243" customFormat="1"/>
    <row r="229" s="243" customFormat="1"/>
    <row r="230" s="243" customFormat="1"/>
    <row r="231" s="243" customFormat="1"/>
    <row r="232" s="243" customFormat="1"/>
    <row r="233" s="243" customFormat="1"/>
    <row r="234" s="243" customFormat="1"/>
    <row r="235" s="243" customFormat="1"/>
    <row r="236" s="243" customFormat="1"/>
    <row r="237" s="243" customFormat="1"/>
    <row r="238" s="243" customFormat="1"/>
    <row r="239" s="243" customFormat="1"/>
    <row r="240" s="243" customFormat="1"/>
    <row r="241" s="243" customFormat="1"/>
    <row r="242" s="243" customFormat="1"/>
    <row r="243" s="243" customFormat="1"/>
    <row r="244" s="243" customFormat="1"/>
    <row r="245" s="243" customFormat="1"/>
    <row r="246" s="243" customFormat="1"/>
    <row r="247" s="243" customFormat="1"/>
    <row r="248" s="243" customFormat="1"/>
    <row r="249" s="243" customFormat="1"/>
    <row r="250" s="243" customFormat="1"/>
    <row r="251" s="243" customFormat="1"/>
    <row r="252" s="243" customFormat="1"/>
    <row r="253" s="243" customFormat="1"/>
    <row r="254" s="243" customFormat="1"/>
    <row r="255" s="243" customFormat="1"/>
    <row r="256" s="243" customFormat="1"/>
    <row r="257" s="243" customFormat="1"/>
    <row r="258" s="243" customFormat="1"/>
    <row r="259" s="243" customFormat="1"/>
    <row r="260" s="243" customFormat="1"/>
    <row r="261" s="243" customFormat="1"/>
    <row r="262" s="243" customFormat="1"/>
    <row r="263" s="243" customFormat="1"/>
    <row r="264" s="243" customFormat="1"/>
    <row r="265" s="243" customFormat="1"/>
    <row r="266" s="243" customFormat="1"/>
    <row r="267" s="243" customFormat="1"/>
    <row r="268" s="243" customFormat="1"/>
    <row r="269" s="243" customFormat="1"/>
    <row r="270" s="243" customFormat="1"/>
    <row r="271" s="243" customFormat="1"/>
    <row r="272" s="243" customFormat="1"/>
    <row r="273" s="243" customFormat="1"/>
  </sheetData>
  <phoneticPr fontId="32" type="noConversion"/>
  <pageMargins left="1" right="1" top="1" bottom="0.5" header="1" footer="0.25"/>
  <pageSetup fitToHeight="2" orientation="portrait" blackAndWhite="1"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pageSetUpPr fitToPage="1"/>
  </sheetPr>
  <dimension ref="A1:H41"/>
  <sheetViews>
    <sheetView zoomScale="80" zoomScaleNormal="80" workbookViewId="0"/>
  </sheetViews>
  <sheetFormatPr defaultColWidth="8.77734375" defaultRowHeight="15"/>
  <cols>
    <col min="1" max="1" width="27.6640625" style="12" customWidth="1"/>
    <col min="2" max="2" width="16.109375" style="12" customWidth="1"/>
    <col min="3" max="3" width="17.77734375" style="12" customWidth="1"/>
    <col min="4" max="4" width="22.88671875" style="12" customWidth="1"/>
    <col min="5" max="5" width="12.33203125" style="12" bestFit="1" customWidth="1"/>
    <col min="6" max="16384" width="8.77734375" style="12"/>
  </cols>
  <sheetData>
    <row r="1" spans="1:8" ht="18">
      <c r="A1" s="562" t="str">
        <f>'P1 ADIT 190 &amp; 282'!A1</f>
        <v>Duke Energy Ohio and Duke Energy Kentucky</v>
      </c>
      <c r="B1" s="568"/>
      <c r="C1" s="568"/>
      <c r="D1" s="568"/>
    </row>
    <row r="2" spans="1:8" ht="18">
      <c r="A2" s="562"/>
      <c r="B2" s="568"/>
      <c r="C2" s="568"/>
      <c r="D2" s="568"/>
    </row>
    <row r="3" spans="1:8" ht="18">
      <c r="A3" s="562"/>
      <c r="B3" s="568"/>
      <c r="C3" s="568"/>
      <c r="D3" s="569" t="s">
        <v>426</v>
      </c>
    </row>
    <row r="4" spans="1:8">
      <c r="A4" s="570"/>
      <c r="B4" s="570"/>
      <c r="C4" s="570"/>
      <c r="D4" s="567" t="str">
        <f>"Page 3 of "&amp;Workpaper</f>
        <v>Page 3 of 18</v>
      </c>
    </row>
    <row r="5" spans="1:8">
      <c r="A5" s="570"/>
      <c r="B5" s="570"/>
      <c r="C5" s="570"/>
      <c r="D5" s="275" t="str">
        <f>"For the 12 months ended: "&amp;TEXT(INPUT!$B$1,"mm/dd/yyyy")</f>
        <v>For the 12 months ended: 12/31/2017</v>
      </c>
    </row>
    <row r="6" spans="1:8">
      <c r="A6" s="570"/>
      <c r="B6" s="570"/>
      <c r="C6" s="570"/>
      <c r="D6" s="569"/>
      <c r="E6" s="670"/>
      <c r="F6" s="670"/>
      <c r="G6" s="670"/>
      <c r="H6" s="670"/>
    </row>
    <row r="7" spans="1:8" ht="15.75">
      <c r="A7" s="571" t="s">
        <v>217</v>
      </c>
      <c r="B7" s="568"/>
      <c r="C7" s="568"/>
      <c r="D7" s="568"/>
      <c r="E7" s="670"/>
      <c r="F7" s="670"/>
      <c r="G7" s="670"/>
      <c r="H7" s="670"/>
    </row>
    <row r="8" spans="1:8">
      <c r="A8" s="570"/>
      <c r="B8" s="570"/>
      <c r="C8" s="570"/>
      <c r="D8" s="570"/>
      <c r="E8" s="670"/>
      <c r="F8" s="670"/>
      <c r="G8" s="670"/>
      <c r="H8" s="670"/>
    </row>
    <row r="9" spans="1:8">
      <c r="B9" s="348"/>
      <c r="C9" s="348"/>
    </row>
    <row r="10" spans="1:8" s="670" customFormat="1">
      <c r="B10" s="621" t="s">
        <v>25</v>
      </c>
      <c r="C10" s="621" t="s">
        <v>856</v>
      </c>
    </row>
    <row r="11" spans="1:8" ht="22.5">
      <c r="A11" s="348"/>
      <c r="B11" s="349" t="s">
        <v>854</v>
      </c>
      <c r="C11" s="350" t="s">
        <v>855</v>
      </c>
      <c r="D11" s="616" t="s">
        <v>540</v>
      </c>
    </row>
    <row r="12" spans="1:8">
      <c r="B12" s="348"/>
      <c r="C12" s="348"/>
      <c r="D12" s="348"/>
    </row>
    <row r="13" spans="1:8" ht="18.75">
      <c r="A13" s="404" t="s">
        <v>806</v>
      </c>
      <c r="B13" s="351"/>
      <c r="C13" s="351"/>
      <c r="D13" s="351"/>
    </row>
    <row r="14" spans="1:8">
      <c r="B14" s="351"/>
      <c r="C14" s="351"/>
      <c r="D14" s="351"/>
    </row>
    <row r="15" spans="1:8">
      <c r="A15" s="12" t="s">
        <v>218</v>
      </c>
      <c r="B15" s="710">
        <v>0</v>
      </c>
      <c r="C15" s="710">
        <v>0</v>
      </c>
      <c r="D15" s="671">
        <f>SUM(B15:C15)</f>
        <v>0</v>
      </c>
    </row>
    <row r="16" spans="1:8">
      <c r="A16" s="12" t="s">
        <v>219</v>
      </c>
      <c r="B16" s="686">
        <v>285810</v>
      </c>
      <c r="C16" s="686">
        <f>4084854+665976</f>
        <v>4750830</v>
      </c>
      <c r="D16" s="351">
        <f>SUM(B16:C16)</f>
        <v>5036640</v>
      </c>
    </row>
    <row r="17" spans="1:4" ht="17.25">
      <c r="A17" s="12" t="s">
        <v>220</v>
      </c>
      <c r="B17" s="687">
        <v>0</v>
      </c>
      <c r="C17" s="687">
        <v>0</v>
      </c>
      <c r="D17" s="352">
        <f>SUM(B17:C17)</f>
        <v>0</v>
      </c>
    </row>
    <row r="18" spans="1:4" ht="17.25">
      <c r="A18" s="353" t="s">
        <v>13</v>
      </c>
      <c r="B18" s="972">
        <f>SUM(B15:B17)</f>
        <v>285810</v>
      </c>
      <c r="C18" s="972">
        <f>SUM(C15:C17)</f>
        <v>4750830</v>
      </c>
      <c r="D18" s="354">
        <f>SUM(D15:D17)</f>
        <v>5036640</v>
      </c>
    </row>
    <row r="19" spans="1:4">
      <c r="B19" s="604"/>
      <c r="C19" s="604"/>
    </row>
    <row r="20" spans="1:4">
      <c r="B20" s="604"/>
      <c r="C20" s="604"/>
    </row>
    <row r="21" spans="1:4">
      <c r="B21" s="604"/>
      <c r="C21" s="604"/>
    </row>
    <row r="22" spans="1:4" ht="18.75">
      <c r="A22" s="404" t="s">
        <v>805</v>
      </c>
      <c r="B22" s="915"/>
      <c r="C22" s="915"/>
      <c r="D22" s="351"/>
    </row>
    <row r="23" spans="1:4">
      <c r="A23" s="355"/>
      <c r="B23" s="915"/>
      <c r="C23" s="915"/>
      <c r="D23" s="351"/>
    </row>
    <row r="24" spans="1:4" ht="17.25">
      <c r="A24" s="670" t="s">
        <v>219</v>
      </c>
      <c r="B24" s="973">
        <v>0</v>
      </c>
      <c r="C24" s="973">
        <f>29358.03+40446.74</f>
        <v>69804.76999999999</v>
      </c>
      <c r="D24" s="354">
        <f>SUM(B24:C24)</f>
        <v>69804.76999999999</v>
      </c>
    </row>
    <row r="28" spans="1:4" ht="18">
      <c r="A28" s="12" t="s">
        <v>807</v>
      </c>
    </row>
    <row r="29" spans="1:4" ht="18">
      <c r="A29" s="890" t="s">
        <v>804</v>
      </c>
    </row>
    <row r="41" spans="2:2">
      <c r="B41" s="64"/>
    </row>
  </sheetData>
  <pageMargins left="1" right="1" top="1" bottom="0.5" header="0.25" footer="0.25"/>
  <pageSetup scale="82"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1"/>
    <pageSetUpPr fitToPage="1"/>
  </sheetPr>
  <dimension ref="A1:F51"/>
  <sheetViews>
    <sheetView zoomScale="80" zoomScaleNormal="80" workbookViewId="0"/>
  </sheetViews>
  <sheetFormatPr defaultColWidth="7.109375" defaultRowHeight="12.75"/>
  <cols>
    <col min="1" max="1" width="53.33203125" style="94" bestFit="1" customWidth="1"/>
    <col min="2" max="2" width="24.88671875" style="94" customWidth="1"/>
    <col min="3" max="3" width="15.21875" style="94" customWidth="1"/>
    <col min="4" max="4" width="13.5546875" style="94" customWidth="1"/>
    <col min="5" max="5" width="5.77734375" style="695" customWidth="1"/>
    <col min="6" max="6" width="13" style="94" customWidth="1"/>
    <col min="7" max="15" width="16.21875" style="94" bestFit="1" customWidth="1"/>
    <col min="16" max="16" width="16.77734375" style="94" bestFit="1" customWidth="1"/>
    <col min="17" max="17" width="7.77734375" style="94" bestFit="1" customWidth="1"/>
    <col min="18" max="18" width="8.21875" style="94" bestFit="1" customWidth="1"/>
    <col min="19" max="19" width="9.88671875" style="94" bestFit="1" customWidth="1"/>
    <col min="20" max="20" width="6.33203125" style="94" customWidth="1"/>
    <col min="21" max="21" width="9.88671875" style="94" bestFit="1" customWidth="1"/>
    <col min="22" max="22" width="6.33203125" style="94" customWidth="1"/>
    <col min="23" max="23" width="9.88671875" style="94" bestFit="1" customWidth="1"/>
    <col min="24" max="25" width="6.33203125" style="94" customWidth="1"/>
    <col min="26" max="26" width="9.88671875" style="94" bestFit="1" customWidth="1"/>
    <col min="27" max="27" width="6.33203125" style="94" customWidth="1"/>
    <col min="28" max="28" width="9.88671875" style="94" bestFit="1" customWidth="1"/>
    <col min="29" max="29" width="6.33203125" style="94" customWidth="1"/>
    <col min="30" max="30" width="9.88671875" style="94" bestFit="1" customWidth="1"/>
    <col min="31" max="31" width="6.33203125" style="94" customWidth="1"/>
    <col min="32" max="32" width="9.88671875" style="94" bestFit="1" customWidth="1"/>
    <col min="33" max="33" width="8.21875" style="94" bestFit="1" customWidth="1"/>
    <col min="34" max="16384" width="7.109375" style="94"/>
  </cols>
  <sheetData>
    <row r="1" spans="1:6" ht="18">
      <c r="A1" s="562" t="str">
        <f>'P1 ADIT 190 &amp; 282'!A1</f>
        <v>Duke Energy Ohio and Duke Energy Kentucky</v>
      </c>
      <c r="B1" s="562"/>
      <c r="C1" s="568"/>
      <c r="D1" s="568"/>
    </row>
    <row r="2" spans="1:6" ht="18">
      <c r="A2" s="562"/>
      <c r="B2" s="562"/>
      <c r="C2" s="568"/>
      <c r="D2" s="568"/>
    </row>
    <row r="3" spans="1:6" ht="15.6" customHeight="1">
      <c r="A3" s="571"/>
      <c r="B3" s="571"/>
      <c r="C3" s="568"/>
      <c r="D3" s="569" t="s">
        <v>426</v>
      </c>
    </row>
    <row r="4" spans="1:6" ht="15.6" customHeight="1">
      <c r="A4" s="571"/>
      <c r="B4" s="571"/>
      <c r="C4" s="568"/>
      <c r="D4" s="567" t="str">
        <f>"Page 4 of "&amp;Workpaper</f>
        <v>Page 4 of 18</v>
      </c>
    </row>
    <row r="5" spans="1:6" ht="15.6" customHeight="1">
      <c r="A5" s="571"/>
      <c r="B5" s="571"/>
      <c r="C5" s="568"/>
      <c r="D5" s="275" t="str">
        <f>"For the 12 months ended: "&amp;TEXT(INPUT!$B$1,"mm/dd/yyyy")</f>
        <v>For the 12 months ended: 12/31/2017</v>
      </c>
    </row>
    <row r="6" spans="1:6" ht="15.6" customHeight="1">
      <c r="A6" s="571"/>
      <c r="B6" s="571"/>
      <c r="C6" s="568"/>
      <c r="D6" s="569"/>
    </row>
    <row r="7" spans="1:6" ht="15.6" customHeight="1">
      <c r="A7" s="619" t="s">
        <v>552</v>
      </c>
      <c r="B7" s="571"/>
      <c r="C7" s="568"/>
      <c r="D7" s="568"/>
    </row>
    <row r="8" spans="1:6" ht="15.6" customHeight="1">
      <c r="A8" s="571"/>
      <c r="B8" s="571"/>
      <c r="C8" s="568"/>
      <c r="D8" s="568"/>
    </row>
    <row r="9" spans="1:6" ht="15.6" customHeight="1">
      <c r="A9" s="97"/>
      <c r="B9" s="97"/>
      <c r="C9" s="97"/>
      <c r="D9" s="97"/>
    </row>
    <row r="10" spans="1:6" ht="15.6" customHeight="1">
      <c r="A10" s="111"/>
      <c r="B10" s="111"/>
      <c r="C10" s="110"/>
      <c r="D10" s="110"/>
    </row>
    <row r="11" spans="1:6" ht="15.6" customHeight="1">
      <c r="A11" s="110"/>
      <c r="B11" s="620"/>
      <c r="C11" s="112"/>
      <c r="D11" s="113"/>
    </row>
    <row r="12" spans="1:6" ht="22.15" customHeight="1">
      <c r="A12" s="664" t="s">
        <v>452</v>
      </c>
      <c r="B12" s="664" t="s">
        <v>313</v>
      </c>
      <c r="C12" s="114" t="s">
        <v>191</v>
      </c>
      <c r="D12" s="114" t="s">
        <v>192</v>
      </c>
    </row>
    <row r="13" spans="1:6" ht="15.6" customHeight="1">
      <c r="A13" s="110"/>
      <c r="B13" s="110"/>
      <c r="C13" s="114"/>
      <c r="D13" s="114"/>
    </row>
    <row r="14" spans="1:6" ht="17.100000000000001" customHeight="1">
      <c r="A14" s="644" t="s">
        <v>327</v>
      </c>
      <c r="B14" s="653" t="s">
        <v>868</v>
      </c>
      <c r="C14" s="986">
        <v>105475</v>
      </c>
      <c r="D14" s="986">
        <v>23812</v>
      </c>
      <c r="F14" s="281"/>
    </row>
    <row r="15" spans="1:6" ht="17.100000000000001" customHeight="1">
      <c r="A15" s="662" t="s">
        <v>428</v>
      </c>
      <c r="B15" s="653" t="s">
        <v>859</v>
      </c>
      <c r="C15" s="675">
        <v>1403738</v>
      </c>
      <c r="D15" s="675">
        <v>698688</v>
      </c>
    </row>
    <row r="16" spans="1:6" ht="17.100000000000001" customHeight="1">
      <c r="A16" s="662" t="s">
        <v>550</v>
      </c>
      <c r="B16" s="653" t="s">
        <v>859</v>
      </c>
      <c r="C16" s="675">
        <v>223879</v>
      </c>
      <c r="D16" s="976">
        <v>0</v>
      </c>
    </row>
    <row r="17" spans="1:6" ht="17.100000000000001" customHeight="1">
      <c r="A17" s="662" t="s">
        <v>551</v>
      </c>
      <c r="B17" s="653" t="s">
        <v>859</v>
      </c>
      <c r="C17" s="675">
        <v>111196</v>
      </c>
      <c r="D17" s="976">
        <v>0</v>
      </c>
    </row>
    <row r="18" spans="1:6" ht="17.100000000000001" customHeight="1">
      <c r="A18" s="647" t="s">
        <v>623</v>
      </c>
      <c r="B18" s="653" t="s">
        <v>859</v>
      </c>
      <c r="C18" s="976">
        <v>0</v>
      </c>
      <c r="D18" s="976">
        <v>0</v>
      </c>
      <c r="F18" s="281"/>
    </row>
    <row r="19" spans="1:6" ht="17.100000000000001" customHeight="1">
      <c r="A19" s="663"/>
      <c r="B19" s="653"/>
      <c r="C19" s="675"/>
      <c r="D19" s="675"/>
    </row>
    <row r="20" spans="1:6" ht="17.100000000000001" customHeight="1">
      <c r="A20" s="647" t="s">
        <v>429</v>
      </c>
      <c r="B20" s="653" t="s">
        <v>858</v>
      </c>
      <c r="C20" s="987">
        <f>428278+1591</f>
        <v>429869</v>
      </c>
      <c r="D20" s="987">
        <f>572940+2173</f>
        <v>575113</v>
      </c>
    </row>
    <row r="21" spans="1:6" ht="17.100000000000001" customHeight="1">
      <c r="A21" s="647" t="s">
        <v>625</v>
      </c>
      <c r="B21" s="653" t="s">
        <v>626</v>
      </c>
      <c r="C21" s="690">
        <v>274665</v>
      </c>
      <c r="D21" s="690">
        <v>253537</v>
      </c>
      <c r="E21" s="696" t="s">
        <v>19</v>
      </c>
    </row>
    <row r="22" spans="1:6" ht="17.100000000000001" customHeight="1">
      <c r="A22" s="647" t="s">
        <v>553</v>
      </c>
      <c r="B22" s="653" t="s">
        <v>554</v>
      </c>
      <c r="C22" s="690">
        <v>0</v>
      </c>
      <c r="D22" s="690">
        <v>177776</v>
      </c>
    </row>
    <row r="23" spans="1:6" ht="17.100000000000001" customHeight="1">
      <c r="A23" s="647" t="s">
        <v>553</v>
      </c>
      <c r="B23" s="653" t="s">
        <v>624</v>
      </c>
      <c r="C23" s="690">
        <v>13469</v>
      </c>
      <c r="D23" s="690">
        <v>11972</v>
      </c>
    </row>
    <row r="24" spans="1:6" ht="17.100000000000001" customHeight="1">
      <c r="A24" s="647" t="s">
        <v>553</v>
      </c>
      <c r="B24" s="653" t="s">
        <v>555</v>
      </c>
      <c r="C24" s="690">
        <v>131436</v>
      </c>
      <c r="D24" s="690">
        <v>121326</v>
      </c>
    </row>
    <row r="25" spans="1:6" ht="17.100000000000001" customHeight="1">
      <c r="A25" s="647" t="s">
        <v>553</v>
      </c>
      <c r="B25" s="653" t="s">
        <v>556</v>
      </c>
      <c r="C25" s="558">
        <v>8708</v>
      </c>
      <c r="D25" s="558">
        <v>7741</v>
      </c>
    </row>
    <row r="26" spans="1:6" ht="18" customHeight="1">
      <c r="A26" s="647" t="s">
        <v>557</v>
      </c>
      <c r="B26" s="653"/>
      <c r="C26" s="692">
        <f>C20-C21-C22-C23-C24-C25</f>
        <v>1591</v>
      </c>
      <c r="D26" s="692">
        <f>D20-D21-D22-D23-D24-D25</f>
        <v>2761</v>
      </c>
    </row>
    <row r="27" spans="1:6" ht="15.6" customHeight="1">
      <c r="A27" s="116"/>
      <c r="B27" s="116"/>
      <c r="C27" s="204"/>
      <c r="D27" s="204"/>
    </row>
    <row r="28" spans="1:6" ht="15.6" customHeight="1">
      <c r="A28" s="618" t="s">
        <v>430</v>
      </c>
      <c r="B28" s="116"/>
      <c r="C28" s="203">
        <f>SUM(C14:C18)+C26</f>
        <v>1845879</v>
      </c>
      <c r="D28" s="203">
        <f>SUM(D14:D18)+D26</f>
        <v>725261</v>
      </c>
    </row>
    <row r="29" spans="1:6" ht="15.6" customHeight="1">
      <c r="A29" s="617"/>
      <c r="B29" s="116"/>
      <c r="C29" s="204"/>
      <c r="D29" s="204"/>
    </row>
    <row r="30" spans="1:6" ht="15.6" customHeight="1">
      <c r="A30" s="617" t="s">
        <v>222</v>
      </c>
      <c r="B30" s="116"/>
      <c r="C30" s="558">
        <v>0</v>
      </c>
      <c r="D30" s="558">
        <v>0</v>
      </c>
    </row>
    <row r="31" spans="1:6" ht="15.6" customHeight="1">
      <c r="A31" s="617"/>
      <c r="B31" s="116"/>
      <c r="C31" s="110"/>
      <c r="D31" s="110"/>
      <c r="E31" s="697"/>
    </row>
    <row r="32" spans="1:6" ht="17.25">
      <c r="A32" s="663" t="s">
        <v>584</v>
      </c>
      <c r="B32" s="110"/>
      <c r="C32" s="119">
        <f>C28-C30</f>
        <v>1845879</v>
      </c>
      <c r="D32" s="119">
        <f>D28-D30</f>
        <v>725261</v>
      </c>
    </row>
    <row r="35" spans="1:1" ht="15">
      <c r="A35" s="123" t="s">
        <v>630</v>
      </c>
    </row>
    <row r="51" spans="1:3">
      <c r="A51" s="281"/>
      <c r="B51" s="281"/>
      <c r="C51" s="346"/>
    </row>
  </sheetData>
  <phoneticPr fontId="40" type="noConversion"/>
  <pageMargins left="1" right="1" top="1" bottom="0.5" header="0.5" footer="0.5"/>
  <pageSetup scale="62"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00FF"/>
  </sheetPr>
  <dimension ref="A1:F228"/>
  <sheetViews>
    <sheetView zoomScale="70" zoomScaleNormal="70" workbookViewId="0">
      <pane xSplit="5" ySplit="6" topLeftCell="F7" activePane="bottomRight" state="frozen"/>
      <selection activeCell="C169" sqref="C169"/>
      <selection pane="topRight" activeCell="C169" sqref="C169"/>
      <selection pane="bottomLeft" activeCell="C169" sqref="C169"/>
      <selection pane="bottomRight" activeCell="K34" sqref="K34"/>
    </sheetView>
  </sheetViews>
  <sheetFormatPr defaultColWidth="8.77734375" defaultRowHeight="12.75"/>
  <cols>
    <col min="1" max="1" width="36.44140625" style="498" customWidth="1"/>
    <col min="2" max="2" width="24.88671875" style="498" customWidth="1"/>
    <col min="3" max="3" width="15.21875" style="498" customWidth="1"/>
    <col min="4" max="4" width="15.33203125" style="498" customWidth="1"/>
    <col min="5" max="5" width="15.21875" style="498" customWidth="1"/>
    <col min="6" max="6" width="2.44140625" style="498" customWidth="1"/>
    <col min="7" max="16384" width="8.77734375" style="498"/>
  </cols>
  <sheetData>
    <row r="1" spans="1:5" ht="15.75">
      <c r="A1" s="494" t="s">
        <v>525</v>
      </c>
      <c r="B1" s="673">
        <v>43100</v>
      </c>
      <c r="C1" s="497"/>
      <c r="D1" s="912" t="s">
        <v>536</v>
      </c>
    </row>
    <row r="2" spans="1:5" ht="15.75">
      <c r="A2" s="495" t="s">
        <v>526</v>
      </c>
      <c r="B2" s="674">
        <f>EDATE(B1,5)+1</f>
        <v>43252</v>
      </c>
      <c r="D2" s="911">
        <v>18</v>
      </c>
      <c r="E2" s="516"/>
    </row>
    <row r="3" spans="1:5" ht="16.5" thickBot="1">
      <c r="A3" s="493"/>
      <c r="B3" s="499"/>
      <c r="E3" s="516"/>
    </row>
    <row r="4" spans="1:5" ht="13.5" thickBot="1">
      <c r="A4" s="473"/>
      <c r="C4" s="716" t="s">
        <v>670</v>
      </c>
      <c r="D4" s="717"/>
      <c r="E4" s="910"/>
    </row>
    <row r="5" spans="1:5">
      <c r="A5" s="473"/>
      <c r="B5" s="500" t="s">
        <v>24</v>
      </c>
      <c r="C5" s="501"/>
      <c r="D5" s="501"/>
      <c r="E5" s="516"/>
    </row>
    <row r="6" spans="1:5" ht="13.5" thickBot="1">
      <c r="A6" s="502" t="s">
        <v>523</v>
      </c>
      <c r="B6" s="503" t="s">
        <v>26</v>
      </c>
      <c r="C6" s="474" t="s">
        <v>191</v>
      </c>
      <c r="D6" s="474" t="s">
        <v>192</v>
      </c>
      <c r="E6" s="892" t="s">
        <v>425</v>
      </c>
    </row>
    <row r="7" spans="1:5">
      <c r="A7" s="473"/>
      <c r="B7" s="504"/>
      <c r="C7" s="504"/>
      <c r="D7" s="504"/>
      <c r="E7" s="516"/>
    </row>
    <row r="8" spans="1:5">
      <c r="A8" s="468" t="s">
        <v>29</v>
      </c>
      <c r="B8" s="504"/>
      <c r="C8" s="504"/>
      <c r="D8" s="504"/>
      <c r="E8" s="516"/>
    </row>
    <row r="9" spans="1:5">
      <c r="A9" s="473" t="s">
        <v>30</v>
      </c>
      <c r="B9" s="504" t="s">
        <v>193</v>
      </c>
      <c r="C9" s="1016">
        <v>0</v>
      </c>
      <c r="D9" s="1016">
        <v>1105745504</v>
      </c>
      <c r="E9" s="531">
        <f t="shared" ref="E9:E14" si="0">D9+C9</f>
        <v>1105745504</v>
      </c>
    </row>
    <row r="10" spans="1:5">
      <c r="A10" s="473" t="s">
        <v>32</v>
      </c>
      <c r="B10" s="504" t="s">
        <v>181</v>
      </c>
      <c r="C10" s="519">
        <v>809377209</v>
      </c>
      <c r="D10" s="519">
        <v>57966223</v>
      </c>
      <c r="E10" s="532">
        <f t="shared" si="0"/>
        <v>867343432</v>
      </c>
    </row>
    <row r="11" spans="1:5">
      <c r="A11" s="473" t="s">
        <v>33</v>
      </c>
      <c r="B11" s="504" t="s">
        <v>182</v>
      </c>
      <c r="C11" s="519">
        <v>2553244981</v>
      </c>
      <c r="D11" s="519">
        <v>453684330</v>
      </c>
      <c r="E11" s="532">
        <f t="shared" si="0"/>
        <v>3006929311</v>
      </c>
    </row>
    <row r="12" spans="1:5">
      <c r="A12" s="473" t="s">
        <v>34</v>
      </c>
      <c r="B12" s="504" t="s">
        <v>0</v>
      </c>
      <c r="C12" s="519">
        <f>203899416+75769641</f>
        <v>279669057</v>
      </c>
      <c r="D12" s="519">
        <f>17750192+8445023</f>
        <v>26195215</v>
      </c>
      <c r="E12" s="532">
        <f t="shared" si="0"/>
        <v>305864272</v>
      </c>
    </row>
    <row r="13" spans="1:5" ht="13.5" thickBot="1">
      <c r="A13" s="491" t="s">
        <v>35</v>
      </c>
      <c r="B13" s="668" t="s">
        <v>846</v>
      </c>
      <c r="C13" s="704">
        <f>ROUND(361963846*0.6386,0)</f>
        <v>231150112</v>
      </c>
      <c r="D13" s="704">
        <f>ROUND(43539624*0.7284,0)</f>
        <v>31714262</v>
      </c>
      <c r="E13" s="893">
        <f t="shared" si="0"/>
        <v>262864374</v>
      </c>
    </row>
    <row r="14" spans="1:5">
      <c r="A14" s="473" t="s">
        <v>516</v>
      </c>
      <c r="B14" s="504"/>
      <c r="C14" s="506">
        <f>SUM(C9:C13)</f>
        <v>3873441359</v>
      </c>
      <c r="D14" s="506">
        <f>SUM(D9:D13)</f>
        <v>1675305534</v>
      </c>
      <c r="E14" s="531">
        <f t="shared" si="0"/>
        <v>5548746893</v>
      </c>
    </row>
    <row r="15" spans="1:5">
      <c r="A15" s="473"/>
      <c r="B15" s="504"/>
      <c r="C15" s="475"/>
      <c r="D15" s="475"/>
      <c r="E15" s="532"/>
    </row>
    <row r="16" spans="1:5">
      <c r="A16" s="468" t="s">
        <v>38</v>
      </c>
      <c r="B16" s="504"/>
      <c r="C16" s="475"/>
      <c r="D16" s="475"/>
      <c r="E16" s="532"/>
    </row>
    <row r="17" spans="1:5">
      <c r="A17" s="473" t="str">
        <f>A9</f>
        <v xml:space="preserve">  Production</v>
      </c>
      <c r="B17" s="504" t="s">
        <v>694</v>
      </c>
      <c r="C17" s="1016">
        <v>0</v>
      </c>
      <c r="D17" s="1016">
        <f>469789732+169394028</f>
        <v>639183760</v>
      </c>
      <c r="E17" s="531">
        <f t="shared" ref="E17:E22" si="1">D17+C17</f>
        <v>639183760</v>
      </c>
    </row>
    <row r="18" spans="1:5">
      <c r="A18" s="473" t="str">
        <f>A10</f>
        <v xml:space="preserve">  Transmission</v>
      </c>
      <c r="B18" s="504" t="s">
        <v>164</v>
      </c>
      <c r="C18" s="519">
        <v>238222237</v>
      </c>
      <c r="D18" s="519">
        <v>19215086</v>
      </c>
      <c r="E18" s="532">
        <f t="shared" si="1"/>
        <v>257437323</v>
      </c>
    </row>
    <row r="19" spans="1:5">
      <c r="A19" s="473" t="str">
        <f>A11</f>
        <v xml:space="preserve">  Distribution</v>
      </c>
      <c r="B19" s="504" t="s">
        <v>165</v>
      </c>
      <c r="C19" s="519">
        <v>756200700</v>
      </c>
      <c r="D19" s="519">
        <v>157555106</v>
      </c>
      <c r="E19" s="532">
        <f t="shared" si="1"/>
        <v>913755806</v>
      </c>
    </row>
    <row r="20" spans="1:5">
      <c r="A20" s="473" t="str">
        <f>A12</f>
        <v xml:space="preserve">  General &amp; Intangible</v>
      </c>
      <c r="B20" s="504" t="s">
        <v>532</v>
      </c>
      <c r="C20" s="519">
        <f>52747893+59471282</f>
        <v>112219175</v>
      </c>
      <c r="D20" s="519">
        <f>1440020+10671765</f>
        <v>12111785</v>
      </c>
      <c r="E20" s="532">
        <f t="shared" si="1"/>
        <v>124330960</v>
      </c>
    </row>
    <row r="21" spans="1:5" ht="13.5" thickBot="1">
      <c r="A21" s="491" t="str">
        <f>A13</f>
        <v xml:space="preserve">  Common</v>
      </c>
      <c r="B21" s="668" t="s">
        <v>577</v>
      </c>
      <c r="C21" s="704">
        <v>86909331</v>
      </c>
      <c r="D21" s="704">
        <v>27828102</v>
      </c>
      <c r="E21" s="893">
        <f t="shared" si="1"/>
        <v>114737433</v>
      </c>
    </row>
    <row r="22" spans="1:5">
      <c r="A22" s="473" t="s">
        <v>517</v>
      </c>
      <c r="B22" s="504"/>
      <c r="C22" s="506">
        <f>SUM(C17:C21)</f>
        <v>1193551443</v>
      </c>
      <c r="D22" s="506">
        <f>SUM(D17:D21)</f>
        <v>855893839</v>
      </c>
      <c r="E22" s="531">
        <f t="shared" si="1"/>
        <v>2049445282</v>
      </c>
    </row>
    <row r="23" spans="1:5">
      <c r="B23" s="504" t="s">
        <v>8</v>
      </c>
      <c r="C23" s="475"/>
      <c r="D23" s="475"/>
      <c r="E23" s="532"/>
    </row>
    <row r="24" spans="1:5">
      <c r="A24" s="468" t="s">
        <v>39</v>
      </c>
      <c r="B24" s="504"/>
      <c r="C24" s="475"/>
      <c r="D24" s="475"/>
      <c r="E24" s="532"/>
    </row>
    <row r="25" spans="1:5">
      <c r="A25" s="473" t="str">
        <f>A17</f>
        <v xml:space="preserve">  Production</v>
      </c>
      <c r="B25" s="504" t="s">
        <v>514</v>
      </c>
      <c r="C25" s="506">
        <f t="shared" ref="C25:D29" si="2">C9-C17</f>
        <v>0</v>
      </c>
      <c r="D25" s="506">
        <f t="shared" si="2"/>
        <v>466561744</v>
      </c>
      <c r="E25" s="531">
        <f t="shared" ref="E25:E30" si="3">D25+C25</f>
        <v>466561744</v>
      </c>
    </row>
    <row r="26" spans="1:5">
      <c r="A26" s="473" t="str">
        <f>A18</f>
        <v xml:space="preserve">  Transmission</v>
      </c>
      <c r="B26" s="504" t="s">
        <v>514</v>
      </c>
      <c r="C26" s="475">
        <f t="shared" si="2"/>
        <v>571154972</v>
      </c>
      <c r="D26" s="475">
        <f t="shared" si="2"/>
        <v>38751137</v>
      </c>
      <c r="E26" s="532">
        <f t="shared" si="3"/>
        <v>609906109</v>
      </c>
    </row>
    <row r="27" spans="1:5">
      <c r="A27" s="473" t="str">
        <f>A19</f>
        <v xml:space="preserve">  Distribution</v>
      </c>
      <c r="B27" s="504" t="s">
        <v>514</v>
      </c>
      <c r="C27" s="475">
        <f t="shared" si="2"/>
        <v>1797044281</v>
      </c>
      <c r="D27" s="475">
        <f t="shared" si="2"/>
        <v>296129224</v>
      </c>
      <c r="E27" s="532">
        <f t="shared" si="3"/>
        <v>2093173505</v>
      </c>
    </row>
    <row r="28" spans="1:5">
      <c r="A28" s="473" t="str">
        <f>A20</f>
        <v xml:space="preserve">  General &amp; Intangible</v>
      </c>
      <c r="B28" s="504" t="s">
        <v>514</v>
      </c>
      <c r="C28" s="475">
        <f t="shared" si="2"/>
        <v>167449882</v>
      </c>
      <c r="D28" s="475">
        <f t="shared" si="2"/>
        <v>14083430</v>
      </c>
      <c r="E28" s="532">
        <f t="shared" si="3"/>
        <v>181533312</v>
      </c>
    </row>
    <row r="29" spans="1:5" ht="13.5" thickBot="1">
      <c r="A29" s="491" t="str">
        <f>A21</f>
        <v xml:space="preserve">  Common</v>
      </c>
      <c r="B29" s="507" t="s">
        <v>514</v>
      </c>
      <c r="C29" s="508">
        <f t="shared" si="2"/>
        <v>144240781</v>
      </c>
      <c r="D29" s="508">
        <f t="shared" si="2"/>
        <v>3886160</v>
      </c>
      <c r="E29" s="893">
        <f t="shared" si="3"/>
        <v>148126941</v>
      </c>
    </row>
    <row r="30" spans="1:5">
      <c r="A30" s="473" t="s">
        <v>518</v>
      </c>
      <c r="B30" s="504"/>
      <c r="C30" s="506">
        <f>SUM(C25:C29)</f>
        <v>2679889916</v>
      </c>
      <c r="D30" s="506">
        <f>SUM(D25:D29)</f>
        <v>819411695</v>
      </c>
      <c r="E30" s="531">
        <f t="shared" si="3"/>
        <v>3499301611</v>
      </c>
    </row>
    <row r="31" spans="1:5">
      <c r="B31" s="504"/>
      <c r="C31" s="475"/>
      <c r="D31" s="475"/>
      <c r="E31" s="532"/>
    </row>
    <row r="32" spans="1:5">
      <c r="A32" s="490" t="s">
        <v>522</v>
      </c>
      <c r="B32" s="504"/>
      <c r="C32" s="475"/>
      <c r="D32" s="475"/>
      <c r="E32" s="532"/>
    </row>
    <row r="33" spans="1:5">
      <c r="A33" s="473" t="s">
        <v>126</v>
      </c>
      <c r="B33" s="504" t="s">
        <v>45</v>
      </c>
      <c r="C33" s="1016">
        <v>0</v>
      </c>
      <c r="D33" s="1016">
        <v>-499676</v>
      </c>
      <c r="E33" s="531">
        <f t="shared" ref="E33:E38" si="4">D33+C33</f>
        <v>-499676</v>
      </c>
    </row>
    <row r="34" spans="1:5">
      <c r="A34" s="473" t="s">
        <v>127</v>
      </c>
      <c r="B34" s="932" t="s">
        <v>578</v>
      </c>
      <c r="C34" s="532">
        <f>-'P1 ADIT 190 &amp; 282'!D42</f>
        <v>-736239876</v>
      </c>
      <c r="D34" s="532">
        <f>-'P1 ADIT 190 &amp; 282'!E42</f>
        <v>-222689296</v>
      </c>
      <c r="E34" s="532">
        <f t="shared" si="4"/>
        <v>-958929172</v>
      </c>
    </row>
    <row r="35" spans="1:5">
      <c r="A35" s="473" t="s">
        <v>128</v>
      </c>
      <c r="B35" s="932" t="s">
        <v>578</v>
      </c>
      <c r="C35" s="532">
        <f>-'P1 ADIT 190 &amp; 282'!D58</f>
        <v>-38535859</v>
      </c>
      <c r="D35" s="532">
        <f>-'P1 ADIT 190 &amp; 282'!E58</f>
        <v>-32785869</v>
      </c>
      <c r="E35" s="532">
        <f t="shared" si="4"/>
        <v>-71321728</v>
      </c>
    </row>
    <row r="36" spans="1:5">
      <c r="A36" s="473" t="s">
        <v>130</v>
      </c>
      <c r="B36" s="932" t="s">
        <v>579</v>
      </c>
      <c r="C36" s="556">
        <f>'P1 ADIT 190 &amp; 282'!D26</f>
        <v>35926835</v>
      </c>
      <c r="D36" s="556">
        <f>'P1 ADIT 190 &amp; 282'!E26</f>
        <v>25674692</v>
      </c>
      <c r="E36" s="556">
        <f t="shared" si="4"/>
        <v>61601527</v>
      </c>
    </row>
    <row r="37" spans="1:5" ht="13.5" thickBot="1">
      <c r="A37" s="510" t="s">
        <v>129</v>
      </c>
      <c r="B37" s="510" t="s">
        <v>175</v>
      </c>
      <c r="C37" s="1017">
        <v>0</v>
      </c>
      <c r="D37" s="1017">
        <v>0</v>
      </c>
      <c r="E37" s="893">
        <f t="shared" si="4"/>
        <v>0</v>
      </c>
    </row>
    <row r="38" spans="1:5">
      <c r="A38" s="473" t="s">
        <v>519</v>
      </c>
      <c r="B38" s="504"/>
      <c r="C38" s="506">
        <f>SUM(C33:C37)</f>
        <v>-738848900</v>
      </c>
      <c r="D38" s="506">
        <f>SUM(D33:D37)</f>
        <v>-230300149</v>
      </c>
      <c r="E38" s="531">
        <f t="shared" si="4"/>
        <v>-969149049</v>
      </c>
    </row>
    <row r="39" spans="1:5">
      <c r="B39" s="504"/>
      <c r="C39" s="475"/>
      <c r="D39" s="475"/>
      <c r="E39" s="532"/>
    </row>
    <row r="40" spans="1:5">
      <c r="A40" s="490" t="s">
        <v>376</v>
      </c>
      <c r="B40" s="504" t="s">
        <v>840</v>
      </c>
      <c r="C40" s="531">
        <f>'P3 Land Held for Future Use'!B18</f>
        <v>285810</v>
      </c>
      <c r="D40" s="531">
        <f>'P3 Land Held for Future Use'!B24</f>
        <v>0</v>
      </c>
      <c r="E40" s="531">
        <f>D40+C40</f>
        <v>285810</v>
      </c>
    </row>
    <row r="41" spans="1:5">
      <c r="A41" s="473"/>
      <c r="B41" s="504"/>
      <c r="C41" s="475"/>
      <c r="D41" s="475"/>
      <c r="E41" s="532"/>
    </row>
    <row r="42" spans="1:5">
      <c r="A42" s="490" t="s">
        <v>521</v>
      </c>
      <c r="B42" s="504" t="s">
        <v>8</v>
      </c>
      <c r="C42" s="475"/>
      <c r="D42" s="475"/>
      <c r="E42" s="532"/>
    </row>
    <row r="43" spans="1:5">
      <c r="A43" s="473" t="s">
        <v>153</v>
      </c>
      <c r="B43" s="498" t="s">
        <v>151</v>
      </c>
      <c r="C43" s="531">
        <f>ROUND((DEO!E135/8),0)</f>
        <v>8701280</v>
      </c>
      <c r="D43" s="531">
        <f>ROUND((DEK!E135/8),0)</f>
        <v>2641309</v>
      </c>
      <c r="E43" s="531">
        <f>D43+C43</f>
        <v>11342589</v>
      </c>
    </row>
    <row r="44" spans="1:5">
      <c r="A44" s="511" t="s">
        <v>377</v>
      </c>
      <c r="B44" s="932" t="s">
        <v>839</v>
      </c>
      <c r="C44" s="532">
        <f>'P2 Allocate M&amp;S'!H15</f>
        <v>20806236</v>
      </c>
      <c r="D44" s="532">
        <f>'P2 Allocate M&amp;S'!H23</f>
        <v>4124</v>
      </c>
      <c r="E44" s="532">
        <f>D44+C44</f>
        <v>20810360</v>
      </c>
    </row>
    <row r="45" spans="1:5" ht="13.5" thickBot="1">
      <c r="A45" s="491" t="s">
        <v>131</v>
      </c>
      <c r="B45" s="507" t="s">
        <v>179</v>
      </c>
      <c r="C45" s="704">
        <v>344934</v>
      </c>
      <c r="D45" s="704">
        <v>491801</v>
      </c>
      <c r="E45" s="893">
        <f>D45+C45</f>
        <v>836735</v>
      </c>
    </row>
    <row r="46" spans="1:5">
      <c r="A46" s="473" t="s">
        <v>520</v>
      </c>
      <c r="B46" s="467"/>
      <c r="C46" s="506">
        <f>C43+C44+C45</f>
        <v>29852450</v>
      </c>
      <c r="D46" s="506">
        <f>D43+D44+D45</f>
        <v>3137234</v>
      </c>
      <c r="E46" s="531">
        <f>D46+C46</f>
        <v>32989684</v>
      </c>
    </row>
    <row r="47" spans="1:5" ht="13.5" thickBot="1">
      <c r="B47" s="504"/>
      <c r="C47" s="508"/>
      <c r="D47" s="508"/>
      <c r="E47" s="893"/>
    </row>
    <row r="48" spans="1:5" ht="13.5" thickBot="1">
      <c r="A48" s="468" t="s">
        <v>293</v>
      </c>
      <c r="B48" s="504"/>
      <c r="C48" s="1018">
        <f>C46+C40+C38+C30</f>
        <v>1971179276</v>
      </c>
      <c r="D48" s="1018">
        <f>D46+D40+D38+D30</f>
        <v>592248780</v>
      </c>
      <c r="E48" s="894">
        <f>D48+C48</f>
        <v>2563428056</v>
      </c>
    </row>
    <row r="49" spans="1:6" ht="14.25" thickTop="1" thickBot="1">
      <c r="A49" s="473"/>
      <c r="B49" s="504"/>
      <c r="C49" s="669"/>
      <c r="D49" s="669"/>
      <c r="E49" s="895"/>
    </row>
    <row r="50" spans="1:6">
      <c r="A50" s="536" t="s">
        <v>49</v>
      </c>
      <c r="B50" s="537"/>
      <c r="C50" s="1019"/>
      <c r="D50" s="1019"/>
      <c r="E50" s="896"/>
    </row>
    <row r="51" spans="1:6">
      <c r="A51" s="473" t="s">
        <v>50</v>
      </c>
      <c r="B51" s="932" t="s">
        <v>194</v>
      </c>
      <c r="C51" s="1016">
        <v>48077226</v>
      </c>
      <c r="D51" s="1016">
        <v>17246032</v>
      </c>
      <c r="E51" s="531">
        <f t="shared" ref="E51:E65" si="5">D51+C51</f>
        <v>65323258</v>
      </c>
    </row>
    <row r="52" spans="1:6" s="535" customFormat="1" ht="25.5">
      <c r="A52" s="543" t="s">
        <v>383</v>
      </c>
      <c r="B52" s="543" t="s">
        <v>580</v>
      </c>
      <c r="C52" s="705">
        <f>9100312+22302749</f>
        <v>31403061</v>
      </c>
      <c r="D52" s="705">
        <f>1877059+666832</f>
        <v>2543891</v>
      </c>
      <c r="E52" s="559">
        <f t="shared" si="5"/>
        <v>33946952</v>
      </c>
    </row>
    <row r="53" spans="1:6" ht="25.5">
      <c r="A53" s="513" t="s">
        <v>504</v>
      </c>
      <c r="B53" s="933" t="s">
        <v>505</v>
      </c>
      <c r="C53" s="705">
        <v>0</v>
      </c>
      <c r="D53" s="705">
        <v>0</v>
      </c>
      <c r="E53" s="559">
        <f t="shared" si="5"/>
        <v>0</v>
      </c>
      <c r="F53" s="535"/>
    </row>
    <row r="54" spans="1:6">
      <c r="A54" s="513" t="s">
        <v>628</v>
      </c>
      <c r="B54" s="932" t="s">
        <v>841</v>
      </c>
      <c r="C54" s="694">
        <f>'P4 Advertising - EPRI Adj.'!C21</f>
        <v>274665</v>
      </c>
      <c r="D54" s="694">
        <f>'P4 Advertising - EPRI Adj.'!D21</f>
        <v>253537</v>
      </c>
      <c r="E54" s="559">
        <f t="shared" si="5"/>
        <v>528202</v>
      </c>
      <c r="F54" s="535"/>
    </row>
    <row r="55" spans="1:6">
      <c r="A55" s="514" t="s">
        <v>2</v>
      </c>
      <c r="B55" s="932" t="s">
        <v>195</v>
      </c>
      <c r="C55" s="519">
        <v>9146</v>
      </c>
      <c r="D55" s="519">
        <v>12797078</v>
      </c>
      <c r="E55" s="532">
        <f t="shared" si="5"/>
        <v>12806224</v>
      </c>
    </row>
    <row r="56" spans="1:6">
      <c r="A56" s="471" t="s">
        <v>51</v>
      </c>
      <c r="B56" s="932" t="s">
        <v>842</v>
      </c>
      <c r="C56" s="475">
        <f>'P5 Schedule 1 Charges acct 561'!C21</f>
        <v>52460881</v>
      </c>
      <c r="D56" s="475">
        <f>'P5 Schedule 1 Charges acct 561'!D21</f>
        <v>19417792</v>
      </c>
      <c r="E56" s="532">
        <f t="shared" si="5"/>
        <v>71878673</v>
      </c>
    </row>
    <row r="57" spans="1:6" ht="25.5">
      <c r="A57" s="513" t="s">
        <v>666</v>
      </c>
      <c r="B57" s="933" t="s">
        <v>257</v>
      </c>
      <c r="C57" s="705">
        <v>-398986.98</v>
      </c>
      <c r="D57" s="705">
        <v>-185234.51</v>
      </c>
      <c r="E57" s="559">
        <f t="shared" si="5"/>
        <v>-584221.49</v>
      </c>
      <c r="F57" s="535"/>
    </row>
    <row r="58" spans="1:6">
      <c r="A58" s="514" t="s">
        <v>506</v>
      </c>
      <c r="B58" s="934" t="s">
        <v>507</v>
      </c>
      <c r="C58" s="519">
        <v>0</v>
      </c>
      <c r="D58" s="519">
        <v>0</v>
      </c>
      <c r="E58" s="532">
        <f t="shared" si="5"/>
        <v>0</v>
      </c>
    </row>
    <row r="59" spans="1:6">
      <c r="A59" s="624" t="s">
        <v>588</v>
      </c>
      <c r="B59" s="934" t="s">
        <v>589</v>
      </c>
      <c r="C59" s="519">
        <v>0</v>
      </c>
      <c r="D59" s="519">
        <v>0</v>
      </c>
      <c r="E59" s="532">
        <f>D59+C59</f>
        <v>0</v>
      </c>
    </row>
    <row r="60" spans="1:6">
      <c r="A60" s="515" t="s">
        <v>371</v>
      </c>
      <c r="B60" s="934" t="s">
        <v>581</v>
      </c>
      <c r="C60" s="519">
        <v>0</v>
      </c>
      <c r="D60" s="519">
        <v>0</v>
      </c>
      <c r="E60" s="532">
        <f t="shared" si="5"/>
        <v>0</v>
      </c>
    </row>
    <row r="61" spans="1:6" ht="25.5">
      <c r="A61" s="513" t="s">
        <v>384</v>
      </c>
      <c r="B61" s="933" t="s">
        <v>582</v>
      </c>
      <c r="C61" s="559">
        <f>'P4 Advertising - EPRI Adj.'!C32</f>
        <v>1845879</v>
      </c>
      <c r="D61" s="559">
        <f>'P4 Advertising - EPRI Adj.'!D32</f>
        <v>725261</v>
      </c>
      <c r="E61" s="559">
        <f t="shared" si="5"/>
        <v>2571140</v>
      </c>
      <c r="F61" s="535"/>
    </row>
    <row r="62" spans="1:6" ht="25.5">
      <c r="A62" s="513" t="s">
        <v>385</v>
      </c>
      <c r="B62" s="934"/>
      <c r="C62" s="519">
        <v>0</v>
      </c>
      <c r="D62" s="519">
        <v>0</v>
      </c>
      <c r="E62" s="532">
        <f t="shared" si="5"/>
        <v>0</v>
      </c>
    </row>
    <row r="63" spans="1:6">
      <c r="A63" s="471" t="s">
        <v>35</v>
      </c>
      <c r="B63" s="934" t="str">
        <f>B21</f>
        <v>356</v>
      </c>
      <c r="C63" s="519">
        <v>0</v>
      </c>
      <c r="D63" s="519">
        <v>0</v>
      </c>
      <c r="E63" s="532">
        <f t="shared" si="5"/>
        <v>0</v>
      </c>
    </row>
    <row r="64" spans="1:6">
      <c r="A64" s="471" t="s">
        <v>52</v>
      </c>
      <c r="B64" s="934"/>
      <c r="C64" s="706">
        <v>0</v>
      </c>
      <c r="D64" s="706">
        <v>0</v>
      </c>
      <c r="E64" s="556">
        <f t="shared" si="5"/>
        <v>0</v>
      </c>
      <c r="F64" s="505"/>
    </row>
    <row r="65" spans="1:6" ht="25.5">
      <c r="A65" s="513" t="s">
        <v>653</v>
      </c>
      <c r="B65" s="934"/>
      <c r="C65" s="506">
        <f>C51-C52-C53-C54-C55+C56-C58-C59-C60-C61+C62+C63+C64</f>
        <v>67005356</v>
      </c>
      <c r="D65" s="506">
        <f>D51-D52-D53-D54-D55+D56-D58-D59-D60-D61+D62+D63+D64</f>
        <v>20344057</v>
      </c>
      <c r="E65" s="531">
        <f t="shared" si="5"/>
        <v>87349413</v>
      </c>
    </row>
    <row r="66" spans="1:6">
      <c r="A66" s="516"/>
      <c r="B66" s="934"/>
      <c r="C66" s="475"/>
      <c r="D66" s="475"/>
      <c r="E66" s="532"/>
    </row>
    <row r="67" spans="1:6">
      <c r="A67" s="468" t="s">
        <v>53</v>
      </c>
      <c r="B67" s="932"/>
      <c r="C67" s="475"/>
      <c r="D67" s="475"/>
      <c r="E67" s="532"/>
    </row>
    <row r="68" spans="1:6">
      <c r="A68" s="473" t="str">
        <f>A51</f>
        <v xml:space="preserve">  Transmission </v>
      </c>
      <c r="B68" s="932" t="s">
        <v>545</v>
      </c>
      <c r="C68" s="1016">
        <v>14359856</v>
      </c>
      <c r="D68" s="1016">
        <v>1098117</v>
      </c>
      <c r="E68" s="531">
        <f>D68+C68</f>
        <v>15457973</v>
      </c>
    </row>
    <row r="69" spans="1:6" ht="15">
      <c r="A69" s="473" t="s">
        <v>34</v>
      </c>
      <c r="B69" s="935" t="s">
        <v>534</v>
      </c>
      <c r="C69" s="519">
        <f>5831542+12105280</f>
        <v>17936822</v>
      </c>
      <c r="D69" s="519">
        <f>1501164+710817</f>
        <v>2211981</v>
      </c>
      <c r="E69" s="532">
        <f>D69+C69</f>
        <v>20148803</v>
      </c>
    </row>
    <row r="70" spans="1:6" ht="13.5" thickBot="1">
      <c r="A70" s="491" t="str">
        <f>A63</f>
        <v xml:space="preserve">  Common</v>
      </c>
      <c r="B70" s="936" t="s">
        <v>544</v>
      </c>
      <c r="C70" s="704">
        <v>8928735</v>
      </c>
      <c r="D70" s="704">
        <v>1164341</v>
      </c>
      <c r="E70" s="893">
        <f>D70+C70</f>
        <v>10093076</v>
      </c>
    </row>
    <row r="71" spans="1:6">
      <c r="A71" s="473" t="s">
        <v>54</v>
      </c>
      <c r="B71" s="932"/>
      <c r="C71" s="506">
        <f>SUM(C68:C70)</f>
        <v>41225413</v>
      </c>
      <c r="D71" s="506">
        <f>SUM(D68:D70)</f>
        <v>4474439</v>
      </c>
      <c r="E71" s="531">
        <f>D71+C71</f>
        <v>45699852</v>
      </c>
    </row>
    <row r="72" spans="1:6">
      <c r="A72" s="473"/>
      <c r="B72" s="932"/>
      <c r="C72" s="475"/>
      <c r="D72" s="475"/>
      <c r="E72" s="532"/>
    </row>
    <row r="73" spans="1:6">
      <c r="A73" s="490" t="s">
        <v>208</v>
      </c>
      <c r="B73" s="937"/>
      <c r="C73" s="475"/>
      <c r="D73" s="475"/>
      <c r="E73" s="532"/>
    </row>
    <row r="74" spans="1:6">
      <c r="A74" s="473" t="s">
        <v>55</v>
      </c>
      <c r="B74" s="937"/>
      <c r="C74" s="475"/>
      <c r="D74" s="475"/>
      <c r="E74" s="532"/>
    </row>
    <row r="75" spans="1:6">
      <c r="A75" s="518" t="s">
        <v>372</v>
      </c>
      <c r="B75" s="932" t="s">
        <v>583</v>
      </c>
      <c r="C75" s="1016">
        <f>4231914+18659+34143</f>
        <v>4284716</v>
      </c>
      <c r="D75" s="1016">
        <f>1877672+7507+12941</f>
        <v>1898120</v>
      </c>
      <c r="E75" s="531">
        <f t="shared" ref="E75:E82" si="6">D75+C75</f>
        <v>6182836</v>
      </c>
    </row>
    <row r="76" spans="1:6">
      <c r="A76" s="518" t="s">
        <v>373</v>
      </c>
      <c r="B76" s="932" t="s">
        <v>583</v>
      </c>
      <c r="C76" s="519">
        <v>1820</v>
      </c>
      <c r="D76" s="519">
        <v>592</v>
      </c>
      <c r="E76" s="532">
        <f t="shared" si="6"/>
        <v>2412</v>
      </c>
    </row>
    <row r="77" spans="1:6">
      <c r="A77" s="473" t="s">
        <v>56</v>
      </c>
      <c r="B77" s="932" t="s">
        <v>8</v>
      </c>
      <c r="C77" s="519"/>
      <c r="D77" s="519"/>
      <c r="E77" s="532">
        <f t="shared" si="6"/>
        <v>0</v>
      </c>
      <c r="F77" s="516"/>
    </row>
    <row r="78" spans="1:6">
      <c r="A78" s="473" t="s">
        <v>57</v>
      </c>
      <c r="B78" s="932" t="s">
        <v>583</v>
      </c>
      <c r="C78" s="519">
        <v>135623868</v>
      </c>
      <c r="D78" s="519">
        <f>1495231+7431462</f>
        <v>8926693</v>
      </c>
      <c r="E78" s="532">
        <f t="shared" si="6"/>
        <v>144550561</v>
      </c>
    </row>
    <row r="79" spans="1:6">
      <c r="A79" s="473" t="s">
        <v>58</v>
      </c>
      <c r="B79" s="932" t="s">
        <v>583</v>
      </c>
      <c r="C79" s="519">
        <v>2405210</v>
      </c>
      <c r="D79" s="519">
        <v>0</v>
      </c>
      <c r="E79" s="532">
        <f t="shared" si="6"/>
        <v>2405210</v>
      </c>
    </row>
    <row r="80" spans="1:6">
      <c r="A80" s="473" t="s">
        <v>59</v>
      </c>
      <c r="B80" s="932" t="s">
        <v>176</v>
      </c>
      <c r="C80" s="519">
        <v>0</v>
      </c>
      <c r="D80" s="519">
        <v>0</v>
      </c>
      <c r="E80" s="532">
        <f t="shared" si="6"/>
        <v>0</v>
      </c>
    </row>
    <row r="81" spans="1:6" ht="13.5" thickBot="1">
      <c r="A81" s="491" t="s">
        <v>60</v>
      </c>
      <c r="B81" s="936"/>
      <c r="C81" s="704">
        <v>0</v>
      </c>
      <c r="D81" s="704">
        <v>0</v>
      </c>
      <c r="E81" s="893">
        <f t="shared" si="6"/>
        <v>0</v>
      </c>
    </row>
    <row r="82" spans="1:6">
      <c r="A82" s="473" t="s">
        <v>61</v>
      </c>
      <c r="B82" s="932"/>
      <c r="C82" s="506">
        <f>C75+C76+C78+C79+C80+C81</f>
        <v>142315614</v>
      </c>
      <c r="D82" s="506">
        <f>D75+D76+D78+D79+D80+D81</f>
        <v>10825405</v>
      </c>
      <c r="E82" s="531">
        <f t="shared" si="6"/>
        <v>153141019</v>
      </c>
    </row>
    <row r="83" spans="1:6">
      <c r="A83" s="473"/>
      <c r="B83" s="932"/>
      <c r="C83" s="475"/>
      <c r="D83" s="475"/>
      <c r="E83" s="532"/>
    </row>
    <row r="84" spans="1:6">
      <c r="A84" s="473"/>
      <c r="B84" s="932"/>
      <c r="C84" s="669"/>
      <c r="D84" s="669"/>
      <c r="E84" s="1061"/>
      <c r="F84" s="520"/>
    </row>
    <row r="85" spans="1:6">
      <c r="A85" s="490" t="s">
        <v>509</v>
      </c>
      <c r="B85" s="932"/>
      <c r="C85" s="669"/>
      <c r="D85" s="669"/>
      <c r="E85" s="1062"/>
      <c r="F85" s="520"/>
    </row>
    <row r="86" spans="1:6">
      <c r="A86" s="498" t="s">
        <v>510</v>
      </c>
      <c r="B86" s="932"/>
      <c r="C86" s="521">
        <v>0.21</v>
      </c>
      <c r="D86" s="521">
        <v>0.21</v>
      </c>
      <c r="E86" s="897"/>
      <c r="F86" s="520"/>
    </row>
    <row r="87" spans="1:6">
      <c r="A87" s="498" t="s">
        <v>511</v>
      </c>
      <c r="B87" s="932"/>
      <c r="C87" s="672">
        <f>'P6 Statetax'!B13</f>
        <v>0</v>
      </c>
      <c r="D87" s="672">
        <f>'P6 Statetax'!C13</f>
        <v>0.05</v>
      </c>
      <c r="E87" s="897"/>
      <c r="F87" s="520"/>
    </row>
    <row r="88" spans="1:6" ht="25.5">
      <c r="A88" s="513" t="s">
        <v>513</v>
      </c>
      <c r="B88" s="932"/>
      <c r="C88" s="709">
        <v>0</v>
      </c>
      <c r="D88" s="709">
        <v>0</v>
      </c>
      <c r="E88" s="1063"/>
      <c r="F88" s="520"/>
    </row>
    <row r="89" spans="1:6">
      <c r="A89" s="498" t="s">
        <v>512</v>
      </c>
      <c r="B89" s="932"/>
      <c r="C89" s="672">
        <f>IF(FIT&gt;0,1-(((1-SIT_DEO)*(1-FIT))/(1-SIT_DEO*FIT*C88)),0)</f>
        <v>0.20999999999999996</v>
      </c>
      <c r="D89" s="672">
        <f>IF(FIT&gt;0,1-(((1-SIT_DEK)*(1-FIT))/(1-SIT_DEK*FIT*D88)),0)</f>
        <v>0.24950000000000006</v>
      </c>
      <c r="E89" s="897"/>
      <c r="F89" s="520"/>
    </row>
    <row r="90" spans="1:6">
      <c r="B90" s="932"/>
      <c r="C90" s="521"/>
      <c r="D90" s="521"/>
      <c r="E90" s="897"/>
      <c r="F90" s="522"/>
    </row>
    <row r="91" spans="1:6">
      <c r="A91" s="473" t="s">
        <v>354</v>
      </c>
      <c r="B91" s="543" t="s">
        <v>353</v>
      </c>
      <c r="C91" s="519">
        <v>-231244</v>
      </c>
      <c r="D91" s="519">
        <v>-11090</v>
      </c>
      <c r="E91" s="532">
        <f>D91+C91</f>
        <v>-242334</v>
      </c>
    </row>
    <row r="92" spans="1:6">
      <c r="A92" s="473"/>
      <c r="B92" s="932"/>
      <c r="C92" s="475"/>
      <c r="D92" s="475"/>
      <c r="E92" s="532"/>
    </row>
    <row r="93" spans="1:6">
      <c r="A93" s="472" t="s">
        <v>328</v>
      </c>
      <c r="B93" s="938"/>
      <c r="C93" s="469"/>
      <c r="D93" s="469"/>
      <c r="E93" s="898"/>
    </row>
    <row r="94" spans="1:6">
      <c r="A94" s="471"/>
      <c r="B94" s="938"/>
      <c r="C94" s="469"/>
      <c r="D94" s="469"/>
      <c r="E94" s="898"/>
    </row>
    <row r="95" spans="1:6" ht="25.5">
      <c r="A95" s="513" t="s">
        <v>387</v>
      </c>
      <c r="B95" s="939"/>
      <c r="C95" s="519">
        <v>0</v>
      </c>
      <c r="D95" s="519">
        <v>0</v>
      </c>
      <c r="E95" s="532">
        <f>D95+C95</f>
        <v>0</v>
      </c>
    </row>
    <row r="96" spans="1:6" s="535" customFormat="1" ht="25.5">
      <c r="A96" s="543" t="s">
        <v>379</v>
      </c>
      <c r="B96" s="933" t="s">
        <v>843</v>
      </c>
      <c r="C96" s="677">
        <f>'P7 Trans Plant In OATT'!B17</f>
        <v>0</v>
      </c>
      <c r="D96" s="677">
        <f>'P7 Trans Plant In OATT'!C17</f>
        <v>16503652</v>
      </c>
      <c r="E96" s="899">
        <f>D96+C96</f>
        <v>16503652</v>
      </c>
    </row>
    <row r="97" spans="1:5" ht="13.5" thickBot="1">
      <c r="A97" s="470"/>
      <c r="B97" s="940"/>
      <c r="C97" s="509"/>
      <c r="D97" s="509"/>
      <c r="E97" s="556"/>
    </row>
    <row r="98" spans="1:5">
      <c r="A98" s="538" t="s">
        <v>64</v>
      </c>
      <c r="B98" s="941"/>
      <c r="C98" s="539"/>
      <c r="D98" s="539"/>
      <c r="E98" s="900"/>
    </row>
    <row r="99" spans="1:5">
      <c r="A99" s="516"/>
      <c r="B99" s="942"/>
      <c r="C99" s="516"/>
      <c r="D99" s="516"/>
      <c r="E99" s="534"/>
    </row>
    <row r="100" spans="1:5" ht="25.5">
      <c r="A100" s="513" t="s">
        <v>380</v>
      </c>
      <c r="B100" s="939" t="s">
        <v>597</v>
      </c>
      <c r="C100" s="519">
        <f>670388+2910496+407031</f>
        <v>3987915</v>
      </c>
      <c r="D100" s="519">
        <f>94788+435117+59082</f>
        <v>588987</v>
      </c>
      <c r="E100" s="556">
        <f>D100+C100</f>
        <v>4576902</v>
      </c>
    </row>
    <row r="101" spans="1:5">
      <c r="A101" s="469"/>
      <c r="B101" s="938"/>
      <c r="C101" s="669"/>
      <c r="D101" s="669"/>
      <c r="E101" s="895"/>
    </row>
    <row r="102" spans="1:5">
      <c r="B102" s="476"/>
      <c r="C102" s="669"/>
      <c r="D102" s="669"/>
      <c r="E102" s="895"/>
    </row>
    <row r="103" spans="1:5">
      <c r="A103" s="468" t="s">
        <v>68</v>
      </c>
      <c r="B103" s="932"/>
      <c r="C103" s="669"/>
      <c r="D103" s="669"/>
      <c r="E103" s="895"/>
    </row>
    <row r="104" spans="1:5" ht="13.5" thickBot="1">
      <c r="A104" s="473"/>
      <c r="B104" s="943"/>
      <c r="C104" s="1020" t="s">
        <v>70</v>
      </c>
      <c r="D104" s="1020" t="s">
        <v>70</v>
      </c>
      <c r="E104" s="901"/>
    </row>
    <row r="105" spans="1:5">
      <c r="A105" s="473" t="s">
        <v>30</v>
      </c>
      <c r="B105" s="932" t="s">
        <v>72</v>
      </c>
      <c r="C105" s="475">
        <f>'P11 Salaries and Wages'!C17</f>
        <v>2513393</v>
      </c>
      <c r="D105" s="475">
        <f>'P11 Salaries and Wages'!D17</f>
        <v>12343501</v>
      </c>
      <c r="E105" s="532">
        <f>D105+C105</f>
        <v>14856894</v>
      </c>
    </row>
    <row r="106" spans="1:5">
      <c r="A106" s="473" t="s">
        <v>32</v>
      </c>
      <c r="B106" s="932" t="s">
        <v>197</v>
      </c>
      <c r="C106" s="475">
        <f>'P11 Salaries and Wages'!C25</f>
        <v>7181338</v>
      </c>
      <c r="D106" s="475">
        <f>'P11 Salaries and Wages'!D25</f>
        <v>976914</v>
      </c>
      <c r="E106" s="532">
        <f>D106+C106</f>
        <v>8158252</v>
      </c>
    </row>
    <row r="107" spans="1:5">
      <c r="A107" s="473" t="s">
        <v>33</v>
      </c>
      <c r="B107" s="932" t="s">
        <v>198</v>
      </c>
      <c r="C107" s="475">
        <f>'P11 Salaries and Wages'!C33</f>
        <v>26872703</v>
      </c>
      <c r="D107" s="475">
        <f>'P11 Salaries and Wages'!D33</f>
        <v>4924247</v>
      </c>
      <c r="E107" s="532">
        <f>D107+C107</f>
        <v>31796950</v>
      </c>
    </row>
    <row r="108" spans="1:5" ht="13.5" thickBot="1">
      <c r="A108" s="491" t="s">
        <v>73</v>
      </c>
      <c r="B108" s="936" t="s">
        <v>199</v>
      </c>
      <c r="C108" s="508">
        <f>'P11 Salaries and Wages'!C41</f>
        <v>10957862</v>
      </c>
      <c r="D108" s="508">
        <f>'P11 Salaries and Wages'!D41</f>
        <v>2943445</v>
      </c>
      <c r="E108" s="893">
        <f>D108+C108</f>
        <v>13901307</v>
      </c>
    </row>
    <row r="109" spans="1:5">
      <c r="A109" s="473" t="s">
        <v>155</v>
      </c>
      <c r="B109" s="932"/>
      <c r="C109" s="475">
        <f>SUM(C105:C108)</f>
        <v>47525296</v>
      </c>
      <c r="D109" s="475">
        <f>SUM(D105:D108)</f>
        <v>21188107</v>
      </c>
      <c r="E109" s="532">
        <f>D109+C109</f>
        <v>68713403</v>
      </c>
    </row>
    <row r="110" spans="1:5">
      <c r="A110" s="473"/>
      <c r="B110" s="932"/>
      <c r="C110" s="669"/>
      <c r="D110" s="669"/>
      <c r="E110" s="895"/>
    </row>
    <row r="111" spans="1:5">
      <c r="A111" s="490" t="s">
        <v>515</v>
      </c>
      <c r="B111" s="932"/>
      <c r="C111" s="669"/>
      <c r="D111" s="669"/>
      <c r="E111" s="895"/>
    </row>
    <row r="112" spans="1:5">
      <c r="A112" s="473"/>
      <c r="B112" s="932"/>
      <c r="C112" s="1021" t="s">
        <v>70</v>
      </c>
      <c r="D112" s="1021" t="s">
        <v>70</v>
      </c>
      <c r="E112" s="902"/>
    </row>
    <row r="113" spans="1:5">
      <c r="A113" s="473" t="s">
        <v>77</v>
      </c>
      <c r="B113" s="932" t="s">
        <v>78</v>
      </c>
      <c r="C113" s="519">
        <v>3146864058</v>
      </c>
      <c r="D113" s="519">
        <v>1480052147</v>
      </c>
      <c r="E113" s="532">
        <f>D113+C113</f>
        <v>4626916205</v>
      </c>
    </row>
    <row r="114" spans="1:5">
      <c r="A114" s="473" t="s">
        <v>81</v>
      </c>
      <c r="B114" s="932" t="s">
        <v>177</v>
      </c>
      <c r="C114" s="519">
        <v>1541712982</v>
      </c>
      <c r="D114" s="519">
        <v>353950050</v>
      </c>
      <c r="E114" s="532">
        <f>D114+C114</f>
        <v>1895663032</v>
      </c>
    </row>
    <row r="115" spans="1:5" ht="13.5" thickBot="1">
      <c r="A115" s="491" t="s">
        <v>83</v>
      </c>
      <c r="B115" s="936" t="s">
        <v>178</v>
      </c>
      <c r="C115" s="704">
        <v>0</v>
      </c>
      <c r="D115" s="704">
        <v>0</v>
      </c>
      <c r="E115" s="893">
        <f>D115+C115</f>
        <v>0</v>
      </c>
    </row>
    <row r="116" spans="1:5">
      <c r="A116" s="473" t="s">
        <v>134</v>
      </c>
      <c r="B116" s="932"/>
      <c r="C116" s="475">
        <f>C113+C114+C115</f>
        <v>4688577040</v>
      </c>
      <c r="D116" s="475">
        <f>D113+D114+D115</f>
        <v>1834002197</v>
      </c>
      <c r="E116" s="532">
        <f>D116+C116</f>
        <v>6522579237</v>
      </c>
    </row>
    <row r="117" spans="1:5">
      <c r="A117" s="473"/>
      <c r="B117" s="932"/>
      <c r="C117" s="516"/>
      <c r="D117" s="516"/>
      <c r="E117" s="534"/>
    </row>
    <row r="118" spans="1:5">
      <c r="A118" s="468" t="s">
        <v>84</v>
      </c>
      <c r="B118" s="932"/>
      <c r="C118" s="669"/>
      <c r="D118" s="669"/>
      <c r="E118" s="895"/>
    </row>
    <row r="119" spans="1:5">
      <c r="A119" s="504" t="s">
        <v>189</v>
      </c>
      <c r="B119" s="937"/>
      <c r="C119" s="519">
        <f>80523776+3086286+445504-473735+13946</f>
        <v>83595777</v>
      </c>
      <c r="D119" s="1022">
        <f>14618543+301742+266474+453674</f>
        <v>15640433</v>
      </c>
      <c r="E119" s="903">
        <f>D119+C119</f>
        <v>99236210</v>
      </c>
    </row>
    <row r="120" spans="1:5">
      <c r="A120" s="504"/>
      <c r="B120" s="937"/>
      <c r="C120" s="519"/>
      <c r="D120" s="519"/>
      <c r="E120" s="532"/>
    </row>
    <row r="121" spans="1:5">
      <c r="A121" s="504" t="s">
        <v>190</v>
      </c>
      <c r="B121" s="937"/>
      <c r="C121" s="1023">
        <v>0</v>
      </c>
      <c r="D121" s="1023">
        <v>0</v>
      </c>
      <c r="E121" s="904">
        <f>D121+C121</f>
        <v>0</v>
      </c>
    </row>
    <row r="122" spans="1:5">
      <c r="A122" s="473"/>
      <c r="B122" s="932"/>
      <c r="C122" s="519"/>
      <c r="D122" s="519"/>
      <c r="E122" s="532"/>
    </row>
    <row r="123" spans="1:5">
      <c r="A123" s="476" t="s">
        <v>508</v>
      </c>
      <c r="B123" s="932"/>
      <c r="C123" s="519"/>
      <c r="D123" s="519"/>
      <c r="E123" s="532"/>
    </row>
    <row r="124" spans="1:5">
      <c r="A124" s="504" t="s">
        <v>183</v>
      </c>
      <c r="B124" s="933" t="s">
        <v>810</v>
      </c>
      <c r="C124" s="475">
        <f>'P9 Capital Structure'!B19</f>
        <v>2427320014</v>
      </c>
      <c r="D124" s="519">
        <v>511414427</v>
      </c>
      <c r="E124" s="532">
        <f>D124+C124</f>
        <v>2938734441</v>
      </c>
    </row>
    <row r="125" spans="1:5">
      <c r="A125" s="504" t="s">
        <v>200</v>
      </c>
      <c r="B125" s="937"/>
      <c r="C125" s="519">
        <v>0</v>
      </c>
      <c r="D125" s="519">
        <v>0</v>
      </c>
      <c r="E125" s="532">
        <f>D125+C125</f>
        <v>0</v>
      </c>
    </row>
    <row r="126" spans="1:5" ht="13.5" thickBot="1">
      <c r="A126" s="507" t="s">
        <v>184</v>
      </c>
      <c r="B126" s="944"/>
      <c r="C126" s="704">
        <v>-613729189</v>
      </c>
      <c r="D126" s="704">
        <v>0</v>
      </c>
      <c r="E126" s="893">
        <f>D126+C126</f>
        <v>-613729189</v>
      </c>
    </row>
    <row r="127" spans="1:5">
      <c r="A127" s="504" t="s">
        <v>86</v>
      </c>
      <c r="B127" s="937"/>
      <c r="C127" s="475">
        <f>C124+C125+C126</f>
        <v>1813590825</v>
      </c>
      <c r="D127" s="475">
        <f>D124+D125+D126</f>
        <v>511414427</v>
      </c>
      <c r="E127" s="532">
        <f>D127+C127</f>
        <v>2325005252</v>
      </c>
    </row>
    <row r="128" spans="1:5">
      <c r="A128" s="473"/>
      <c r="B128" s="932"/>
      <c r="C128" s="669"/>
      <c r="D128" s="669"/>
      <c r="E128" s="895"/>
    </row>
    <row r="129" spans="1:5" ht="13.5" thickBot="1">
      <c r="A129" s="473"/>
      <c r="B129" s="945" t="s">
        <v>367</v>
      </c>
      <c r="C129" s="1024" t="s">
        <v>70</v>
      </c>
      <c r="D129" s="1024" t="s">
        <v>70</v>
      </c>
      <c r="E129" s="905"/>
    </row>
    <row r="130" spans="1:5">
      <c r="A130" s="471" t="s">
        <v>185</v>
      </c>
      <c r="B130" s="937"/>
      <c r="C130" s="519">
        <f>1100000000+550000000</f>
        <v>1650000000</v>
      </c>
      <c r="D130" s="519">
        <f>25000000+426720000</f>
        <v>451720000</v>
      </c>
      <c r="E130" s="532">
        <f>D130+C130</f>
        <v>2101720000</v>
      </c>
    </row>
    <row r="131" spans="1:5">
      <c r="A131" s="471" t="s">
        <v>186</v>
      </c>
      <c r="B131" s="937"/>
      <c r="C131" s="519">
        <v>0</v>
      </c>
      <c r="D131" s="475">
        <v>0</v>
      </c>
      <c r="E131" s="532">
        <f>D131+C131</f>
        <v>0</v>
      </c>
    </row>
    <row r="132" spans="1:5" ht="13.5" thickBot="1">
      <c r="A132" s="491" t="s">
        <v>91</v>
      </c>
      <c r="B132" s="944"/>
      <c r="C132" s="512">
        <f>C127</f>
        <v>1813590825</v>
      </c>
      <c r="D132" s="512">
        <f>D127</f>
        <v>511414427</v>
      </c>
      <c r="E132" s="893">
        <f>D132+C132</f>
        <v>2325005252</v>
      </c>
    </row>
    <row r="133" spans="1:5">
      <c r="A133" s="473" t="s">
        <v>154</v>
      </c>
      <c r="B133" s="937"/>
      <c r="C133" s="517">
        <f>C132+C131+C130</f>
        <v>3463590825</v>
      </c>
      <c r="D133" s="517">
        <f>D132+D131+D130</f>
        <v>963134427</v>
      </c>
      <c r="E133" s="532">
        <f>D133+C133</f>
        <v>4426725252</v>
      </c>
    </row>
    <row r="134" spans="1:5">
      <c r="B134" s="937"/>
      <c r="E134" s="534"/>
    </row>
    <row r="135" spans="1:5">
      <c r="B135" s="937"/>
      <c r="E135" s="534"/>
    </row>
    <row r="136" spans="1:5">
      <c r="A136" s="468" t="s">
        <v>93</v>
      </c>
      <c r="B136" s="476"/>
      <c r="C136" s="467"/>
      <c r="D136" s="467"/>
      <c r="E136" s="898"/>
    </row>
    <row r="137" spans="1:5">
      <c r="A137" s="473"/>
      <c r="B137" s="476"/>
      <c r="C137" s="473"/>
      <c r="D137" s="473"/>
      <c r="E137" s="906"/>
    </row>
    <row r="138" spans="1:5">
      <c r="A138" s="498" t="s">
        <v>132</v>
      </c>
      <c r="B138" s="476"/>
      <c r="C138" s="708">
        <v>0</v>
      </c>
      <c r="D138" s="708">
        <v>0</v>
      </c>
      <c r="E138" s="907">
        <f>D138+C138</f>
        <v>0</v>
      </c>
    </row>
    <row r="139" spans="1:5" ht="26.25" thickBot="1">
      <c r="A139" s="523" t="s">
        <v>356</v>
      </c>
      <c r="B139" s="945"/>
      <c r="C139" s="707">
        <v>0</v>
      </c>
      <c r="D139" s="707">
        <v>0</v>
      </c>
      <c r="E139" s="908">
        <f>D139+C139</f>
        <v>0</v>
      </c>
    </row>
    <row r="140" spans="1:5">
      <c r="A140" s="498" t="s">
        <v>95</v>
      </c>
      <c r="B140" s="476"/>
      <c r="E140" s="534"/>
    </row>
    <row r="141" spans="1:5">
      <c r="A141" s="498" t="s">
        <v>8</v>
      </c>
      <c r="B141" s="476"/>
      <c r="E141" s="534"/>
    </row>
    <row r="142" spans="1:5" ht="25.5">
      <c r="A142" s="513" t="s">
        <v>382</v>
      </c>
      <c r="B142" s="933" t="s">
        <v>811</v>
      </c>
      <c r="C142" s="533">
        <f>ROUND('P8 Rev Cred Support'!C25,0)</f>
        <v>214747</v>
      </c>
      <c r="D142" s="533">
        <f>ROUND('P8 Rev Cred Support'!E20,0)</f>
        <v>3533</v>
      </c>
      <c r="E142" s="533">
        <f>D142+C142</f>
        <v>218280</v>
      </c>
    </row>
    <row r="143" spans="1:5">
      <c r="B143" s="476"/>
      <c r="C143" s="524"/>
      <c r="D143" s="469"/>
      <c r="E143" s="898"/>
    </row>
    <row r="144" spans="1:5" ht="25.5">
      <c r="A144" s="513" t="s">
        <v>395</v>
      </c>
      <c r="B144" s="933" t="s">
        <v>811</v>
      </c>
      <c r="C144" s="533">
        <f>'P8 Rev Cred Support'!C51</f>
        <v>557900</v>
      </c>
      <c r="D144" s="533">
        <f>'P8 Rev Cred Support'!E51</f>
        <v>27598</v>
      </c>
      <c r="E144" s="533">
        <f>D144+C144</f>
        <v>585498</v>
      </c>
    </row>
    <row r="145" spans="1:5" ht="13.5" thickBot="1">
      <c r="A145" s="466"/>
      <c r="B145" s="476"/>
      <c r="C145" s="476"/>
      <c r="D145" s="476"/>
      <c r="E145" s="560"/>
    </row>
    <row r="146" spans="1:5" ht="13.5" thickBot="1">
      <c r="A146" s="525" t="s">
        <v>524</v>
      </c>
      <c r="B146" s="946"/>
      <c r="C146" s="676">
        <f>0.1088+0.005</f>
        <v>0.1138</v>
      </c>
      <c r="D146" s="526">
        <f>C146</f>
        <v>0.1138</v>
      </c>
      <c r="E146" s="909">
        <f>D146</f>
        <v>0.1138</v>
      </c>
    </row>
    <row r="147" spans="1:5">
      <c r="B147" s="937"/>
      <c r="E147" s="534"/>
    </row>
    <row r="148" spans="1:5">
      <c r="A148" s="498" t="s">
        <v>337</v>
      </c>
      <c r="B148" s="937" t="s">
        <v>845</v>
      </c>
      <c r="C148" s="506">
        <f>DEO!J30</f>
        <v>115622890</v>
      </c>
      <c r="D148" s="506">
        <f>DEK!J30</f>
        <v>4899327</v>
      </c>
      <c r="E148" s="531">
        <f>D148+C148</f>
        <v>120522217</v>
      </c>
    </row>
    <row r="149" spans="1:5">
      <c r="B149" s="937"/>
      <c r="C149" s="506"/>
      <c r="D149" s="506"/>
      <c r="E149" s="531"/>
    </row>
    <row r="150" spans="1:5">
      <c r="A150" s="471"/>
      <c r="B150" s="937"/>
      <c r="E150" s="531"/>
    </row>
    <row r="151" spans="1:5">
      <c r="A151" s="471"/>
      <c r="B151" s="937"/>
      <c r="E151" s="516"/>
    </row>
    <row r="152" spans="1:5">
      <c r="A152" s="496" t="s">
        <v>527</v>
      </c>
      <c r="B152" s="947"/>
      <c r="C152" s="527"/>
      <c r="D152" s="527"/>
      <c r="E152" s="876">
        <f>'P17 Prior Yr Corr'!D21</f>
        <v>50548</v>
      </c>
    </row>
    <row r="153" spans="1:5">
      <c r="A153" s="471"/>
      <c r="B153" s="937"/>
      <c r="E153" s="516"/>
    </row>
    <row r="154" spans="1:5">
      <c r="A154" s="471" t="s">
        <v>634</v>
      </c>
      <c r="B154" s="937"/>
      <c r="C154" s="727">
        <v>3.2500000000000001E-2</v>
      </c>
    </row>
    <row r="155" spans="1:5">
      <c r="A155" s="471"/>
      <c r="B155" s="937"/>
      <c r="E155" s="516"/>
    </row>
    <row r="156" spans="1:5">
      <c r="A156" s="498" t="s">
        <v>756</v>
      </c>
      <c r="B156" s="933" t="s">
        <v>838</v>
      </c>
      <c r="E156" s="1025">
        <f>-ROUND('P15 Sch 1A Rev Cr'!D28,0)</f>
        <v>131834</v>
      </c>
    </row>
    <row r="157" spans="1:5">
      <c r="A157" s="498" t="s">
        <v>812</v>
      </c>
      <c r="E157" s="516"/>
    </row>
    <row r="158" spans="1:5">
      <c r="E158" s="516"/>
    </row>
    <row r="159" spans="1:5">
      <c r="E159" s="516"/>
    </row>
    <row r="160" spans="1:5">
      <c r="E160" s="516"/>
    </row>
    <row r="161" spans="5:5">
      <c r="E161" s="516"/>
    </row>
    <row r="162" spans="5:5">
      <c r="E162" s="516"/>
    </row>
    <row r="163" spans="5:5">
      <c r="E163" s="516"/>
    </row>
    <row r="164" spans="5:5">
      <c r="E164" s="516"/>
    </row>
    <row r="165" spans="5:5">
      <c r="E165" s="516"/>
    </row>
    <row r="166" spans="5:5">
      <c r="E166" s="516"/>
    </row>
    <row r="167" spans="5:5">
      <c r="E167" s="516"/>
    </row>
    <row r="168" spans="5:5">
      <c r="E168" s="516"/>
    </row>
    <row r="169" spans="5:5">
      <c r="E169" s="516"/>
    </row>
    <row r="170" spans="5:5">
      <c r="E170" s="516"/>
    </row>
    <row r="171" spans="5:5">
      <c r="E171" s="516"/>
    </row>
    <row r="172" spans="5:5">
      <c r="E172" s="516"/>
    </row>
    <row r="173" spans="5:5">
      <c r="E173" s="516"/>
    </row>
    <row r="174" spans="5:5">
      <c r="E174" s="516"/>
    </row>
    <row r="175" spans="5:5">
      <c r="E175" s="516"/>
    </row>
    <row r="176" spans="5:5">
      <c r="E176" s="516"/>
    </row>
    <row r="177" spans="5:5">
      <c r="E177" s="516"/>
    </row>
    <row r="178" spans="5:5">
      <c r="E178" s="516"/>
    </row>
    <row r="179" spans="5:5">
      <c r="E179" s="516"/>
    </row>
    <row r="180" spans="5:5">
      <c r="E180" s="516"/>
    </row>
    <row r="181" spans="5:5">
      <c r="E181" s="516"/>
    </row>
    <row r="182" spans="5:5">
      <c r="E182" s="516"/>
    </row>
    <row r="183" spans="5:5">
      <c r="E183" s="516"/>
    </row>
    <row r="184" spans="5:5">
      <c r="E184" s="516"/>
    </row>
    <row r="185" spans="5:5">
      <c r="E185" s="516"/>
    </row>
    <row r="186" spans="5:5">
      <c r="E186" s="516"/>
    </row>
    <row r="187" spans="5:5">
      <c r="E187" s="516"/>
    </row>
    <row r="188" spans="5:5">
      <c r="E188" s="516"/>
    </row>
    <row r="189" spans="5:5">
      <c r="E189" s="516"/>
    </row>
    <row r="190" spans="5:5">
      <c r="E190" s="516"/>
    </row>
    <row r="191" spans="5:5">
      <c r="E191" s="516"/>
    </row>
    <row r="192" spans="5:5">
      <c r="E192" s="516"/>
    </row>
    <row r="193" spans="5:5">
      <c r="E193" s="516"/>
    </row>
    <row r="194" spans="5:5">
      <c r="E194" s="516"/>
    </row>
    <row r="195" spans="5:5">
      <c r="E195" s="516"/>
    </row>
    <row r="196" spans="5:5">
      <c r="E196" s="516"/>
    </row>
    <row r="197" spans="5:5">
      <c r="E197" s="516"/>
    </row>
    <row r="198" spans="5:5">
      <c r="E198" s="516"/>
    </row>
    <row r="199" spans="5:5">
      <c r="E199" s="516"/>
    </row>
    <row r="200" spans="5:5">
      <c r="E200" s="516"/>
    </row>
    <row r="201" spans="5:5">
      <c r="E201" s="516"/>
    </row>
    <row r="202" spans="5:5">
      <c r="E202" s="516"/>
    </row>
    <row r="203" spans="5:5">
      <c r="E203" s="516"/>
    </row>
    <row r="204" spans="5:5">
      <c r="E204" s="516"/>
    </row>
    <row r="205" spans="5:5">
      <c r="E205" s="516"/>
    </row>
    <row r="206" spans="5:5">
      <c r="E206" s="516"/>
    </row>
    <row r="207" spans="5:5">
      <c r="E207" s="516"/>
    </row>
    <row r="208" spans="5:5">
      <c r="E208" s="516"/>
    </row>
    <row r="209" spans="5:5">
      <c r="E209" s="516"/>
    </row>
    <row r="210" spans="5:5">
      <c r="E210" s="516"/>
    </row>
    <row r="211" spans="5:5">
      <c r="E211" s="516"/>
    </row>
    <row r="212" spans="5:5">
      <c r="E212" s="516"/>
    </row>
    <row r="213" spans="5:5">
      <c r="E213" s="516"/>
    </row>
    <row r="214" spans="5:5">
      <c r="E214" s="516"/>
    </row>
    <row r="215" spans="5:5">
      <c r="E215" s="516"/>
    </row>
    <row r="216" spans="5:5">
      <c r="E216" s="516"/>
    </row>
    <row r="217" spans="5:5">
      <c r="E217" s="516"/>
    </row>
    <row r="218" spans="5:5">
      <c r="E218" s="516"/>
    </row>
    <row r="219" spans="5:5">
      <c r="E219" s="516"/>
    </row>
    <row r="220" spans="5:5">
      <c r="E220" s="516"/>
    </row>
    <row r="221" spans="5:5">
      <c r="E221" s="516"/>
    </row>
    <row r="222" spans="5:5">
      <c r="E222" s="516"/>
    </row>
    <row r="223" spans="5:5">
      <c r="E223" s="516"/>
    </row>
    <row r="224" spans="5:5">
      <c r="E224" s="516"/>
    </row>
    <row r="225" spans="5:5">
      <c r="E225" s="516"/>
    </row>
    <row r="226" spans="5:5">
      <c r="E226" s="516"/>
    </row>
    <row r="227" spans="5:5">
      <c r="E227" s="516"/>
    </row>
    <row r="228" spans="5:5">
      <c r="E228" s="516"/>
    </row>
  </sheetData>
  <pageMargins left="0.5" right="0.2" top="0" bottom="0" header="0.3" footer="0.3"/>
  <pageSetup paperSize="5" scale="65" fitToHeight="25" orientation="landscape"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1"/>
    <pageSetUpPr fitToPage="1"/>
  </sheetPr>
  <dimension ref="A1:R42"/>
  <sheetViews>
    <sheetView zoomScale="80" zoomScaleNormal="80" workbookViewId="0">
      <selection activeCell="D18" sqref="D18"/>
    </sheetView>
  </sheetViews>
  <sheetFormatPr defaultColWidth="8.77734375" defaultRowHeight="15"/>
  <cols>
    <col min="1" max="1" width="46.21875" style="12" bestFit="1" customWidth="1"/>
    <col min="2" max="2" width="5.77734375" style="12" customWidth="1"/>
    <col min="3" max="3" width="15.5546875" style="12" bestFit="1" customWidth="1"/>
    <col min="4" max="4" width="19.21875" style="12" bestFit="1" customWidth="1"/>
    <col min="5" max="5" width="3" style="12" customWidth="1"/>
    <col min="6" max="7" width="8.77734375" style="12"/>
    <col min="8" max="8" width="11.21875" style="12" bestFit="1" customWidth="1"/>
    <col min="9" max="9" width="10.44140625" style="12" customWidth="1"/>
    <col min="10" max="10" width="22.21875" style="12" customWidth="1"/>
    <col min="11" max="11" width="10" style="12" customWidth="1"/>
    <col min="12" max="15" width="8.77734375" style="12"/>
    <col min="16" max="16" width="17.77734375" style="12" customWidth="1"/>
    <col min="17" max="16384" width="8.77734375" style="12"/>
  </cols>
  <sheetData>
    <row r="1" spans="1:18" ht="18">
      <c r="A1" s="562" t="str">
        <f>'P1 ADIT 190 &amp; 282'!A1</f>
        <v>Duke Energy Ohio and Duke Energy Kentucky</v>
      </c>
      <c r="B1" s="568"/>
      <c r="C1" s="568"/>
      <c r="D1" s="568"/>
      <c r="H1" s="670"/>
      <c r="I1" s="670"/>
    </row>
    <row r="2" spans="1:18" ht="18">
      <c r="A2" s="562"/>
      <c r="B2" s="568"/>
      <c r="C2" s="568"/>
      <c r="D2" s="568"/>
      <c r="H2" s="670"/>
      <c r="I2" s="670"/>
    </row>
    <row r="3" spans="1:18" ht="15.75">
      <c r="A3" s="571"/>
      <c r="B3" s="568"/>
      <c r="C3" s="568"/>
      <c r="D3" s="569" t="s">
        <v>426</v>
      </c>
      <c r="H3" s="670"/>
      <c r="I3" s="670"/>
    </row>
    <row r="4" spans="1:18" ht="15.75">
      <c r="A4" s="571"/>
      <c r="B4" s="568"/>
      <c r="C4" s="568"/>
      <c r="D4" s="567" t="str">
        <f>"Page 5 of "&amp;Workpaper</f>
        <v>Page 5 of 18</v>
      </c>
      <c r="H4" s="670"/>
      <c r="I4" s="670"/>
    </row>
    <row r="5" spans="1:18" ht="15.75">
      <c r="A5" s="571"/>
      <c r="B5" s="568"/>
      <c r="C5" s="568"/>
      <c r="D5" s="275" t="str">
        <f>"For the 12 months ended: "&amp;TEXT(INPUT!$B$1,"mm/dd/yyyy")</f>
        <v>For the 12 months ended: 12/31/2017</v>
      </c>
    </row>
    <row r="6" spans="1:18" s="670" customFormat="1" ht="15.75">
      <c r="A6" s="571"/>
      <c r="B6" s="568"/>
      <c r="C6" s="568"/>
      <c r="D6" s="275"/>
    </row>
    <row r="7" spans="1:18" ht="15.75">
      <c r="A7" s="571" t="s">
        <v>224</v>
      </c>
      <c r="B7" s="568"/>
      <c r="C7" s="568"/>
      <c r="D7" s="568"/>
    </row>
    <row r="8" spans="1:18" ht="15.75">
      <c r="A8" s="571"/>
      <c r="B8" s="568"/>
      <c r="C8" s="568"/>
      <c r="D8" s="568"/>
    </row>
    <row r="9" spans="1:18" ht="15.75">
      <c r="A9" s="572"/>
      <c r="B9" s="573"/>
      <c r="C9" s="573"/>
      <c r="D9" s="573"/>
      <c r="H9" s="670"/>
      <c r="I9" s="670"/>
      <c r="J9" s="670"/>
      <c r="K9" s="670"/>
    </row>
    <row r="10" spans="1:18" ht="20.25">
      <c r="A10" s="110"/>
      <c r="B10" s="201"/>
      <c r="C10" s="113"/>
      <c r="D10" s="113"/>
      <c r="H10" s="670"/>
      <c r="I10" s="670"/>
      <c r="J10" s="670"/>
      <c r="K10" s="670"/>
    </row>
    <row r="11" spans="1:18" ht="21" thickBot="1">
      <c r="A11" s="110"/>
      <c r="B11" s="202"/>
      <c r="C11" s="114" t="s">
        <v>191</v>
      </c>
      <c r="D11" s="114" t="s">
        <v>192</v>
      </c>
    </row>
    <row r="12" spans="1:18" ht="21" thickBot="1">
      <c r="A12" s="574" t="s">
        <v>224</v>
      </c>
      <c r="B12" s="202"/>
      <c r="C12" s="114"/>
      <c r="D12" s="114"/>
      <c r="H12" s="670"/>
      <c r="I12" s="670"/>
      <c r="J12" s="670"/>
      <c r="K12" s="670"/>
      <c r="L12" s="670"/>
      <c r="M12" s="670"/>
      <c r="N12" s="670"/>
      <c r="O12" s="670"/>
      <c r="P12" s="670"/>
      <c r="Q12" s="670"/>
      <c r="R12" s="670"/>
    </row>
    <row r="13" spans="1:18" ht="23.25" customHeight="1">
      <c r="A13" s="115" t="s">
        <v>223</v>
      </c>
      <c r="B13" s="203"/>
      <c r="C13" s="688">
        <v>56553277</v>
      </c>
      <c r="D13" s="688">
        <v>19496653</v>
      </c>
      <c r="H13" s="670"/>
      <c r="I13" s="670"/>
      <c r="J13" s="670"/>
      <c r="K13" s="670"/>
      <c r="L13" s="670"/>
      <c r="M13" s="670"/>
      <c r="N13" s="670"/>
      <c r="O13" s="670"/>
      <c r="P13" s="670"/>
      <c r="Q13" s="670"/>
      <c r="R13" s="670"/>
    </row>
    <row r="14" spans="1:18">
      <c r="A14" s="116"/>
      <c r="B14" s="204"/>
      <c r="C14" s="204"/>
      <c r="D14" s="204"/>
      <c r="H14" s="670"/>
      <c r="I14" s="670"/>
      <c r="J14" s="670"/>
      <c r="K14" s="670"/>
      <c r="L14" s="670"/>
      <c r="M14" s="670"/>
      <c r="N14" s="670"/>
      <c r="O14" s="670"/>
      <c r="P14" s="670"/>
      <c r="Q14" s="670"/>
      <c r="R14" s="670"/>
    </row>
    <row r="15" spans="1:18" ht="19.899999999999999" customHeight="1">
      <c r="A15" s="528" t="s">
        <v>882</v>
      </c>
      <c r="B15" s="117"/>
      <c r="C15" s="690">
        <v>-108275</v>
      </c>
      <c r="D15" s="690">
        <v>-43907</v>
      </c>
      <c r="H15" s="670"/>
      <c r="I15" s="670"/>
      <c r="J15" s="670"/>
      <c r="K15" s="670"/>
      <c r="L15" s="670"/>
      <c r="M15" s="670"/>
      <c r="N15" s="670"/>
      <c r="O15" s="670"/>
      <c r="P15" s="670"/>
      <c r="Q15" s="670"/>
      <c r="R15" s="670"/>
    </row>
    <row r="16" spans="1:18" s="670" customFormat="1" ht="19.149999999999999" customHeight="1">
      <c r="A16" s="528" t="s">
        <v>886</v>
      </c>
      <c r="B16" s="117"/>
      <c r="C16" s="690">
        <v>215073</v>
      </c>
      <c r="D16" s="690">
        <v>0</v>
      </c>
    </row>
    <row r="17" spans="1:18" s="670" customFormat="1" ht="19.149999999999999" customHeight="1">
      <c r="A17" s="1075" t="s">
        <v>895</v>
      </c>
      <c r="B17" s="1076"/>
      <c r="C17" s="1077">
        <v>3966523</v>
      </c>
      <c r="D17" s="690">
        <v>0</v>
      </c>
    </row>
    <row r="18" spans="1:18" s="670" customFormat="1" ht="21.95" customHeight="1">
      <c r="A18" s="528" t="s">
        <v>596</v>
      </c>
      <c r="B18" s="117"/>
      <c r="C18" s="690">
        <f>9024+10051</f>
        <v>19075</v>
      </c>
      <c r="D18" s="690">
        <f>9366+2681</f>
        <v>12047</v>
      </c>
    </row>
    <row r="19" spans="1:18" s="670" customFormat="1" ht="21.95" customHeight="1">
      <c r="A19" s="528" t="s">
        <v>608</v>
      </c>
      <c r="B19" s="117"/>
      <c r="C19" s="117">
        <v>0</v>
      </c>
      <c r="D19" s="117">
        <v>110721</v>
      </c>
    </row>
    <row r="20" spans="1:18">
      <c r="A20" s="116"/>
      <c r="B20" s="204"/>
      <c r="C20" s="204"/>
      <c r="D20" s="204"/>
      <c r="H20" s="670"/>
      <c r="I20" s="670"/>
      <c r="J20" s="670"/>
      <c r="K20" s="670"/>
      <c r="L20" s="670"/>
      <c r="M20" s="670"/>
      <c r="N20" s="670"/>
      <c r="O20" s="670"/>
      <c r="P20" s="670"/>
      <c r="Q20" s="670"/>
      <c r="R20" s="670"/>
    </row>
    <row r="21" spans="1:18" ht="24.75" customHeight="1">
      <c r="A21" s="118" t="s">
        <v>431</v>
      </c>
      <c r="B21" s="205"/>
      <c r="C21" s="205">
        <f>C13-SUM(C15:C19)</f>
        <v>52460881</v>
      </c>
      <c r="D21" s="205">
        <f>D13-SUM(D15:D19)</f>
        <v>19417792</v>
      </c>
      <c r="H21" s="670"/>
      <c r="I21" s="670"/>
      <c r="J21" s="670"/>
      <c r="K21" s="670"/>
      <c r="L21" s="670"/>
      <c r="M21" s="670"/>
      <c r="N21" s="670"/>
      <c r="O21" s="670"/>
      <c r="P21" s="670"/>
      <c r="Q21" s="670"/>
      <c r="R21" s="670"/>
    </row>
    <row r="22" spans="1:18" ht="14.25" customHeight="1">
      <c r="A22" s="118"/>
      <c r="B22" s="205"/>
      <c r="C22" s="205"/>
      <c r="D22" s="205"/>
      <c r="H22" s="670"/>
      <c r="I22" s="670"/>
      <c r="J22" s="670"/>
      <c r="K22" s="670"/>
      <c r="L22" s="670"/>
      <c r="M22" s="670"/>
      <c r="N22" s="670"/>
      <c r="O22" s="670"/>
      <c r="P22" s="670"/>
      <c r="Q22" s="670"/>
      <c r="R22" s="670"/>
    </row>
    <row r="23" spans="1:18" ht="10.5" customHeight="1">
      <c r="A23" s="118"/>
      <c r="B23" s="205"/>
      <c r="C23" s="205"/>
      <c r="D23" s="205"/>
    </row>
    <row r="24" spans="1:18">
      <c r="A24" s="116"/>
      <c r="B24" s="204"/>
      <c r="C24" s="204"/>
      <c r="D24" s="204"/>
    </row>
    <row r="25" spans="1:18">
      <c r="A25" s="116"/>
      <c r="B25" s="204"/>
      <c r="C25" s="204"/>
      <c r="D25" s="204"/>
    </row>
    <row r="26" spans="1:18" ht="21" customHeight="1">
      <c r="A26" s="116"/>
      <c r="B26" s="203"/>
      <c r="C26" s="203"/>
      <c r="D26" s="203"/>
    </row>
    <row r="27" spans="1:18">
      <c r="A27" s="116"/>
      <c r="B27" s="204"/>
      <c r="C27" s="204"/>
      <c r="D27" s="204"/>
    </row>
    <row r="28" spans="1:18" ht="54" customHeight="1">
      <c r="A28" s="116"/>
      <c r="B28" s="121"/>
      <c r="C28" s="558"/>
      <c r="D28" s="558"/>
    </row>
    <row r="29" spans="1:18">
      <c r="A29" s="116"/>
      <c r="B29" s="204"/>
      <c r="C29" s="204"/>
      <c r="D29" s="204"/>
    </row>
    <row r="30" spans="1:18" ht="27" customHeight="1">
      <c r="A30" s="116"/>
      <c r="B30" s="205"/>
      <c r="C30" s="205"/>
      <c r="D30" s="205"/>
    </row>
    <row r="31" spans="1:18" ht="14.25" customHeight="1">
      <c r="A31" s="116"/>
      <c r="B31" s="205"/>
      <c r="C31" s="205"/>
      <c r="D31" s="205"/>
    </row>
    <row r="32" spans="1:18" ht="10.5" customHeight="1">
      <c r="A32" s="116"/>
      <c r="B32" s="205"/>
      <c r="C32" s="205"/>
      <c r="D32" s="205"/>
    </row>
    <row r="33" spans="1:4">
      <c r="A33" s="116"/>
      <c r="B33" s="204"/>
      <c r="C33" s="204"/>
      <c r="D33" s="204"/>
    </row>
    <row r="34" spans="1:4">
      <c r="A34" s="116"/>
      <c r="B34" s="204"/>
      <c r="C34" s="204"/>
      <c r="D34" s="204"/>
    </row>
    <row r="35" spans="1:4" ht="33.6" customHeight="1">
      <c r="A35" s="116"/>
      <c r="B35" s="203"/>
      <c r="C35" s="1027"/>
      <c r="D35" s="1027"/>
    </row>
    <row r="36" spans="1:4">
      <c r="A36" s="116"/>
      <c r="B36" s="204"/>
      <c r="C36" s="204"/>
      <c r="D36" s="204"/>
    </row>
    <row r="37" spans="1:4" ht="17.25">
      <c r="A37" s="116"/>
      <c r="B37" s="121"/>
      <c r="C37" s="558"/>
      <c r="D37" s="558"/>
    </row>
    <row r="38" spans="1:4">
      <c r="A38" s="116"/>
      <c r="B38" s="204"/>
      <c r="C38" s="110"/>
      <c r="D38" s="110"/>
    </row>
    <row r="39" spans="1:4" ht="27" customHeight="1">
      <c r="A39" s="116"/>
      <c r="B39" s="205"/>
      <c r="C39" s="125"/>
      <c r="D39" s="125"/>
    </row>
    <row r="40" spans="1:4">
      <c r="A40" s="116"/>
      <c r="B40" s="204"/>
      <c r="C40" s="110"/>
      <c r="D40" s="110"/>
    </row>
    <row r="41" spans="1:4">
      <c r="A41" s="116"/>
      <c r="B41" s="204"/>
      <c r="C41" s="110"/>
      <c r="D41" s="110"/>
    </row>
    <row r="42" spans="1:4" ht="39.75" customHeight="1">
      <c r="A42" s="1082"/>
      <c r="B42" s="1082"/>
      <c r="C42" s="1082"/>
      <c r="D42" s="1082"/>
    </row>
  </sheetData>
  <mergeCells count="1">
    <mergeCell ref="A42:D42"/>
  </mergeCells>
  <phoneticPr fontId="0" type="noConversion"/>
  <pageMargins left="1" right="0.5" top="1" bottom="0.5" header="0.25" footer="0.25"/>
  <pageSetup scale="86" orientation="portrait" blackAndWhite="1"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1"/>
    <pageSetUpPr fitToPage="1"/>
  </sheetPr>
  <dimension ref="A1:H44"/>
  <sheetViews>
    <sheetView zoomScale="80" zoomScaleNormal="80" workbookViewId="0"/>
  </sheetViews>
  <sheetFormatPr defaultColWidth="8.77734375" defaultRowHeight="15"/>
  <cols>
    <col min="1" max="1" width="21.5546875" style="12" bestFit="1" customWidth="1"/>
    <col min="2" max="2" width="17.21875" style="12" customWidth="1"/>
    <col min="3" max="3" width="19.77734375" style="12" customWidth="1"/>
    <col min="4" max="4" width="17.21875" style="12" customWidth="1"/>
    <col min="5" max="16384" width="8.77734375" style="12"/>
  </cols>
  <sheetData>
    <row r="1" spans="1:8" ht="18">
      <c r="A1" s="982" t="str">
        <f>'P1 ADIT 190 &amp; 282'!A1</f>
        <v>Duke Energy Ohio and Duke Energy Kentucky</v>
      </c>
      <c r="B1" s="260"/>
      <c r="C1" s="260"/>
      <c r="D1" s="260"/>
      <c r="G1" s="874"/>
      <c r="H1" s="604"/>
    </row>
    <row r="2" spans="1:8" ht="18">
      <c r="A2" s="982"/>
      <c r="B2" s="260"/>
      <c r="C2" s="260"/>
      <c r="D2" s="604"/>
      <c r="G2" s="874"/>
    </row>
    <row r="3" spans="1:8" ht="18">
      <c r="A3" s="982"/>
      <c r="B3" s="260"/>
      <c r="D3" s="731" t="s">
        <v>426</v>
      </c>
    </row>
    <row r="4" spans="1:8">
      <c r="A4" s="604"/>
      <c r="B4" s="604"/>
      <c r="D4" s="988" t="str">
        <f>"Page 6 of "&amp;Workpaper</f>
        <v>Page 6 of 18</v>
      </c>
    </row>
    <row r="5" spans="1:8">
      <c r="A5" s="604"/>
      <c r="B5" s="604"/>
      <c r="D5" s="275" t="str">
        <f>"For the 12 months ended: "&amp;TEXT(INPUT!$B$1,"mm/dd/yyyy")</f>
        <v>For the 12 months ended: 12/31/2017</v>
      </c>
    </row>
    <row r="6" spans="1:8">
      <c r="A6" s="604"/>
      <c r="B6" s="604"/>
      <c r="C6" s="604"/>
      <c r="D6" s="604"/>
    </row>
    <row r="7" spans="1:8" ht="15.75">
      <c r="A7" s="983" t="s">
        <v>336</v>
      </c>
      <c r="B7" s="260"/>
      <c r="C7" s="260"/>
      <c r="D7" s="260"/>
    </row>
    <row r="8" spans="1:8">
      <c r="A8" s="604"/>
      <c r="B8" s="604"/>
      <c r="C8" s="604"/>
      <c r="D8" s="604"/>
    </row>
    <row r="9" spans="1:8">
      <c r="A9" s="604"/>
      <c r="B9" s="989"/>
      <c r="C9" s="989"/>
      <c r="D9" s="604"/>
    </row>
    <row r="10" spans="1:8">
      <c r="A10" s="604"/>
      <c r="B10" s="989"/>
      <c r="C10" s="989"/>
      <c r="D10" s="604"/>
    </row>
    <row r="11" spans="1:8">
      <c r="A11" s="990"/>
      <c r="B11" s="991" t="s">
        <v>191</v>
      </c>
      <c r="C11" s="991" t="s">
        <v>192</v>
      </c>
      <c r="D11" s="991"/>
    </row>
    <row r="12" spans="1:8" ht="20.25" customHeight="1">
      <c r="A12" s="604" t="s">
        <v>337</v>
      </c>
      <c r="B12" s="992">
        <f>DEO!J15</f>
        <v>118152396</v>
      </c>
      <c r="C12" s="992">
        <f>DEK!J15</f>
        <v>4929533</v>
      </c>
      <c r="D12" s="992"/>
    </row>
    <row r="13" spans="1:8" ht="20.25" customHeight="1">
      <c r="A13" s="604" t="s">
        <v>338</v>
      </c>
      <c r="B13" s="993">
        <v>0</v>
      </c>
      <c r="C13" s="993">
        <v>0.05</v>
      </c>
      <c r="D13" s="994"/>
    </row>
    <row r="14" spans="1:8" ht="6" customHeight="1">
      <c r="A14" s="604"/>
      <c r="B14" s="994" t="s">
        <v>8</v>
      </c>
      <c r="C14" s="994" t="s">
        <v>8</v>
      </c>
      <c r="D14" s="994"/>
    </row>
    <row r="15" spans="1:8" ht="17.25" customHeight="1">
      <c r="A15" s="604" t="s">
        <v>339</v>
      </c>
      <c r="B15" s="992">
        <f>ROUND(B13*B12,C202)</f>
        <v>0</v>
      </c>
      <c r="C15" s="992">
        <f>ROUND(C13*C12,2)</f>
        <v>246476.65</v>
      </c>
      <c r="D15" s="992"/>
    </row>
    <row r="16" spans="1:8">
      <c r="A16" s="604"/>
      <c r="B16" s="604"/>
      <c r="C16" s="604"/>
      <c r="D16" s="604"/>
    </row>
    <row r="17" spans="1:4">
      <c r="A17" s="604" t="s">
        <v>340</v>
      </c>
      <c r="B17" s="995">
        <f>ROUND(B15/B12,4)</f>
        <v>0</v>
      </c>
      <c r="C17" s="995">
        <f>ROUND(C15/C12,4)</f>
        <v>0.05</v>
      </c>
      <c r="D17" s="995"/>
    </row>
    <row r="18" spans="1:4">
      <c r="A18" s="604"/>
      <c r="B18" s="604"/>
      <c r="C18" s="604"/>
      <c r="D18" s="604"/>
    </row>
    <row r="44" spans="1:2">
      <c r="A44" s="76"/>
      <c r="B44" s="64"/>
    </row>
  </sheetData>
  <phoneticPr fontId="0" type="noConversion"/>
  <pageMargins left="1" right="0.75" top="1" bottom="0.5" header="1" footer="0.25"/>
  <pageSetup scale="95"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pageSetUpPr fitToPage="1"/>
  </sheetPr>
  <dimension ref="A1:D91"/>
  <sheetViews>
    <sheetView zoomScale="80" zoomScaleNormal="80" workbookViewId="0"/>
  </sheetViews>
  <sheetFormatPr defaultColWidth="7.109375" defaultRowHeight="15"/>
  <cols>
    <col min="1" max="1" width="44" style="123" customWidth="1"/>
    <col min="2" max="3" width="14.6640625" style="123" customWidth="1"/>
    <col min="4" max="4" width="11.6640625" style="123" customWidth="1"/>
    <col min="5" max="10" width="16.21875" style="123" bestFit="1" customWidth="1"/>
    <col min="11" max="11" width="16.77734375" style="123" bestFit="1" customWidth="1"/>
    <col min="12" max="12" width="7.77734375" style="123" bestFit="1" customWidth="1"/>
    <col min="13" max="13" width="8.21875" style="123" bestFit="1" customWidth="1"/>
    <col min="14" max="14" width="9.88671875" style="123" bestFit="1" customWidth="1"/>
    <col min="15" max="15" width="6.33203125" style="123" customWidth="1"/>
    <col min="16" max="16" width="9.88671875" style="123" bestFit="1" customWidth="1"/>
    <col min="17" max="17" width="6.33203125" style="123" customWidth="1"/>
    <col min="18" max="18" width="9.88671875" style="123" bestFit="1" customWidth="1"/>
    <col min="19" max="20" width="6.33203125" style="123" customWidth="1"/>
    <col min="21" max="21" width="9.88671875" style="123" bestFit="1" customWidth="1"/>
    <col min="22" max="22" width="6.33203125" style="123" customWidth="1"/>
    <col min="23" max="23" width="9.88671875" style="123" bestFit="1" customWidth="1"/>
    <col min="24" max="24" width="6.33203125" style="123" customWidth="1"/>
    <col min="25" max="25" width="9.88671875" style="123" bestFit="1" customWidth="1"/>
    <col min="26" max="26" width="6.33203125" style="123" customWidth="1"/>
    <col min="27" max="27" width="9.88671875" style="123" bestFit="1" customWidth="1"/>
    <col min="28" max="28" width="8.21875" style="123" bestFit="1" customWidth="1"/>
    <col min="29" max="16384" width="7.109375" style="123"/>
  </cols>
  <sheetData>
    <row r="1" spans="1:3" ht="18">
      <c r="A1" s="120" t="str">
        <f>'P1 ADIT 190 &amp; 282'!A1</f>
        <v>Duke Energy Ohio and Duke Energy Kentucky</v>
      </c>
      <c r="B1" s="657"/>
      <c r="C1" s="657"/>
    </row>
    <row r="2" spans="1:3" ht="18">
      <c r="A2" s="120"/>
      <c r="B2" s="109"/>
      <c r="C2" s="109"/>
    </row>
    <row r="3" spans="1:3" ht="18">
      <c r="A3" s="120"/>
      <c r="B3" s="109"/>
      <c r="C3" s="403" t="s">
        <v>426</v>
      </c>
    </row>
    <row r="4" spans="1:3" ht="15.75">
      <c r="A4" s="108"/>
      <c r="B4" s="109"/>
      <c r="C4" s="567" t="str">
        <f>"Page 7 of "&amp;Workpaper</f>
        <v>Page 7 of 18</v>
      </c>
    </row>
    <row r="5" spans="1:3" ht="15.75">
      <c r="A5" s="108"/>
      <c r="B5" s="109"/>
      <c r="C5" s="275" t="str">
        <f>"For the 12 months ended: "&amp;TEXT(INPUT!$B$1,"mm/dd/yyyy")</f>
        <v>For the 12 months ended: 12/31/2017</v>
      </c>
    </row>
    <row r="6" spans="1:3" ht="15.75">
      <c r="A6" s="108"/>
      <c r="B6" s="109"/>
      <c r="C6" s="109"/>
    </row>
    <row r="7" spans="1:3" ht="15.75">
      <c r="A7" s="108" t="s">
        <v>335</v>
      </c>
      <c r="B7" s="109"/>
      <c r="C7" s="109"/>
    </row>
    <row r="8" spans="1:3" ht="15.75">
      <c r="A8" s="108"/>
      <c r="B8" s="109"/>
      <c r="C8" s="109"/>
    </row>
    <row r="9" spans="1:3">
      <c r="A9" s="97"/>
      <c r="B9" s="97"/>
      <c r="C9" s="97"/>
    </row>
    <row r="10" spans="1:3">
      <c r="A10" s="110"/>
      <c r="B10" s="113"/>
      <c r="C10" s="113"/>
    </row>
    <row r="11" spans="1:3" ht="20.25">
      <c r="A11" s="110"/>
      <c r="B11" s="114" t="s">
        <v>191</v>
      </c>
      <c r="C11" s="114" t="s">
        <v>192</v>
      </c>
    </row>
    <row r="12" spans="1:3" ht="20.25">
      <c r="A12" s="110"/>
      <c r="B12" s="114"/>
      <c r="C12" s="114"/>
    </row>
    <row r="13" spans="1:3">
      <c r="A13" s="123" t="s">
        <v>533</v>
      </c>
      <c r="B13" s="688">
        <v>0</v>
      </c>
      <c r="C13" s="688">
        <f>5838602+10665050</f>
        <v>16503652</v>
      </c>
    </row>
    <row r="14" spans="1:3">
      <c r="A14" s="115" t="s">
        <v>229</v>
      </c>
      <c r="B14" s="689">
        <v>0</v>
      </c>
      <c r="C14" s="689">
        <v>0</v>
      </c>
    </row>
    <row r="15" spans="1:3">
      <c r="A15" s="115" t="s">
        <v>227</v>
      </c>
      <c r="B15" s="689">
        <v>0</v>
      </c>
      <c r="C15" s="689">
        <v>0</v>
      </c>
    </row>
    <row r="16" spans="1:3" ht="17.25">
      <c r="A16" s="115" t="s">
        <v>228</v>
      </c>
      <c r="B16" s="558">
        <v>0</v>
      </c>
      <c r="C16" s="558">
        <v>0</v>
      </c>
    </row>
    <row r="17" spans="1:4" ht="33.6" customHeight="1">
      <c r="A17" s="406" t="s">
        <v>432</v>
      </c>
      <c r="B17" s="575">
        <f>SUM(B13:B16)</f>
        <v>0</v>
      </c>
      <c r="C17" s="575">
        <f>SUM(C13:C16)</f>
        <v>16503652</v>
      </c>
      <c r="D17" s="122"/>
    </row>
    <row r="18" spans="1:4">
      <c r="A18" s="110"/>
      <c r="B18" s="124"/>
      <c r="C18" s="124"/>
    </row>
    <row r="56" spans="2:3">
      <c r="B56" s="554"/>
      <c r="C56" s="554"/>
    </row>
    <row r="57" spans="2:3">
      <c r="B57" s="555"/>
      <c r="C57" s="555"/>
    </row>
    <row r="58" spans="2:3">
      <c r="B58" s="554"/>
      <c r="C58" s="554"/>
    </row>
    <row r="59" spans="2:3">
      <c r="B59" s="554"/>
      <c r="C59" s="554"/>
    </row>
    <row r="60" spans="2:3">
      <c r="B60" s="554"/>
      <c r="C60" s="554"/>
    </row>
    <row r="61" spans="2:3">
      <c r="B61" s="554"/>
      <c r="C61" s="554"/>
    </row>
    <row r="62" spans="2:3">
      <c r="B62" s="554"/>
      <c r="C62" s="554"/>
    </row>
    <row r="63" spans="2:3">
      <c r="B63" s="554"/>
      <c r="C63" s="554"/>
    </row>
    <row r="64" spans="2:3">
      <c r="B64" s="554"/>
      <c r="C64" s="554"/>
    </row>
    <row r="65" spans="2:3">
      <c r="B65" s="554"/>
      <c r="C65" s="554"/>
    </row>
    <row r="66" spans="2:3">
      <c r="B66" s="554"/>
      <c r="C66" s="554"/>
    </row>
    <row r="67" spans="2:3">
      <c r="B67" s="554"/>
      <c r="C67" s="554"/>
    </row>
    <row r="68" spans="2:3">
      <c r="B68" s="554"/>
      <c r="C68" s="554"/>
    </row>
    <row r="69" spans="2:3">
      <c r="B69" s="554"/>
      <c r="C69" s="554"/>
    </row>
    <row r="70" spans="2:3">
      <c r="B70" s="554"/>
      <c r="C70" s="554"/>
    </row>
    <row r="71" spans="2:3">
      <c r="B71" s="554"/>
      <c r="C71" s="554"/>
    </row>
    <row r="72" spans="2:3">
      <c r="B72" s="554"/>
      <c r="C72" s="554"/>
    </row>
    <row r="73" spans="2:3">
      <c r="B73" s="554"/>
      <c r="C73" s="554"/>
    </row>
    <row r="74" spans="2:3">
      <c r="B74" s="554"/>
      <c r="C74" s="554"/>
    </row>
    <row r="75" spans="2:3">
      <c r="B75" s="554"/>
      <c r="C75" s="554"/>
    </row>
    <row r="76" spans="2:3">
      <c r="B76" s="554"/>
      <c r="C76" s="554"/>
    </row>
    <row r="77" spans="2:3">
      <c r="B77" s="554"/>
      <c r="C77" s="553"/>
    </row>
    <row r="78" spans="2:3">
      <c r="B78" s="554"/>
      <c r="C78" s="553"/>
    </row>
    <row r="79" spans="2:3">
      <c r="B79" s="554"/>
      <c r="C79" s="553"/>
    </row>
    <row r="80" spans="2:3">
      <c r="B80" s="554"/>
      <c r="C80" s="553"/>
    </row>
    <row r="81" spans="2:3">
      <c r="B81" s="554"/>
      <c r="C81" s="553"/>
    </row>
    <row r="82" spans="2:3">
      <c r="B82" s="554"/>
      <c r="C82" s="553"/>
    </row>
    <row r="83" spans="2:3">
      <c r="B83" s="554"/>
      <c r="C83" s="553"/>
    </row>
    <row r="84" spans="2:3">
      <c r="B84" s="554"/>
      <c r="C84" s="553"/>
    </row>
    <row r="85" spans="2:3">
      <c r="B85" s="554"/>
      <c r="C85" s="553"/>
    </row>
    <row r="86" spans="2:3">
      <c r="B86" s="554"/>
      <c r="C86" s="553"/>
    </row>
    <row r="87" spans="2:3">
      <c r="B87" s="554"/>
      <c r="C87" s="553"/>
    </row>
    <row r="88" spans="2:3">
      <c r="B88" s="553"/>
      <c r="C88" s="553"/>
    </row>
    <row r="89" spans="2:3">
      <c r="B89" s="553"/>
      <c r="C89" s="553"/>
    </row>
    <row r="90" spans="2:3">
      <c r="B90" s="553"/>
      <c r="C90" s="553"/>
    </row>
    <row r="91" spans="2:3">
      <c r="B91" s="553"/>
      <c r="C91" s="553"/>
    </row>
  </sheetData>
  <pageMargins left="1" right="1" top="1" bottom="0.5" header="0.5" footer="0.5"/>
  <pageSetup scale="95"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1"/>
    <pageSetUpPr fitToPage="1"/>
  </sheetPr>
  <dimension ref="A1:K79"/>
  <sheetViews>
    <sheetView zoomScale="80" zoomScaleNormal="80" workbookViewId="0"/>
  </sheetViews>
  <sheetFormatPr defaultColWidth="7.109375" defaultRowHeight="15"/>
  <cols>
    <col min="1" max="1" width="58.21875" style="110" customWidth="1"/>
    <col min="2" max="2" width="1.6640625" style="110" customWidth="1"/>
    <col min="3" max="3" width="14.5546875" style="204" customWidth="1"/>
    <col min="4" max="4" width="2" style="204" customWidth="1"/>
    <col min="5" max="5" width="15.109375" style="204" customWidth="1"/>
    <col min="6" max="6" width="2" style="204" customWidth="1"/>
    <col min="7" max="7" width="7.109375" style="110"/>
    <col min="8" max="8" width="7.109375" style="204"/>
    <col min="9" max="9" width="11.77734375" style="110" customWidth="1"/>
    <col min="10" max="10" width="16.88671875" style="110" customWidth="1"/>
    <col min="11" max="16384" width="7.109375" style="110"/>
  </cols>
  <sheetData>
    <row r="1" spans="1:10" s="97" customFormat="1" ht="15.75">
      <c r="A1" s="108" t="str">
        <f>'P1 ADIT 190 &amp; 282'!A1</f>
        <v>Duke Energy Ohio and Duke Energy Kentucky</v>
      </c>
      <c r="B1" s="108"/>
      <c r="C1" s="260"/>
      <c r="D1" s="260"/>
      <c r="E1" s="260"/>
      <c r="F1" s="260"/>
      <c r="G1" s="88"/>
      <c r="H1" s="362"/>
    </row>
    <row r="2" spans="1:10" s="97" customFormat="1" ht="15.75">
      <c r="A2" s="108"/>
      <c r="B2" s="108"/>
      <c r="C2" s="260"/>
      <c r="D2" s="260"/>
      <c r="E2" s="260"/>
      <c r="F2" s="260"/>
      <c r="G2" s="88"/>
      <c r="H2" s="362"/>
    </row>
    <row r="3" spans="1:10" s="97" customFormat="1" ht="15.75">
      <c r="A3" s="108"/>
      <c r="B3" s="108"/>
      <c r="C3" s="260"/>
      <c r="D3" s="260"/>
      <c r="E3" s="403" t="s">
        <v>426</v>
      </c>
      <c r="F3" s="260"/>
      <c r="H3" s="362"/>
    </row>
    <row r="4" spans="1:10" s="97" customFormat="1" ht="15.75">
      <c r="A4" s="108"/>
      <c r="B4" s="108"/>
      <c r="C4" s="260"/>
      <c r="D4" s="260"/>
      <c r="E4" s="567" t="str">
        <f>"Page 8 of "&amp;Workpaper</f>
        <v>Page 8 of 18</v>
      </c>
      <c r="F4" s="260"/>
      <c r="H4" s="362"/>
    </row>
    <row r="5" spans="1:10" s="97" customFormat="1" ht="15.75">
      <c r="A5" s="108"/>
      <c r="B5" s="108"/>
      <c r="C5" s="260"/>
      <c r="D5" s="260"/>
      <c r="E5" s="275" t="str">
        <f>"For the 12 months ended: "&amp;TEXT(INPUT!$B$1,"mm/dd/yyyy")</f>
        <v>For the 12 months ended: 12/31/2017</v>
      </c>
      <c r="F5" s="260"/>
      <c r="H5" s="362"/>
    </row>
    <row r="6" spans="1:10" s="97" customFormat="1" ht="15.75">
      <c r="A6" s="108"/>
      <c r="B6" s="108"/>
      <c r="C6" s="260"/>
      <c r="D6" s="260"/>
      <c r="E6" s="260"/>
      <c r="F6" s="204"/>
      <c r="H6" s="362"/>
    </row>
    <row r="7" spans="1:10" s="97" customFormat="1" ht="15.75">
      <c r="A7" s="108" t="s">
        <v>124</v>
      </c>
      <c r="B7" s="108"/>
      <c r="C7" s="260"/>
      <c r="D7" s="260"/>
      <c r="E7" s="260"/>
      <c r="F7" s="204"/>
      <c r="H7" s="362"/>
    </row>
    <row r="8" spans="1:10" s="97" customFormat="1" ht="15.75">
      <c r="A8" s="108"/>
      <c r="B8" s="108"/>
      <c r="C8" s="260"/>
      <c r="D8" s="260"/>
      <c r="E8" s="260"/>
      <c r="F8" s="204"/>
      <c r="H8" s="362"/>
    </row>
    <row r="9" spans="1:10" s="97" customFormat="1">
      <c r="C9" s="362"/>
      <c r="D9" s="362"/>
      <c r="E9" s="362"/>
      <c r="F9" s="204"/>
      <c r="H9" s="362"/>
    </row>
    <row r="10" spans="1:10">
      <c r="I10" s="97"/>
      <c r="J10" s="97"/>
    </row>
    <row r="11" spans="1:10" ht="20.25">
      <c r="A11" s="111"/>
      <c r="B11" s="111"/>
      <c r="F11" s="202"/>
      <c r="I11" s="97"/>
      <c r="J11" s="97"/>
    </row>
    <row r="12" spans="1:10" ht="20.25">
      <c r="C12" s="201" t="s">
        <v>122</v>
      </c>
      <c r="D12" s="201"/>
      <c r="E12" s="201"/>
      <c r="F12" s="202"/>
      <c r="G12" s="363"/>
      <c r="I12" s="97"/>
      <c r="J12" s="97"/>
    </row>
    <row r="13" spans="1:10" ht="20.25">
      <c r="A13" s="889"/>
      <c r="C13" s="202" t="s">
        <v>191</v>
      </c>
      <c r="D13" s="202"/>
      <c r="E13" s="202" t="s">
        <v>192</v>
      </c>
      <c r="F13" s="202"/>
      <c r="G13" s="364"/>
      <c r="I13" s="97"/>
      <c r="J13" s="97"/>
    </row>
    <row r="14" spans="1:10">
      <c r="A14" s="115" t="s">
        <v>864</v>
      </c>
      <c r="B14" s="365"/>
      <c r="C14" s="548">
        <v>11994149</v>
      </c>
      <c r="D14" s="548"/>
      <c r="E14" s="548">
        <v>1108999</v>
      </c>
      <c r="F14" s="548"/>
      <c r="G14" s="204"/>
      <c r="I14" s="97"/>
      <c r="J14" s="97"/>
    </row>
    <row r="15" spans="1:10">
      <c r="C15" s="549"/>
      <c r="D15" s="549"/>
      <c r="E15" s="549"/>
      <c r="F15" s="549"/>
      <c r="G15" s="204"/>
      <c r="I15" s="97"/>
    </row>
    <row r="16" spans="1:10">
      <c r="A16" s="110" t="s">
        <v>276</v>
      </c>
      <c r="C16" s="658">
        <v>85139</v>
      </c>
      <c r="D16" s="658"/>
      <c r="E16" s="658">
        <v>11097</v>
      </c>
      <c r="F16" s="658"/>
      <c r="G16" s="204"/>
      <c r="I16" s="97"/>
    </row>
    <row r="17" spans="1:10">
      <c r="C17" s="549"/>
      <c r="D17" s="549"/>
      <c r="E17" s="549"/>
      <c r="F17" s="549"/>
      <c r="G17" s="204"/>
      <c r="I17" s="97"/>
    </row>
    <row r="18" spans="1:10">
      <c r="A18" s="110" t="s">
        <v>123</v>
      </c>
      <c r="C18" s="550">
        <v>2223117</v>
      </c>
      <c r="D18" s="550"/>
      <c r="E18" s="550">
        <v>175773</v>
      </c>
      <c r="F18" s="550"/>
      <c r="G18" s="204"/>
      <c r="I18" s="97"/>
    </row>
    <row r="19" spans="1:10" ht="17.25">
      <c r="A19" s="110" t="s">
        <v>844</v>
      </c>
      <c r="C19" s="996">
        <f>'P16 Pole Counts'!C19</f>
        <v>5.8299999999999998E-2</v>
      </c>
      <c r="D19" s="996"/>
      <c r="E19" s="996">
        <f>'P16 Pole Counts'!G19</f>
        <v>2.01E-2</v>
      </c>
      <c r="F19" s="881"/>
      <c r="G19" s="204"/>
      <c r="I19" s="97"/>
      <c r="J19" s="204"/>
    </row>
    <row r="20" spans="1:10" ht="17.25">
      <c r="A20" s="366" t="s">
        <v>857</v>
      </c>
      <c r="B20" s="366"/>
      <c r="C20" s="203">
        <f>ROUND(C18*C19,0)</f>
        <v>129608</v>
      </c>
      <c r="D20" s="203"/>
      <c r="E20" s="203">
        <f>ROUND(E18*E19,0)</f>
        <v>3533</v>
      </c>
      <c r="F20" s="369"/>
      <c r="G20" s="204"/>
      <c r="I20" s="97"/>
    </row>
    <row r="21" spans="1:10" ht="17.25">
      <c r="A21" s="366"/>
      <c r="B21" s="366"/>
      <c r="C21" s="369"/>
      <c r="D21" s="369"/>
      <c r="E21" s="369"/>
      <c r="F21" s="369"/>
      <c r="G21" s="204"/>
      <c r="I21" s="97"/>
    </row>
    <row r="22" spans="1:10" ht="17.25">
      <c r="A22" s="366" t="s">
        <v>575</v>
      </c>
      <c r="B22" s="366"/>
      <c r="C22" s="203">
        <f>C20+C16</f>
        <v>214747</v>
      </c>
      <c r="D22" s="203"/>
      <c r="E22" s="203">
        <f>E20+E16</f>
        <v>14630</v>
      </c>
      <c r="F22" s="369"/>
      <c r="G22" s="204"/>
      <c r="I22" s="97"/>
    </row>
    <row r="23" spans="1:10">
      <c r="C23" s="368"/>
      <c r="D23" s="368"/>
      <c r="E23" s="368"/>
      <c r="F23" s="368"/>
      <c r="G23" s="204"/>
      <c r="I23" s="97"/>
    </row>
    <row r="24" spans="1:10" ht="17.25">
      <c r="A24" s="110" t="s">
        <v>4</v>
      </c>
      <c r="C24" s="552">
        <v>0</v>
      </c>
      <c r="D24" s="552"/>
      <c r="E24" s="552">
        <v>0</v>
      </c>
      <c r="F24" s="552"/>
      <c r="G24" s="204"/>
      <c r="I24" s="97"/>
    </row>
    <row r="25" spans="1:10" ht="17.25">
      <c r="A25" s="365" t="s">
        <v>576</v>
      </c>
      <c r="C25" s="369">
        <f>C24+C22</f>
        <v>214747</v>
      </c>
      <c r="D25" s="369"/>
      <c r="E25" s="369">
        <f>E24+E22</f>
        <v>14630</v>
      </c>
      <c r="F25" s="369"/>
      <c r="G25" s="204"/>
      <c r="I25" s="97"/>
    </row>
    <row r="26" spans="1:10">
      <c r="C26" s="368"/>
      <c r="D26" s="368"/>
      <c r="E26" s="368"/>
      <c r="F26" s="368"/>
      <c r="G26" s="204"/>
      <c r="I26" s="97"/>
    </row>
    <row r="27" spans="1:10" ht="15.75">
      <c r="A27" s="111"/>
      <c r="B27" s="111"/>
      <c r="G27" s="204"/>
      <c r="I27" s="97"/>
    </row>
    <row r="28" spans="1:10" ht="20.25">
      <c r="C28" s="201" t="s">
        <v>121</v>
      </c>
      <c r="D28" s="201"/>
      <c r="E28" s="445"/>
      <c r="F28" s="202"/>
      <c r="G28" s="997"/>
      <c r="I28" s="97"/>
    </row>
    <row r="29" spans="1:10" ht="20.25">
      <c r="C29" s="202" t="s">
        <v>191</v>
      </c>
      <c r="D29" s="202"/>
      <c r="E29" s="202" t="s">
        <v>192</v>
      </c>
      <c r="F29" s="202"/>
      <c r="G29" s="998"/>
      <c r="I29" s="97"/>
    </row>
    <row r="30" spans="1:10">
      <c r="A30" s="654" t="s">
        <v>558</v>
      </c>
      <c r="B30" s="115"/>
      <c r="C30" s="546">
        <f>26295806+19858531</f>
        <v>46154337</v>
      </c>
      <c r="D30" s="546"/>
      <c r="E30" s="546">
        <f>895770+2822950</f>
        <v>3718720</v>
      </c>
      <c r="F30" s="546"/>
      <c r="G30" s="204"/>
      <c r="I30" s="97"/>
    </row>
    <row r="31" spans="1:10" ht="17.25">
      <c r="A31" s="654"/>
      <c r="B31" s="115"/>
      <c r="C31" s="369"/>
      <c r="D31" s="369"/>
      <c r="E31" s="369"/>
      <c r="F31" s="369"/>
      <c r="G31" s="204"/>
      <c r="I31" s="97"/>
    </row>
    <row r="32" spans="1:10" ht="17.25">
      <c r="A32" s="654" t="s">
        <v>643</v>
      </c>
      <c r="B32" s="365"/>
      <c r="C32" s="552">
        <v>26295806</v>
      </c>
      <c r="D32" s="552"/>
      <c r="E32" s="552">
        <v>895770</v>
      </c>
      <c r="F32" s="552"/>
      <c r="G32" s="204"/>
      <c r="I32" s="97"/>
      <c r="J32" s="715"/>
    </row>
    <row r="33" spans="1:10" ht="17.25">
      <c r="A33" s="645" t="s">
        <v>680</v>
      </c>
      <c r="B33" s="365"/>
      <c r="C33" s="369">
        <f>C30-C32</f>
        <v>19858531</v>
      </c>
      <c r="D33" s="369"/>
      <c r="E33" s="369">
        <f>E30-E32</f>
        <v>2822950</v>
      </c>
      <c r="F33" s="369"/>
      <c r="G33" s="204"/>
      <c r="I33" s="97"/>
      <c r="J33" s="715"/>
    </row>
    <row r="34" spans="1:10">
      <c r="A34" s="646"/>
      <c r="B34" s="365"/>
      <c r="C34" s="550"/>
      <c r="D34" s="550"/>
      <c r="E34" s="550"/>
      <c r="F34" s="550"/>
      <c r="G34" s="204"/>
      <c r="I34" s="97"/>
      <c r="J34" s="715"/>
    </row>
    <row r="35" spans="1:10">
      <c r="A35" s="655" t="s">
        <v>570</v>
      </c>
      <c r="B35" s="365"/>
      <c r="C35" s="550"/>
      <c r="D35" s="550"/>
      <c r="E35" s="550"/>
      <c r="F35" s="550"/>
      <c r="G35" s="204"/>
      <c r="I35" s="97"/>
      <c r="J35" s="715"/>
    </row>
    <row r="36" spans="1:10" ht="17.25">
      <c r="A36" s="651" t="s">
        <v>559</v>
      </c>
      <c r="B36" s="365"/>
      <c r="C36" s="546">
        <v>5755</v>
      </c>
      <c r="D36" s="546"/>
      <c r="E36" s="546">
        <v>0</v>
      </c>
      <c r="F36" s="546"/>
      <c r="G36" s="204"/>
      <c r="I36" s="97"/>
      <c r="J36" s="841"/>
    </row>
    <row r="37" spans="1:10">
      <c r="A37" s="872" t="s">
        <v>560</v>
      </c>
      <c r="B37" s="873"/>
      <c r="C37" s="1005">
        <v>0</v>
      </c>
      <c r="D37" s="1005"/>
      <c r="E37" s="1005">
        <v>0</v>
      </c>
      <c r="F37" s="658"/>
      <c r="G37" s="204"/>
      <c r="I37" s="97"/>
    </row>
    <row r="38" spans="1:10">
      <c r="A38" s="651" t="s">
        <v>561</v>
      </c>
      <c r="B38" s="365"/>
      <c r="C38" s="1005">
        <v>-13906</v>
      </c>
      <c r="D38" s="1005"/>
      <c r="E38" s="1005">
        <v>0</v>
      </c>
      <c r="F38" s="658"/>
      <c r="G38" s="204"/>
      <c r="I38" s="97"/>
    </row>
    <row r="39" spans="1:10">
      <c r="A39" s="651" t="s">
        <v>562</v>
      </c>
      <c r="C39" s="1005">
        <v>-50387</v>
      </c>
      <c r="D39" s="1005"/>
      <c r="E39" s="1005">
        <v>0</v>
      </c>
      <c r="F39" s="658"/>
      <c r="G39" s="204"/>
      <c r="I39" s="97"/>
    </row>
    <row r="40" spans="1:10" ht="15.6" customHeight="1">
      <c r="A40" s="651" t="s">
        <v>563</v>
      </c>
      <c r="C40" s="1005">
        <v>106043</v>
      </c>
      <c r="D40" s="1005"/>
      <c r="E40" s="1005">
        <v>21210</v>
      </c>
      <c r="F40" s="658"/>
      <c r="G40" s="204"/>
      <c r="I40" s="97"/>
    </row>
    <row r="41" spans="1:10">
      <c r="A41" s="651" t="s">
        <v>564</v>
      </c>
      <c r="C41" s="1005">
        <v>17319721</v>
      </c>
      <c r="D41" s="1005"/>
      <c r="E41" s="1005">
        <v>0</v>
      </c>
      <c r="F41" s="658"/>
      <c r="G41" s="204"/>
      <c r="I41" s="97"/>
    </row>
    <row r="42" spans="1:10">
      <c r="A42" s="651" t="s">
        <v>565</v>
      </c>
      <c r="C42" s="1005">
        <v>0</v>
      </c>
      <c r="D42" s="1005"/>
      <c r="E42" s="1005"/>
      <c r="F42" s="658"/>
      <c r="G42" s="204"/>
      <c r="I42" s="97"/>
    </row>
    <row r="43" spans="1:10">
      <c r="A43" s="651" t="s">
        <v>572</v>
      </c>
      <c r="C43" s="1005">
        <v>1756859</v>
      </c>
      <c r="D43" s="1005"/>
      <c r="E43" s="1005">
        <v>0</v>
      </c>
      <c r="F43" s="658"/>
      <c r="G43" s="204"/>
      <c r="I43" s="97"/>
    </row>
    <row r="44" spans="1:10">
      <c r="A44" s="651" t="s">
        <v>566</v>
      </c>
      <c r="C44" s="1005">
        <v>0</v>
      </c>
      <c r="D44" s="1005"/>
      <c r="E44" s="1005">
        <v>0</v>
      </c>
      <c r="F44" s="658"/>
      <c r="G44" s="204"/>
      <c r="I44" s="97"/>
    </row>
    <row r="45" spans="1:10">
      <c r="A45" s="651" t="s">
        <v>567</v>
      </c>
      <c r="C45" s="1005">
        <v>176546</v>
      </c>
      <c r="D45" s="1005"/>
      <c r="E45" s="1005">
        <v>58642</v>
      </c>
      <c r="F45" s="658"/>
      <c r="G45" s="204"/>
      <c r="I45" s="97"/>
    </row>
    <row r="46" spans="1:10">
      <c r="A46" s="651" t="s">
        <v>568</v>
      </c>
      <c r="C46" s="1005">
        <v>0</v>
      </c>
      <c r="D46" s="1005"/>
      <c r="E46" s="1005">
        <f>2715501-1</f>
        <v>2715500</v>
      </c>
      <c r="F46" s="658"/>
      <c r="G46" s="446"/>
      <c r="I46" s="97"/>
    </row>
    <row r="47" spans="1:10">
      <c r="A47" s="651" t="s">
        <v>598</v>
      </c>
      <c r="C47" s="1005">
        <v>0</v>
      </c>
      <c r="D47" s="1005"/>
      <c r="E47" s="1005">
        <v>0</v>
      </c>
      <c r="F47" s="658"/>
      <c r="G47" s="446"/>
      <c r="I47" s="97"/>
    </row>
    <row r="48" spans="1:10" ht="17.25">
      <c r="A48" s="651" t="s">
        <v>639</v>
      </c>
      <c r="B48" s="365"/>
      <c r="C48" s="1006">
        <v>0</v>
      </c>
      <c r="D48" s="1006"/>
      <c r="E48" s="1006">
        <v>0</v>
      </c>
      <c r="F48" s="650"/>
      <c r="G48" s="999"/>
      <c r="H48" s="408"/>
      <c r="I48" s="97"/>
    </row>
    <row r="49" spans="1:11" ht="17.25">
      <c r="A49" s="655" t="s">
        <v>571</v>
      </c>
      <c r="B49" s="365"/>
      <c r="C49" s="369">
        <f>SUM(C36:C48)</f>
        <v>19300631</v>
      </c>
      <c r="D49" s="369"/>
      <c r="E49" s="369">
        <f>SUM(E36:E48)</f>
        <v>2795352</v>
      </c>
      <c r="F49" s="369"/>
      <c r="G49" s="999"/>
      <c r="H49" s="408"/>
      <c r="I49" s="97"/>
    </row>
    <row r="50" spans="1:11" s="407" customFormat="1">
      <c r="A50" s="646"/>
      <c r="B50" s="365"/>
      <c r="C50" s="408"/>
      <c r="D50" s="408"/>
      <c r="E50" s="408"/>
      <c r="F50" s="408"/>
      <c r="G50" s="999"/>
      <c r="H50" s="408"/>
      <c r="I50" s="97"/>
      <c r="K50" s="110"/>
    </row>
    <row r="51" spans="1:11" ht="17.25">
      <c r="A51" s="649" t="s">
        <v>569</v>
      </c>
      <c r="B51" s="204"/>
      <c r="C51" s="369">
        <f>C33-C49</f>
        <v>557900</v>
      </c>
      <c r="D51" s="648"/>
      <c r="E51" s="369">
        <f>E33-E49</f>
        <v>27598</v>
      </c>
      <c r="F51" s="369"/>
      <c r="G51" s="204"/>
      <c r="I51" s="97"/>
    </row>
    <row r="52" spans="1:11" ht="20.25">
      <c r="A52" s="204"/>
      <c r="B52" s="204"/>
      <c r="C52" s="202"/>
      <c r="D52" s="202"/>
      <c r="E52" s="202"/>
      <c r="F52" s="202"/>
      <c r="G52" s="204"/>
      <c r="I52" s="97"/>
    </row>
    <row r="53" spans="1:11">
      <c r="A53" s="446"/>
      <c r="B53" s="446"/>
      <c r="G53" s="204"/>
      <c r="I53" s="97"/>
    </row>
    <row r="54" spans="1:11">
      <c r="A54" s="446"/>
      <c r="B54" s="446"/>
      <c r="C54" s="447">
        <v>557900</v>
      </c>
      <c r="D54" s="447"/>
      <c r="E54" s="447">
        <v>27598</v>
      </c>
      <c r="F54" s="447"/>
      <c r="G54" s="204"/>
      <c r="I54" s="97"/>
    </row>
    <row r="55" spans="1:11">
      <c r="A55" s="446"/>
      <c r="B55" s="446"/>
      <c r="C55" s="447"/>
      <c r="D55" s="447"/>
      <c r="E55" s="447"/>
      <c r="F55" s="447"/>
      <c r="G55" s="204"/>
      <c r="I55" s="97"/>
    </row>
    <row r="56" spans="1:11">
      <c r="A56" s="446"/>
      <c r="B56" s="446"/>
      <c r="C56" s="447"/>
      <c r="D56" s="447"/>
      <c r="E56" s="447"/>
      <c r="F56" s="447"/>
      <c r="G56" s="204"/>
      <c r="I56" s="97"/>
    </row>
    <row r="57" spans="1:11">
      <c r="A57" s="446"/>
      <c r="B57" s="446"/>
      <c r="C57" s="447"/>
      <c r="D57" s="447"/>
      <c r="E57" s="447"/>
      <c r="F57" s="447"/>
      <c r="G57" s="204"/>
      <c r="I57" s="97"/>
    </row>
    <row r="58" spans="1:11">
      <c r="A58" s="446"/>
      <c r="B58" s="446"/>
      <c r="C58" s="447"/>
      <c r="D58" s="447"/>
      <c r="E58" s="447"/>
      <c r="F58" s="447"/>
      <c r="G58" s="204"/>
      <c r="I58" s="97"/>
    </row>
    <row r="59" spans="1:11">
      <c r="A59" s="446"/>
      <c r="B59" s="446"/>
      <c r="C59" s="447"/>
      <c r="D59" s="447"/>
      <c r="E59" s="447"/>
      <c r="F59" s="447"/>
      <c r="G59" s="204"/>
      <c r="I59" s="97"/>
    </row>
    <row r="60" spans="1:11">
      <c r="A60" s="204"/>
      <c r="B60" s="204"/>
      <c r="C60" s="447"/>
      <c r="D60" s="447"/>
      <c r="E60" s="448"/>
      <c r="F60" s="448"/>
      <c r="G60" s="204"/>
      <c r="I60" s="97"/>
    </row>
    <row r="61" spans="1:11" ht="15.75">
      <c r="A61" s="449"/>
      <c r="B61" s="446"/>
      <c r="C61" s="450"/>
      <c r="D61" s="450"/>
      <c r="E61" s="450"/>
      <c r="F61" s="450"/>
      <c r="G61" s="204"/>
      <c r="I61" s="97"/>
    </row>
    <row r="62" spans="1:11">
      <c r="A62" s="446"/>
      <c r="B62" s="446"/>
      <c r="C62" s="448"/>
      <c r="D62" s="448"/>
      <c r="E62" s="448"/>
      <c r="F62" s="448"/>
      <c r="G62" s="204"/>
      <c r="I62" s="97"/>
    </row>
    <row r="63" spans="1:11">
      <c r="A63" s="446"/>
      <c r="B63" s="446"/>
      <c r="C63" s="447"/>
      <c r="D63" s="447"/>
      <c r="E63" s="447"/>
      <c r="F63" s="447"/>
      <c r="G63" s="204"/>
      <c r="I63" s="97"/>
    </row>
    <row r="64" spans="1:11" ht="17.25">
      <c r="A64" s="446"/>
      <c r="B64" s="446"/>
      <c r="C64" s="451"/>
      <c r="D64" s="451"/>
      <c r="E64" s="451"/>
      <c r="F64" s="451"/>
      <c r="G64" s="204"/>
      <c r="I64" s="97"/>
    </row>
    <row r="65" spans="1:7">
      <c r="A65" s="446"/>
      <c r="B65" s="446"/>
      <c r="C65" s="452"/>
      <c r="D65" s="452"/>
      <c r="E65" s="452"/>
      <c r="F65" s="452"/>
      <c r="G65" s="204"/>
    </row>
    <row r="66" spans="1:7">
      <c r="A66" s="204"/>
      <c r="B66" s="204"/>
      <c r="C66" s="452"/>
      <c r="D66" s="452"/>
      <c r="E66" s="452"/>
      <c r="F66" s="452"/>
      <c r="G66" s="204"/>
    </row>
    <row r="67" spans="1:7">
      <c r="A67" s="204"/>
      <c r="B67" s="204"/>
      <c r="C67" s="452"/>
      <c r="D67" s="452"/>
      <c r="E67" s="452"/>
      <c r="F67" s="452"/>
      <c r="G67" s="204"/>
    </row>
    <row r="68" spans="1:7">
      <c r="A68" s="204"/>
      <c r="B68" s="204"/>
      <c r="E68" s="452"/>
      <c r="F68" s="452"/>
      <c r="G68" s="204"/>
    </row>
    <row r="69" spans="1:7">
      <c r="A69" s="446"/>
      <c r="B69" s="446"/>
      <c r="C69" s="447"/>
      <c r="D69" s="447"/>
      <c r="E69" s="447"/>
      <c r="F69" s="447"/>
      <c r="G69" s="204"/>
    </row>
    <row r="70" spans="1:7">
      <c r="A70" s="446"/>
      <c r="B70" s="446"/>
      <c r="C70" s="447"/>
      <c r="D70" s="447"/>
      <c r="E70" s="447"/>
      <c r="F70" s="447"/>
      <c r="G70" s="204"/>
    </row>
    <row r="71" spans="1:7">
      <c r="A71" s="446"/>
      <c r="B71" s="446"/>
      <c r="C71" s="452"/>
      <c r="D71" s="447"/>
      <c r="E71" s="452"/>
      <c r="F71" s="452"/>
      <c r="G71" s="204"/>
    </row>
    <row r="72" spans="1:7">
      <c r="A72" s="446"/>
      <c r="B72" s="446"/>
      <c r="C72" s="447"/>
      <c r="D72" s="447"/>
      <c r="E72" s="447"/>
      <c r="F72" s="447"/>
      <c r="G72" s="204"/>
    </row>
    <row r="73" spans="1:7">
      <c r="A73" s="446"/>
      <c r="B73" s="446"/>
      <c r="C73" s="447"/>
      <c r="D73" s="447"/>
      <c r="E73" s="447"/>
      <c r="F73" s="447"/>
      <c r="G73" s="204"/>
    </row>
    <row r="74" spans="1:7">
      <c r="A74" s="446"/>
      <c r="B74" s="446"/>
      <c r="C74" s="447"/>
      <c r="D74" s="447"/>
      <c r="E74" s="447"/>
      <c r="F74" s="447"/>
      <c r="G74" s="204"/>
    </row>
    <row r="75" spans="1:7" ht="17.25">
      <c r="A75" s="446"/>
      <c r="B75" s="446"/>
      <c r="C75" s="453"/>
      <c r="D75" s="453"/>
      <c r="E75" s="453"/>
      <c r="F75" s="453"/>
      <c r="G75" s="204"/>
    </row>
    <row r="76" spans="1:7">
      <c r="A76" s="446"/>
      <c r="B76" s="446"/>
      <c r="C76" s="450"/>
      <c r="D76" s="450"/>
      <c r="E76" s="450"/>
      <c r="F76" s="450"/>
      <c r="G76" s="204"/>
    </row>
    <row r="77" spans="1:7">
      <c r="A77" s="204"/>
      <c r="B77" s="204"/>
      <c r="G77" s="204"/>
    </row>
    <row r="78" spans="1:7">
      <c r="A78" s="204"/>
      <c r="B78" s="204"/>
      <c r="G78" s="204"/>
    </row>
    <row r="79" spans="1:7">
      <c r="A79" s="204"/>
      <c r="B79" s="204"/>
      <c r="C79" s="450"/>
      <c r="G79" s="204"/>
    </row>
  </sheetData>
  <phoneticPr fontId="40" type="noConversion"/>
  <pageMargins left="1" right="1" top="1" bottom="1" header="0.5" footer="0.5"/>
  <pageSetup scale="76" orientation="portrait" blackAndWhite="1" r:id="rId1"/>
  <headerFooter alignWithMargins="0"/>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pageSetUpPr fitToPage="1"/>
  </sheetPr>
  <dimension ref="A1:L27"/>
  <sheetViews>
    <sheetView zoomScale="80" zoomScaleNormal="80" workbookViewId="0"/>
  </sheetViews>
  <sheetFormatPr defaultRowHeight="14.25"/>
  <cols>
    <col min="1" max="1" width="57" style="252" customWidth="1"/>
    <col min="2" max="2" width="16" style="252" bestFit="1" customWidth="1"/>
    <col min="3" max="3" width="2.77734375" style="252" customWidth="1"/>
    <col min="4" max="4" width="5.77734375" style="252" customWidth="1"/>
    <col min="5" max="5" width="5.44140625" style="252" customWidth="1"/>
    <col min="6" max="245" width="8.77734375" style="252"/>
    <col min="246" max="246" width="54.6640625" style="252" customWidth="1"/>
    <col min="247" max="247" width="13.77734375" style="252" customWidth="1"/>
    <col min="248" max="248" width="0" style="252" hidden="1" customWidth="1"/>
    <col min="249" max="249" width="6.6640625" style="252" customWidth="1"/>
    <col min="250" max="250" width="15" style="252" customWidth="1"/>
    <col min="251" max="251" width="3.6640625" style="252" bestFit="1" customWidth="1"/>
    <col min="252" max="252" width="15.44140625" style="252" bestFit="1" customWidth="1"/>
    <col min="253" max="253" width="3.77734375" style="252" customWidth="1"/>
    <col min="254" max="254" width="11.21875" style="252" bestFit="1" customWidth="1"/>
    <col min="255" max="255" width="3.6640625" style="252" customWidth="1"/>
    <col min="256" max="256" width="13.5546875" style="252" customWidth="1"/>
    <col min="257" max="257" width="1" style="252" customWidth="1"/>
    <col min="258" max="258" width="14.21875" style="252" bestFit="1" customWidth="1"/>
    <col min="259" max="259" width="3.33203125" style="252" customWidth="1"/>
    <col min="260" max="260" width="20.44140625" style="252" customWidth="1"/>
    <col min="261" max="501" width="8.77734375" style="252"/>
    <col min="502" max="502" width="54.6640625" style="252" customWidth="1"/>
    <col min="503" max="503" width="13.77734375" style="252" customWidth="1"/>
    <col min="504" max="504" width="0" style="252" hidden="1" customWidth="1"/>
    <col min="505" max="505" width="6.6640625" style="252" customWidth="1"/>
    <col min="506" max="506" width="15" style="252" customWidth="1"/>
    <col min="507" max="507" width="3.6640625" style="252" bestFit="1" customWidth="1"/>
    <col min="508" max="508" width="15.44140625" style="252" bestFit="1" customWidth="1"/>
    <col min="509" max="509" width="3.77734375" style="252" customWidth="1"/>
    <col min="510" max="510" width="11.21875" style="252" bestFit="1" customWidth="1"/>
    <col min="511" max="511" width="3.6640625" style="252" customWidth="1"/>
    <col min="512" max="512" width="13.5546875" style="252" customWidth="1"/>
    <col min="513" max="513" width="1" style="252" customWidth="1"/>
    <col min="514" max="514" width="14.21875" style="252" bestFit="1" customWidth="1"/>
    <col min="515" max="515" width="3.33203125" style="252" customWidth="1"/>
    <col min="516" max="516" width="20.44140625" style="252" customWidth="1"/>
    <col min="517" max="757" width="8.77734375" style="252"/>
    <col min="758" max="758" width="54.6640625" style="252" customWidth="1"/>
    <col min="759" max="759" width="13.77734375" style="252" customWidth="1"/>
    <col min="760" max="760" width="0" style="252" hidden="1" customWidth="1"/>
    <col min="761" max="761" width="6.6640625" style="252" customWidth="1"/>
    <col min="762" max="762" width="15" style="252" customWidth="1"/>
    <col min="763" max="763" width="3.6640625" style="252" bestFit="1" customWidth="1"/>
    <col min="764" max="764" width="15.44140625" style="252" bestFit="1" customWidth="1"/>
    <col min="765" max="765" width="3.77734375" style="252" customWidth="1"/>
    <col min="766" max="766" width="11.21875" style="252" bestFit="1" customWidth="1"/>
    <col min="767" max="767" width="3.6640625" style="252" customWidth="1"/>
    <col min="768" max="768" width="13.5546875" style="252" customWidth="1"/>
    <col min="769" max="769" width="1" style="252" customWidth="1"/>
    <col min="770" max="770" width="14.21875" style="252" bestFit="1" customWidth="1"/>
    <col min="771" max="771" width="3.33203125" style="252" customWidth="1"/>
    <col min="772" max="772" width="20.44140625" style="252" customWidth="1"/>
    <col min="773" max="1013" width="8.77734375" style="252"/>
    <col min="1014" max="1014" width="54.6640625" style="252" customWidth="1"/>
    <col min="1015" max="1015" width="13.77734375" style="252" customWidth="1"/>
    <col min="1016" max="1016" width="0" style="252" hidden="1" customWidth="1"/>
    <col min="1017" max="1017" width="6.6640625" style="252" customWidth="1"/>
    <col min="1018" max="1018" width="15" style="252" customWidth="1"/>
    <col min="1019" max="1019" width="3.6640625" style="252" bestFit="1" customWidth="1"/>
    <col min="1020" max="1020" width="15.44140625" style="252" bestFit="1" customWidth="1"/>
    <col min="1021" max="1021" width="3.77734375" style="252" customWidth="1"/>
    <col min="1022" max="1022" width="11.21875" style="252" bestFit="1" customWidth="1"/>
    <col min="1023" max="1023" width="3.6640625" style="252" customWidth="1"/>
    <col min="1024" max="1024" width="13.5546875" style="252" customWidth="1"/>
    <col min="1025" max="1025" width="1" style="252" customWidth="1"/>
    <col min="1026" max="1026" width="14.21875" style="252" bestFit="1" customWidth="1"/>
    <col min="1027" max="1027" width="3.33203125" style="252" customWidth="1"/>
    <col min="1028" max="1028" width="20.44140625" style="252" customWidth="1"/>
    <col min="1029" max="1269" width="8.77734375" style="252"/>
    <col min="1270" max="1270" width="54.6640625" style="252" customWidth="1"/>
    <col min="1271" max="1271" width="13.77734375" style="252" customWidth="1"/>
    <col min="1272" max="1272" width="0" style="252" hidden="1" customWidth="1"/>
    <col min="1273" max="1273" width="6.6640625" style="252" customWidth="1"/>
    <col min="1274" max="1274" width="15" style="252" customWidth="1"/>
    <col min="1275" max="1275" width="3.6640625" style="252" bestFit="1" customWidth="1"/>
    <col min="1276" max="1276" width="15.44140625" style="252" bestFit="1" customWidth="1"/>
    <col min="1277" max="1277" width="3.77734375" style="252" customWidth="1"/>
    <col min="1278" max="1278" width="11.21875" style="252" bestFit="1" customWidth="1"/>
    <col min="1279" max="1279" width="3.6640625" style="252" customWidth="1"/>
    <col min="1280" max="1280" width="13.5546875" style="252" customWidth="1"/>
    <col min="1281" max="1281" width="1" style="252" customWidth="1"/>
    <col min="1282" max="1282" width="14.21875" style="252" bestFit="1" customWidth="1"/>
    <col min="1283" max="1283" width="3.33203125" style="252" customWidth="1"/>
    <col min="1284" max="1284" width="20.44140625" style="252" customWidth="1"/>
    <col min="1285" max="1525" width="8.77734375" style="252"/>
    <col min="1526" max="1526" width="54.6640625" style="252" customWidth="1"/>
    <col min="1527" max="1527" width="13.77734375" style="252" customWidth="1"/>
    <col min="1528" max="1528" width="0" style="252" hidden="1" customWidth="1"/>
    <col min="1529" max="1529" width="6.6640625" style="252" customWidth="1"/>
    <col min="1530" max="1530" width="15" style="252" customWidth="1"/>
    <col min="1531" max="1531" width="3.6640625" style="252" bestFit="1" customWidth="1"/>
    <col min="1532" max="1532" width="15.44140625" style="252" bestFit="1" customWidth="1"/>
    <col min="1533" max="1533" width="3.77734375" style="252" customWidth="1"/>
    <col min="1534" max="1534" width="11.21875" style="252" bestFit="1" customWidth="1"/>
    <col min="1535" max="1535" width="3.6640625" style="252" customWidth="1"/>
    <col min="1536" max="1536" width="13.5546875" style="252" customWidth="1"/>
    <col min="1537" max="1537" width="1" style="252" customWidth="1"/>
    <col min="1538" max="1538" width="14.21875" style="252" bestFit="1" customWidth="1"/>
    <col min="1539" max="1539" width="3.33203125" style="252" customWidth="1"/>
    <col min="1540" max="1540" width="20.44140625" style="252" customWidth="1"/>
    <col min="1541" max="1781" width="8.77734375" style="252"/>
    <col min="1782" max="1782" width="54.6640625" style="252" customWidth="1"/>
    <col min="1783" max="1783" width="13.77734375" style="252" customWidth="1"/>
    <col min="1784" max="1784" width="0" style="252" hidden="1" customWidth="1"/>
    <col min="1785" max="1785" width="6.6640625" style="252" customWidth="1"/>
    <col min="1786" max="1786" width="15" style="252" customWidth="1"/>
    <col min="1787" max="1787" width="3.6640625" style="252" bestFit="1" customWidth="1"/>
    <col min="1788" max="1788" width="15.44140625" style="252" bestFit="1" customWidth="1"/>
    <col min="1789" max="1789" width="3.77734375" style="252" customWidth="1"/>
    <col min="1790" max="1790" width="11.21875" style="252" bestFit="1" customWidth="1"/>
    <col min="1791" max="1791" width="3.6640625" style="252" customWidth="1"/>
    <col min="1792" max="1792" width="13.5546875" style="252" customWidth="1"/>
    <col min="1793" max="1793" width="1" style="252" customWidth="1"/>
    <col min="1794" max="1794" width="14.21875" style="252" bestFit="1" customWidth="1"/>
    <col min="1795" max="1795" width="3.33203125" style="252" customWidth="1"/>
    <col min="1796" max="1796" width="20.44140625" style="252" customWidth="1"/>
    <col min="1797" max="2037" width="8.77734375" style="252"/>
    <col min="2038" max="2038" width="54.6640625" style="252" customWidth="1"/>
    <col min="2039" max="2039" width="13.77734375" style="252" customWidth="1"/>
    <col min="2040" max="2040" width="0" style="252" hidden="1" customWidth="1"/>
    <col min="2041" max="2041" width="6.6640625" style="252" customWidth="1"/>
    <col min="2042" max="2042" width="15" style="252" customWidth="1"/>
    <col min="2043" max="2043" width="3.6640625" style="252" bestFit="1" customWidth="1"/>
    <col min="2044" max="2044" width="15.44140625" style="252" bestFit="1" customWidth="1"/>
    <col min="2045" max="2045" width="3.77734375" style="252" customWidth="1"/>
    <col min="2046" max="2046" width="11.21875" style="252" bestFit="1" customWidth="1"/>
    <col min="2047" max="2047" width="3.6640625" style="252" customWidth="1"/>
    <col min="2048" max="2048" width="13.5546875" style="252" customWidth="1"/>
    <col min="2049" max="2049" width="1" style="252" customWidth="1"/>
    <col min="2050" max="2050" width="14.21875" style="252" bestFit="1" customWidth="1"/>
    <col min="2051" max="2051" width="3.33203125" style="252" customWidth="1"/>
    <col min="2052" max="2052" width="20.44140625" style="252" customWidth="1"/>
    <col min="2053" max="2293" width="8.77734375" style="252"/>
    <col min="2294" max="2294" width="54.6640625" style="252" customWidth="1"/>
    <col min="2295" max="2295" width="13.77734375" style="252" customWidth="1"/>
    <col min="2296" max="2296" width="0" style="252" hidden="1" customWidth="1"/>
    <col min="2297" max="2297" width="6.6640625" style="252" customWidth="1"/>
    <col min="2298" max="2298" width="15" style="252" customWidth="1"/>
    <col min="2299" max="2299" width="3.6640625" style="252" bestFit="1" customWidth="1"/>
    <col min="2300" max="2300" width="15.44140625" style="252" bestFit="1" customWidth="1"/>
    <col min="2301" max="2301" width="3.77734375" style="252" customWidth="1"/>
    <col min="2302" max="2302" width="11.21875" style="252" bestFit="1" customWidth="1"/>
    <col min="2303" max="2303" width="3.6640625" style="252" customWidth="1"/>
    <col min="2304" max="2304" width="13.5546875" style="252" customWidth="1"/>
    <col min="2305" max="2305" width="1" style="252" customWidth="1"/>
    <col min="2306" max="2306" width="14.21875" style="252" bestFit="1" customWidth="1"/>
    <col min="2307" max="2307" width="3.33203125" style="252" customWidth="1"/>
    <col min="2308" max="2308" width="20.44140625" style="252" customWidth="1"/>
    <col min="2309" max="2549" width="8.77734375" style="252"/>
    <col min="2550" max="2550" width="54.6640625" style="252" customWidth="1"/>
    <col min="2551" max="2551" width="13.77734375" style="252" customWidth="1"/>
    <col min="2552" max="2552" width="0" style="252" hidden="1" customWidth="1"/>
    <col min="2553" max="2553" width="6.6640625" style="252" customWidth="1"/>
    <col min="2554" max="2554" width="15" style="252" customWidth="1"/>
    <col min="2555" max="2555" width="3.6640625" style="252" bestFit="1" customWidth="1"/>
    <col min="2556" max="2556" width="15.44140625" style="252" bestFit="1" customWidth="1"/>
    <col min="2557" max="2557" width="3.77734375" style="252" customWidth="1"/>
    <col min="2558" max="2558" width="11.21875" style="252" bestFit="1" customWidth="1"/>
    <col min="2559" max="2559" width="3.6640625" style="252" customWidth="1"/>
    <col min="2560" max="2560" width="13.5546875" style="252" customWidth="1"/>
    <col min="2561" max="2561" width="1" style="252" customWidth="1"/>
    <col min="2562" max="2562" width="14.21875" style="252" bestFit="1" customWidth="1"/>
    <col min="2563" max="2563" width="3.33203125" style="252" customWidth="1"/>
    <col min="2564" max="2564" width="20.44140625" style="252" customWidth="1"/>
    <col min="2565" max="2805" width="8.77734375" style="252"/>
    <col min="2806" max="2806" width="54.6640625" style="252" customWidth="1"/>
    <col min="2807" max="2807" width="13.77734375" style="252" customWidth="1"/>
    <col min="2808" max="2808" width="0" style="252" hidden="1" customWidth="1"/>
    <col min="2809" max="2809" width="6.6640625" style="252" customWidth="1"/>
    <col min="2810" max="2810" width="15" style="252" customWidth="1"/>
    <col min="2811" max="2811" width="3.6640625" style="252" bestFit="1" customWidth="1"/>
    <col min="2812" max="2812" width="15.44140625" style="252" bestFit="1" customWidth="1"/>
    <col min="2813" max="2813" width="3.77734375" style="252" customWidth="1"/>
    <col min="2814" max="2814" width="11.21875" style="252" bestFit="1" customWidth="1"/>
    <col min="2815" max="2815" width="3.6640625" style="252" customWidth="1"/>
    <col min="2816" max="2816" width="13.5546875" style="252" customWidth="1"/>
    <col min="2817" max="2817" width="1" style="252" customWidth="1"/>
    <col min="2818" max="2818" width="14.21875" style="252" bestFit="1" customWidth="1"/>
    <col min="2819" max="2819" width="3.33203125" style="252" customWidth="1"/>
    <col min="2820" max="2820" width="20.44140625" style="252" customWidth="1"/>
    <col min="2821" max="3061" width="8.77734375" style="252"/>
    <col min="3062" max="3062" width="54.6640625" style="252" customWidth="1"/>
    <col min="3063" max="3063" width="13.77734375" style="252" customWidth="1"/>
    <col min="3064" max="3064" width="0" style="252" hidden="1" customWidth="1"/>
    <col min="3065" max="3065" width="6.6640625" style="252" customWidth="1"/>
    <col min="3066" max="3066" width="15" style="252" customWidth="1"/>
    <col min="3067" max="3067" width="3.6640625" style="252" bestFit="1" customWidth="1"/>
    <col min="3068" max="3068" width="15.44140625" style="252" bestFit="1" customWidth="1"/>
    <col min="3069" max="3069" width="3.77734375" style="252" customWidth="1"/>
    <col min="3070" max="3070" width="11.21875" style="252" bestFit="1" customWidth="1"/>
    <col min="3071" max="3071" width="3.6640625" style="252" customWidth="1"/>
    <col min="3072" max="3072" width="13.5546875" style="252" customWidth="1"/>
    <col min="3073" max="3073" width="1" style="252" customWidth="1"/>
    <col min="3074" max="3074" width="14.21875" style="252" bestFit="1" customWidth="1"/>
    <col min="3075" max="3075" width="3.33203125" style="252" customWidth="1"/>
    <col min="3076" max="3076" width="20.44140625" style="252" customWidth="1"/>
    <col min="3077" max="3317" width="8.77734375" style="252"/>
    <col min="3318" max="3318" width="54.6640625" style="252" customWidth="1"/>
    <col min="3319" max="3319" width="13.77734375" style="252" customWidth="1"/>
    <col min="3320" max="3320" width="0" style="252" hidden="1" customWidth="1"/>
    <col min="3321" max="3321" width="6.6640625" style="252" customWidth="1"/>
    <col min="3322" max="3322" width="15" style="252" customWidth="1"/>
    <col min="3323" max="3323" width="3.6640625" style="252" bestFit="1" customWidth="1"/>
    <col min="3324" max="3324" width="15.44140625" style="252" bestFit="1" customWidth="1"/>
    <col min="3325" max="3325" width="3.77734375" style="252" customWidth="1"/>
    <col min="3326" max="3326" width="11.21875" style="252" bestFit="1" customWidth="1"/>
    <col min="3327" max="3327" width="3.6640625" style="252" customWidth="1"/>
    <col min="3328" max="3328" width="13.5546875" style="252" customWidth="1"/>
    <col min="3329" max="3329" width="1" style="252" customWidth="1"/>
    <col min="3330" max="3330" width="14.21875" style="252" bestFit="1" customWidth="1"/>
    <col min="3331" max="3331" width="3.33203125" style="252" customWidth="1"/>
    <col min="3332" max="3332" width="20.44140625" style="252" customWidth="1"/>
    <col min="3333" max="3573" width="8.77734375" style="252"/>
    <col min="3574" max="3574" width="54.6640625" style="252" customWidth="1"/>
    <col min="3575" max="3575" width="13.77734375" style="252" customWidth="1"/>
    <col min="3576" max="3576" width="0" style="252" hidden="1" customWidth="1"/>
    <col min="3577" max="3577" width="6.6640625" style="252" customWidth="1"/>
    <col min="3578" max="3578" width="15" style="252" customWidth="1"/>
    <col min="3579" max="3579" width="3.6640625" style="252" bestFit="1" customWidth="1"/>
    <col min="3580" max="3580" width="15.44140625" style="252" bestFit="1" customWidth="1"/>
    <col min="3581" max="3581" width="3.77734375" style="252" customWidth="1"/>
    <col min="3582" max="3582" width="11.21875" style="252" bestFit="1" customWidth="1"/>
    <col min="3583" max="3583" width="3.6640625" style="252" customWidth="1"/>
    <col min="3584" max="3584" width="13.5546875" style="252" customWidth="1"/>
    <col min="3585" max="3585" width="1" style="252" customWidth="1"/>
    <col min="3586" max="3586" width="14.21875" style="252" bestFit="1" customWidth="1"/>
    <col min="3587" max="3587" width="3.33203125" style="252" customWidth="1"/>
    <col min="3588" max="3588" width="20.44140625" style="252" customWidth="1"/>
    <col min="3589" max="3829" width="8.77734375" style="252"/>
    <col min="3830" max="3830" width="54.6640625" style="252" customWidth="1"/>
    <col min="3831" max="3831" width="13.77734375" style="252" customWidth="1"/>
    <col min="3832" max="3832" width="0" style="252" hidden="1" customWidth="1"/>
    <col min="3833" max="3833" width="6.6640625" style="252" customWidth="1"/>
    <col min="3834" max="3834" width="15" style="252" customWidth="1"/>
    <col min="3835" max="3835" width="3.6640625" style="252" bestFit="1" customWidth="1"/>
    <col min="3836" max="3836" width="15.44140625" style="252" bestFit="1" customWidth="1"/>
    <col min="3837" max="3837" width="3.77734375" style="252" customWidth="1"/>
    <col min="3838" max="3838" width="11.21875" style="252" bestFit="1" customWidth="1"/>
    <col min="3839" max="3839" width="3.6640625" style="252" customWidth="1"/>
    <col min="3840" max="3840" width="13.5546875" style="252" customWidth="1"/>
    <col min="3841" max="3841" width="1" style="252" customWidth="1"/>
    <col min="3842" max="3842" width="14.21875" style="252" bestFit="1" customWidth="1"/>
    <col min="3843" max="3843" width="3.33203125" style="252" customWidth="1"/>
    <col min="3844" max="3844" width="20.44140625" style="252" customWidth="1"/>
    <col min="3845" max="4085" width="8.77734375" style="252"/>
    <col min="4086" max="4086" width="54.6640625" style="252" customWidth="1"/>
    <col min="4087" max="4087" width="13.77734375" style="252" customWidth="1"/>
    <col min="4088" max="4088" width="0" style="252" hidden="1" customWidth="1"/>
    <col min="4089" max="4089" width="6.6640625" style="252" customWidth="1"/>
    <col min="4090" max="4090" width="15" style="252" customWidth="1"/>
    <col min="4091" max="4091" width="3.6640625" style="252" bestFit="1" customWidth="1"/>
    <col min="4092" max="4092" width="15.44140625" style="252" bestFit="1" customWidth="1"/>
    <col min="4093" max="4093" width="3.77734375" style="252" customWidth="1"/>
    <col min="4094" max="4094" width="11.21875" style="252" bestFit="1" customWidth="1"/>
    <col min="4095" max="4095" width="3.6640625" style="252" customWidth="1"/>
    <col min="4096" max="4096" width="13.5546875" style="252" customWidth="1"/>
    <col min="4097" max="4097" width="1" style="252" customWidth="1"/>
    <col min="4098" max="4098" width="14.21875" style="252" bestFit="1" customWidth="1"/>
    <col min="4099" max="4099" width="3.33203125" style="252" customWidth="1"/>
    <col min="4100" max="4100" width="20.44140625" style="252" customWidth="1"/>
    <col min="4101" max="4341" width="8.77734375" style="252"/>
    <col min="4342" max="4342" width="54.6640625" style="252" customWidth="1"/>
    <col min="4343" max="4343" width="13.77734375" style="252" customWidth="1"/>
    <col min="4344" max="4344" width="0" style="252" hidden="1" customWidth="1"/>
    <col min="4345" max="4345" width="6.6640625" style="252" customWidth="1"/>
    <col min="4346" max="4346" width="15" style="252" customWidth="1"/>
    <col min="4347" max="4347" width="3.6640625" style="252" bestFit="1" customWidth="1"/>
    <col min="4348" max="4348" width="15.44140625" style="252" bestFit="1" customWidth="1"/>
    <col min="4349" max="4349" width="3.77734375" style="252" customWidth="1"/>
    <col min="4350" max="4350" width="11.21875" style="252" bestFit="1" customWidth="1"/>
    <col min="4351" max="4351" width="3.6640625" style="252" customWidth="1"/>
    <col min="4352" max="4352" width="13.5546875" style="252" customWidth="1"/>
    <col min="4353" max="4353" width="1" style="252" customWidth="1"/>
    <col min="4354" max="4354" width="14.21875" style="252" bestFit="1" customWidth="1"/>
    <col min="4355" max="4355" width="3.33203125" style="252" customWidth="1"/>
    <col min="4356" max="4356" width="20.44140625" style="252" customWidth="1"/>
    <col min="4357" max="4597" width="8.77734375" style="252"/>
    <col min="4598" max="4598" width="54.6640625" style="252" customWidth="1"/>
    <col min="4599" max="4599" width="13.77734375" style="252" customWidth="1"/>
    <col min="4600" max="4600" width="0" style="252" hidden="1" customWidth="1"/>
    <col min="4601" max="4601" width="6.6640625" style="252" customWidth="1"/>
    <col min="4602" max="4602" width="15" style="252" customWidth="1"/>
    <col min="4603" max="4603" width="3.6640625" style="252" bestFit="1" customWidth="1"/>
    <col min="4604" max="4604" width="15.44140625" style="252" bestFit="1" customWidth="1"/>
    <col min="4605" max="4605" width="3.77734375" style="252" customWidth="1"/>
    <col min="4606" max="4606" width="11.21875" style="252" bestFit="1" customWidth="1"/>
    <col min="4607" max="4607" width="3.6640625" style="252" customWidth="1"/>
    <col min="4608" max="4608" width="13.5546875" style="252" customWidth="1"/>
    <col min="4609" max="4609" width="1" style="252" customWidth="1"/>
    <col min="4610" max="4610" width="14.21875" style="252" bestFit="1" customWidth="1"/>
    <col min="4611" max="4611" width="3.33203125" style="252" customWidth="1"/>
    <col min="4612" max="4612" width="20.44140625" style="252" customWidth="1"/>
    <col min="4613" max="4853" width="8.77734375" style="252"/>
    <col min="4854" max="4854" width="54.6640625" style="252" customWidth="1"/>
    <col min="4855" max="4855" width="13.77734375" style="252" customWidth="1"/>
    <col min="4856" max="4856" width="0" style="252" hidden="1" customWidth="1"/>
    <col min="4857" max="4857" width="6.6640625" style="252" customWidth="1"/>
    <col min="4858" max="4858" width="15" style="252" customWidth="1"/>
    <col min="4859" max="4859" width="3.6640625" style="252" bestFit="1" customWidth="1"/>
    <col min="4860" max="4860" width="15.44140625" style="252" bestFit="1" customWidth="1"/>
    <col min="4861" max="4861" width="3.77734375" style="252" customWidth="1"/>
    <col min="4862" max="4862" width="11.21875" style="252" bestFit="1" customWidth="1"/>
    <col min="4863" max="4863" width="3.6640625" style="252" customWidth="1"/>
    <col min="4864" max="4864" width="13.5546875" style="252" customWidth="1"/>
    <col min="4865" max="4865" width="1" style="252" customWidth="1"/>
    <col min="4866" max="4866" width="14.21875" style="252" bestFit="1" customWidth="1"/>
    <col min="4867" max="4867" width="3.33203125" style="252" customWidth="1"/>
    <col min="4868" max="4868" width="20.44140625" style="252" customWidth="1"/>
    <col min="4869" max="5109" width="8.77734375" style="252"/>
    <col min="5110" max="5110" width="54.6640625" style="252" customWidth="1"/>
    <col min="5111" max="5111" width="13.77734375" style="252" customWidth="1"/>
    <col min="5112" max="5112" width="0" style="252" hidden="1" customWidth="1"/>
    <col min="5113" max="5113" width="6.6640625" style="252" customWidth="1"/>
    <col min="5114" max="5114" width="15" style="252" customWidth="1"/>
    <col min="5115" max="5115" width="3.6640625" style="252" bestFit="1" customWidth="1"/>
    <col min="5116" max="5116" width="15.44140625" style="252" bestFit="1" customWidth="1"/>
    <col min="5117" max="5117" width="3.77734375" style="252" customWidth="1"/>
    <col min="5118" max="5118" width="11.21875" style="252" bestFit="1" customWidth="1"/>
    <col min="5119" max="5119" width="3.6640625" style="252" customWidth="1"/>
    <col min="5120" max="5120" width="13.5546875" style="252" customWidth="1"/>
    <col min="5121" max="5121" width="1" style="252" customWidth="1"/>
    <col min="5122" max="5122" width="14.21875" style="252" bestFit="1" customWidth="1"/>
    <col min="5123" max="5123" width="3.33203125" style="252" customWidth="1"/>
    <col min="5124" max="5124" width="20.44140625" style="252" customWidth="1"/>
    <col min="5125" max="5365" width="8.77734375" style="252"/>
    <col min="5366" max="5366" width="54.6640625" style="252" customWidth="1"/>
    <col min="5367" max="5367" width="13.77734375" style="252" customWidth="1"/>
    <col min="5368" max="5368" width="0" style="252" hidden="1" customWidth="1"/>
    <col min="5369" max="5369" width="6.6640625" style="252" customWidth="1"/>
    <col min="5370" max="5370" width="15" style="252" customWidth="1"/>
    <col min="5371" max="5371" width="3.6640625" style="252" bestFit="1" customWidth="1"/>
    <col min="5372" max="5372" width="15.44140625" style="252" bestFit="1" customWidth="1"/>
    <col min="5373" max="5373" width="3.77734375" style="252" customWidth="1"/>
    <col min="5374" max="5374" width="11.21875" style="252" bestFit="1" customWidth="1"/>
    <col min="5375" max="5375" width="3.6640625" style="252" customWidth="1"/>
    <col min="5376" max="5376" width="13.5546875" style="252" customWidth="1"/>
    <col min="5377" max="5377" width="1" style="252" customWidth="1"/>
    <col min="5378" max="5378" width="14.21875" style="252" bestFit="1" customWidth="1"/>
    <col min="5379" max="5379" width="3.33203125" style="252" customWidth="1"/>
    <col min="5380" max="5380" width="20.44140625" style="252" customWidth="1"/>
    <col min="5381" max="5621" width="8.77734375" style="252"/>
    <col min="5622" max="5622" width="54.6640625" style="252" customWidth="1"/>
    <col min="5623" max="5623" width="13.77734375" style="252" customWidth="1"/>
    <col min="5624" max="5624" width="0" style="252" hidden="1" customWidth="1"/>
    <col min="5625" max="5625" width="6.6640625" style="252" customWidth="1"/>
    <col min="5626" max="5626" width="15" style="252" customWidth="1"/>
    <col min="5627" max="5627" width="3.6640625" style="252" bestFit="1" customWidth="1"/>
    <col min="5628" max="5628" width="15.44140625" style="252" bestFit="1" customWidth="1"/>
    <col min="5629" max="5629" width="3.77734375" style="252" customWidth="1"/>
    <col min="5630" max="5630" width="11.21875" style="252" bestFit="1" customWidth="1"/>
    <col min="5631" max="5631" width="3.6640625" style="252" customWidth="1"/>
    <col min="5632" max="5632" width="13.5546875" style="252" customWidth="1"/>
    <col min="5633" max="5633" width="1" style="252" customWidth="1"/>
    <col min="5634" max="5634" width="14.21875" style="252" bestFit="1" customWidth="1"/>
    <col min="5635" max="5635" width="3.33203125" style="252" customWidth="1"/>
    <col min="5636" max="5636" width="20.44140625" style="252" customWidth="1"/>
    <col min="5637" max="5877" width="8.77734375" style="252"/>
    <col min="5878" max="5878" width="54.6640625" style="252" customWidth="1"/>
    <col min="5879" max="5879" width="13.77734375" style="252" customWidth="1"/>
    <col min="5880" max="5880" width="0" style="252" hidden="1" customWidth="1"/>
    <col min="5881" max="5881" width="6.6640625" style="252" customWidth="1"/>
    <col min="5882" max="5882" width="15" style="252" customWidth="1"/>
    <col min="5883" max="5883" width="3.6640625" style="252" bestFit="1" customWidth="1"/>
    <col min="5884" max="5884" width="15.44140625" style="252" bestFit="1" customWidth="1"/>
    <col min="5885" max="5885" width="3.77734375" style="252" customWidth="1"/>
    <col min="5886" max="5886" width="11.21875" style="252" bestFit="1" customWidth="1"/>
    <col min="5887" max="5887" width="3.6640625" style="252" customWidth="1"/>
    <col min="5888" max="5888" width="13.5546875" style="252" customWidth="1"/>
    <col min="5889" max="5889" width="1" style="252" customWidth="1"/>
    <col min="5890" max="5890" width="14.21875" style="252" bestFit="1" customWidth="1"/>
    <col min="5891" max="5891" width="3.33203125" style="252" customWidth="1"/>
    <col min="5892" max="5892" width="20.44140625" style="252" customWidth="1"/>
    <col min="5893" max="6133" width="8.77734375" style="252"/>
    <col min="6134" max="6134" width="54.6640625" style="252" customWidth="1"/>
    <col min="6135" max="6135" width="13.77734375" style="252" customWidth="1"/>
    <col min="6136" max="6136" width="0" style="252" hidden="1" customWidth="1"/>
    <col min="6137" max="6137" width="6.6640625" style="252" customWidth="1"/>
    <col min="6138" max="6138" width="15" style="252" customWidth="1"/>
    <col min="6139" max="6139" width="3.6640625" style="252" bestFit="1" customWidth="1"/>
    <col min="6140" max="6140" width="15.44140625" style="252" bestFit="1" customWidth="1"/>
    <col min="6141" max="6141" width="3.77734375" style="252" customWidth="1"/>
    <col min="6142" max="6142" width="11.21875" style="252" bestFit="1" customWidth="1"/>
    <col min="6143" max="6143" width="3.6640625" style="252" customWidth="1"/>
    <col min="6144" max="6144" width="13.5546875" style="252" customWidth="1"/>
    <col min="6145" max="6145" width="1" style="252" customWidth="1"/>
    <col min="6146" max="6146" width="14.21875" style="252" bestFit="1" customWidth="1"/>
    <col min="6147" max="6147" width="3.33203125" style="252" customWidth="1"/>
    <col min="6148" max="6148" width="20.44140625" style="252" customWidth="1"/>
    <col min="6149" max="6389" width="8.77734375" style="252"/>
    <col min="6390" max="6390" width="54.6640625" style="252" customWidth="1"/>
    <col min="6391" max="6391" width="13.77734375" style="252" customWidth="1"/>
    <col min="6392" max="6392" width="0" style="252" hidden="1" customWidth="1"/>
    <col min="6393" max="6393" width="6.6640625" style="252" customWidth="1"/>
    <col min="6394" max="6394" width="15" style="252" customWidth="1"/>
    <col min="6395" max="6395" width="3.6640625" style="252" bestFit="1" customWidth="1"/>
    <col min="6396" max="6396" width="15.44140625" style="252" bestFit="1" customWidth="1"/>
    <col min="6397" max="6397" width="3.77734375" style="252" customWidth="1"/>
    <col min="6398" max="6398" width="11.21875" style="252" bestFit="1" customWidth="1"/>
    <col min="6399" max="6399" width="3.6640625" style="252" customWidth="1"/>
    <col min="6400" max="6400" width="13.5546875" style="252" customWidth="1"/>
    <col min="6401" max="6401" width="1" style="252" customWidth="1"/>
    <col min="6402" max="6402" width="14.21875" style="252" bestFit="1" customWidth="1"/>
    <col min="6403" max="6403" width="3.33203125" style="252" customWidth="1"/>
    <col min="6404" max="6404" width="20.44140625" style="252" customWidth="1"/>
    <col min="6405" max="6645" width="8.77734375" style="252"/>
    <col min="6646" max="6646" width="54.6640625" style="252" customWidth="1"/>
    <col min="6647" max="6647" width="13.77734375" style="252" customWidth="1"/>
    <col min="6648" max="6648" width="0" style="252" hidden="1" customWidth="1"/>
    <col min="6649" max="6649" width="6.6640625" style="252" customWidth="1"/>
    <col min="6650" max="6650" width="15" style="252" customWidth="1"/>
    <col min="6651" max="6651" width="3.6640625" style="252" bestFit="1" customWidth="1"/>
    <col min="6652" max="6652" width="15.44140625" style="252" bestFit="1" customWidth="1"/>
    <col min="6653" max="6653" width="3.77734375" style="252" customWidth="1"/>
    <col min="6654" max="6654" width="11.21875" style="252" bestFit="1" customWidth="1"/>
    <col min="6655" max="6655" width="3.6640625" style="252" customWidth="1"/>
    <col min="6656" max="6656" width="13.5546875" style="252" customWidth="1"/>
    <col min="6657" max="6657" width="1" style="252" customWidth="1"/>
    <col min="6658" max="6658" width="14.21875" style="252" bestFit="1" customWidth="1"/>
    <col min="6659" max="6659" width="3.33203125" style="252" customWidth="1"/>
    <col min="6660" max="6660" width="20.44140625" style="252" customWidth="1"/>
    <col min="6661" max="6901" width="8.77734375" style="252"/>
    <col min="6902" max="6902" width="54.6640625" style="252" customWidth="1"/>
    <col min="6903" max="6903" width="13.77734375" style="252" customWidth="1"/>
    <col min="6904" max="6904" width="0" style="252" hidden="1" customWidth="1"/>
    <col min="6905" max="6905" width="6.6640625" style="252" customWidth="1"/>
    <col min="6906" max="6906" width="15" style="252" customWidth="1"/>
    <col min="6907" max="6907" width="3.6640625" style="252" bestFit="1" customWidth="1"/>
    <col min="6908" max="6908" width="15.44140625" style="252" bestFit="1" customWidth="1"/>
    <col min="6909" max="6909" width="3.77734375" style="252" customWidth="1"/>
    <col min="6910" max="6910" width="11.21875" style="252" bestFit="1" customWidth="1"/>
    <col min="6911" max="6911" width="3.6640625" style="252" customWidth="1"/>
    <col min="6912" max="6912" width="13.5546875" style="252" customWidth="1"/>
    <col min="6913" max="6913" width="1" style="252" customWidth="1"/>
    <col min="6914" max="6914" width="14.21875" style="252" bestFit="1" customWidth="1"/>
    <col min="6915" max="6915" width="3.33203125" style="252" customWidth="1"/>
    <col min="6916" max="6916" width="20.44140625" style="252" customWidth="1"/>
    <col min="6917" max="7157" width="8.77734375" style="252"/>
    <col min="7158" max="7158" width="54.6640625" style="252" customWidth="1"/>
    <col min="7159" max="7159" width="13.77734375" style="252" customWidth="1"/>
    <col min="7160" max="7160" width="0" style="252" hidden="1" customWidth="1"/>
    <col min="7161" max="7161" width="6.6640625" style="252" customWidth="1"/>
    <col min="7162" max="7162" width="15" style="252" customWidth="1"/>
    <col min="7163" max="7163" width="3.6640625" style="252" bestFit="1" customWidth="1"/>
    <col min="7164" max="7164" width="15.44140625" style="252" bestFit="1" customWidth="1"/>
    <col min="7165" max="7165" width="3.77734375" style="252" customWidth="1"/>
    <col min="7166" max="7166" width="11.21875" style="252" bestFit="1" customWidth="1"/>
    <col min="7167" max="7167" width="3.6640625" style="252" customWidth="1"/>
    <col min="7168" max="7168" width="13.5546875" style="252" customWidth="1"/>
    <col min="7169" max="7169" width="1" style="252" customWidth="1"/>
    <col min="7170" max="7170" width="14.21875" style="252" bestFit="1" customWidth="1"/>
    <col min="7171" max="7171" width="3.33203125" style="252" customWidth="1"/>
    <col min="7172" max="7172" width="20.44140625" style="252" customWidth="1"/>
    <col min="7173" max="7413" width="8.77734375" style="252"/>
    <col min="7414" max="7414" width="54.6640625" style="252" customWidth="1"/>
    <col min="7415" max="7415" width="13.77734375" style="252" customWidth="1"/>
    <col min="7416" max="7416" width="0" style="252" hidden="1" customWidth="1"/>
    <col min="7417" max="7417" width="6.6640625" style="252" customWidth="1"/>
    <col min="7418" max="7418" width="15" style="252" customWidth="1"/>
    <col min="7419" max="7419" width="3.6640625" style="252" bestFit="1" customWidth="1"/>
    <col min="7420" max="7420" width="15.44140625" style="252" bestFit="1" customWidth="1"/>
    <col min="7421" max="7421" width="3.77734375" style="252" customWidth="1"/>
    <col min="7422" max="7422" width="11.21875" style="252" bestFit="1" customWidth="1"/>
    <col min="7423" max="7423" width="3.6640625" style="252" customWidth="1"/>
    <col min="7424" max="7424" width="13.5546875" style="252" customWidth="1"/>
    <col min="7425" max="7425" width="1" style="252" customWidth="1"/>
    <col min="7426" max="7426" width="14.21875" style="252" bestFit="1" customWidth="1"/>
    <col min="7427" max="7427" width="3.33203125" style="252" customWidth="1"/>
    <col min="7428" max="7428" width="20.44140625" style="252" customWidth="1"/>
    <col min="7429" max="7669" width="8.77734375" style="252"/>
    <col min="7670" max="7670" width="54.6640625" style="252" customWidth="1"/>
    <col min="7671" max="7671" width="13.77734375" style="252" customWidth="1"/>
    <col min="7672" max="7672" width="0" style="252" hidden="1" customWidth="1"/>
    <col min="7673" max="7673" width="6.6640625" style="252" customWidth="1"/>
    <col min="7674" max="7674" width="15" style="252" customWidth="1"/>
    <col min="7675" max="7675" width="3.6640625" style="252" bestFit="1" customWidth="1"/>
    <col min="7676" max="7676" width="15.44140625" style="252" bestFit="1" customWidth="1"/>
    <col min="7677" max="7677" width="3.77734375" style="252" customWidth="1"/>
    <col min="7678" max="7678" width="11.21875" style="252" bestFit="1" customWidth="1"/>
    <col min="7679" max="7679" width="3.6640625" style="252" customWidth="1"/>
    <col min="7680" max="7680" width="13.5546875" style="252" customWidth="1"/>
    <col min="7681" max="7681" width="1" style="252" customWidth="1"/>
    <col min="7682" max="7682" width="14.21875" style="252" bestFit="1" customWidth="1"/>
    <col min="7683" max="7683" width="3.33203125" style="252" customWidth="1"/>
    <col min="7684" max="7684" width="20.44140625" style="252" customWidth="1"/>
    <col min="7685" max="7925" width="8.77734375" style="252"/>
    <col min="7926" max="7926" width="54.6640625" style="252" customWidth="1"/>
    <col min="7927" max="7927" width="13.77734375" style="252" customWidth="1"/>
    <col min="7928" max="7928" width="0" style="252" hidden="1" customWidth="1"/>
    <col min="7929" max="7929" width="6.6640625" style="252" customWidth="1"/>
    <col min="7930" max="7930" width="15" style="252" customWidth="1"/>
    <col min="7931" max="7931" width="3.6640625" style="252" bestFit="1" customWidth="1"/>
    <col min="7932" max="7932" width="15.44140625" style="252" bestFit="1" customWidth="1"/>
    <col min="7933" max="7933" width="3.77734375" style="252" customWidth="1"/>
    <col min="7934" max="7934" width="11.21875" style="252" bestFit="1" customWidth="1"/>
    <col min="7935" max="7935" width="3.6640625" style="252" customWidth="1"/>
    <col min="7936" max="7936" width="13.5546875" style="252" customWidth="1"/>
    <col min="7937" max="7937" width="1" style="252" customWidth="1"/>
    <col min="7938" max="7938" width="14.21875" style="252" bestFit="1" customWidth="1"/>
    <col min="7939" max="7939" width="3.33203125" style="252" customWidth="1"/>
    <col min="7940" max="7940" width="20.44140625" style="252" customWidth="1"/>
    <col min="7941" max="8181" width="8.77734375" style="252"/>
    <col min="8182" max="8182" width="54.6640625" style="252" customWidth="1"/>
    <col min="8183" max="8183" width="13.77734375" style="252" customWidth="1"/>
    <col min="8184" max="8184" width="0" style="252" hidden="1" customWidth="1"/>
    <col min="8185" max="8185" width="6.6640625" style="252" customWidth="1"/>
    <col min="8186" max="8186" width="15" style="252" customWidth="1"/>
    <col min="8187" max="8187" width="3.6640625" style="252" bestFit="1" customWidth="1"/>
    <col min="8188" max="8188" width="15.44140625" style="252" bestFit="1" customWidth="1"/>
    <col min="8189" max="8189" width="3.77734375" style="252" customWidth="1"/>
    <col min="8190" max="8190" width="11.21875" style="252" bestFit="1" customWidth="1"/>
    <col min="8191" max="8191" width="3.6640625" style="252" customWidth="1"/>
    <col min="8192" max="8192" width="13.5546875" style="252" customWidth="1"/>
    <col min="8193" max="8193" width="1" style="252" customWidth="1"/>
    <col min="8194" max="8194" width="14.21875" style="252" bestFit="1" customWidth="1"/>
    <col min="8195" max="8195" width="3.33203125" style="252" customWidth="1"/>
    <col min="8196" max="8196" width="20.44140625" style="252" customWidth="1"/>
    <col min="8197" max="8437" width="8.77734375" style="252"/>
    <col min="8438" max="8438" width="54.6640625" style="252" customWidth="1"/>
    <col min="8439" max="8439" width="13.77734375" style="252" customWidth="1"/>
    <col min="8440" max="8440" width="0" style="252" hidden="1" customWidth="1"/>
    <col min="8441" max="8441" width="6.6640625" style="252" customWidth="1"/>
    <col min="8442" max="8442" width="15" style="252" customWidth="1"/>
    <col min="8443" max="8443" width="3.6640625" style="252" bestFit="1" customWidth="1"/>
    <col min="8444" max="8444" width="15.44140625" style="252" bestFit="1" customWidth="1"/>
    <col min="8445" max="8445" width="3.77734375" style="252" customWidth="1"/>
    <col min="8446" max="8446" width="11.21875" style="252" bestFit="1" customWidth="1"/>
    <col min="8447" max="8447" width="3.6640625" style="252" customWidth="1"/>
    <col min="8448" max="8448" width="13.5546875" style="252" customWidth="1"/>
    <col min="8449" max="8449" width="1" style="252" customWidth="1"/>
    <col min="8450" max="8450" width="14.21875" style="252" bestFit="1" customWidth="1"/>
    <col min="8451" max="8451" width="3.33203125" style="252" customWidth="1"/>
    <col min="8452" max="8452" width="20.44140625" style="252" customWidth="1"/>
    <col min="8453" max="8693" width="8.77734375" style="252"/>
    <col min="8694" max="8694" width="54.6640625" style="252" customWidth="1"/>
    <col min="8695" max="8695" width="13.77734375" style="252" customWidth="1"/>
    <col min="8696" max="8696" width="0" style="252" hidden="1" customWidth="1"/>
    <col min="8697" max="8697" width="6.6640625" style="252" customWidth="1"/>
    <col min="8698" max="8698" width="15" style="252" customWidth="1"/>
    <col min="8699" max="8699" width="3.6640625" style="252" bestFit="1" customWidth="1"/>
    <col min="8700" max="8700" width="15.44140625" style="252" bestFit="1" customWidth="1"/>
    <col min="8701" max="8701" width="3.77734375" style="252" customWidth="1"/>
    <col min="8702" max="8702" width="11.21875" style="252" bestFit="1" customWidth="1"/>
    <col min="8703" max="8703" width="3.6640625" style="252" customWidth="1"/>
    <col min="8704" max="8704" width="13.5546875" style="252" customWidth="1"/>
    <col min="8705" max="8705" width="1" style="252" customWidth="1"/>
    <col min="8706" max="8706" width="14.21875" style="252" bestFit="1" customWidth="1"/>
    <col min="8707" max="8707" width="3.33203125" style="252" customWidth="1"/>
    <col min="8708" max="8708" width="20.44140625" style="252" customWidth="1"/>
    <col min="8709" max="8949" width="8.77734375" style="252"/>
    <col min="8950" max="8950" width="54.6640625" style="252" customWidth="1"/>
    <col min="8951" max="8951" width="13.77734375" style="252" customWidth="1"/>
    <col min="8952" max="8952" width="0" style="252" hidden="1" customWidth="1"/>
    <col min="8953" max="8953" width="6.6640625" style="252" customWidth="1"/>
    <col min="8954" max="8954" width="15" style="252" customWidth="1"/>
    <col min="8955" max="8955" width="3.6640625" style="252" bestFit="1" customWidth="1"/>
    <col min="8956" max="8956" width="15.44140625" style="252" bestFit="1" customWidth="1"/>
    <col min="8957" max="8957" width="3.77734375" style="252" customWidth="1"/>
    <col min="8958" max="8958" width="11.21875" style="252" bestFit="1" customWidth="1"/>
    <col min="8959" max="8959" width="3.6640625" style="252" customWidth="1"/>
    <col min="8960" max="8960" width="13.5546875" style="252" customWidth="1"/>
    <col min="8961" max="8961" width="1" style="252" customWidth="1"/>
    <col min="8962" max="8962" width="14.21875" style="252" bestFit="1" customWidth="1"/>
    <col min="8963" max="8963" width="3.33203125" style="252" customWidth="1"/>
    <col min="8964" max="8964" width="20.44140625" style="252" customWidth="1"/>
    <col min="8965" max="9205" width="8.77734375" style="252"/>
    <col min="9206" max="9206" width="54.6640625" style="252" customWidth="1"/>
    <col min="9207" max="9207" width="13.77734375" style="252" customWidth="1"/>
    <col min="9208" max="9208" width="0" style="252" hidden="1" customWidth="1"/>
    <col min="9209" max="9209" width="6.6640625" style="252" customWidth="1"/>
    <col min="9210" max="9210" width="15" style="252" customWidth="1"/>
    <col min="9211" max="9211" width="3.6640625" style="252" bestFit="1" customWidth="1"/>
    <col min="9212" max="9212" width="15.44140625" style="252" bestFit="1" customWidth="1"/>
    <col min="9213" max="9213" width="3.77734375" style="252" customWidth="1"/>
    <col min="9214" max="9214" width="11.21875" style="252" bestFit="1" customWidth="1"/>
    <col min="9215" max="9215" width="3.6640625" style="252" customWidth="1"/>
    <col min="9216" max="9216" width="13.5546875" style="252" customWidth="1"/>
    <col min="9217" max="9217" width="1" style="252" customWidth="1"/>
    <col min="9218" max="9218" width="14.21875" style="252" bestFit="1" customWidth="1"/>
    <col min="9219" max="9219" width="3.33203125" style="252" customWidth="1"/>
    <col min="9220" max="9220" width="20.44140625" style="252" customWidth="1"/>
    <col min="9221" max="9461" width="8.77734375" style="252"/>
    <col min="9462" max="9462" width="54.6640625" style="252" customWidth="1"/>
    <col min="9463" max="9463" width="13.77734375" style="252" customWidth="1"/>
    <col min="9464" max="9464" width="0" style="252" hidden="1" customWidth="1"/>
    <col min="9465" max="9465" width="6.6640625" style="252" customWidth="1"/>
    <col min="9466" max="9466" width="15" style="252" customWidth="1"/>
    <col min="9467" max="9467" width="3.6640625" style="252" bestFit="1" customWidth="1"/>
    <col min="9468" max="9468" width="15.44140625" style="252" bestFit="1" customWidth="1"/>
    <col min="9469" max="9469" width="3.77734375" style="252" customWidth="1"/>
    <col min="9470" max="9470" width="11.21875" style="252" bestFit="1" customWidth="1"/>
    <col min="9471" max="9471" width="3.6640625" style="252" customWidth="1"/>
    <col min="9472" max="9472" width="13.5546875" style="252" customWidth="1"/>
    <col min="9473" max="9473" width="1" style="252" customWidth="1"/>
    <col min="9474" max="9474" width="14.21875" style="252" bestFit="1" customWidth="1"/>
    <col min="9475" max="9475" width="3.33203125" style="252" customWidth="1"/>
    <col min="9476" max="9476" width="20.44140625" style="252" customWidth="1"/>
    <col min="9477" max="9717" width="8.77734375" style="252"/>
    <col min="9718" max="9718" width="54.6640625" style="252" customWidth="1"/>
    <col min="9719" max="9719" width="13.77734375" style="252" customWidth="1"/>
    <col min="9720" max="9720" width="0" style="252" hidden="1" customWidth="1"/>
    <col min="9721" max="9721" width="6.6640625" style="252" customWidth="1"/>
    <col min="9722" max="9722" width="15" style="252" customWidth="1"/>
    <col min="9723" max="9723" width="3.6640625" style="252" bestFit="1" customWidth="1"/>
    <col min="9724" max="9724" width="15.44140625" style="252" bestFit="1" customWidth="1"/>
    <col min="9725" max="9725" width="3.77734375" style="252" customWidth="1"/>
    <col min="9726" max="9726" width="11.21875" style="252" bestFit="1" customWidth="1"/>
    <col min="9727" max="9727" width="3.6640625" style="252" customWidth="1"/>
    <col min="9728" max="9728" width="13.5546875" style="252" customWidth="1"/>
    <col min="9729" max="9729" width="1" style="252" customWidth="1"/>
    <col min="9730" max="9730" width="14.21875" style="252" bestFit="1" customWidth="1"/>
    <col min="9731" max="9731" width="3.33203125" style="252" customWidth="1"/>
    <col min="9732" max="9732" width="20.44140625" style="252" customWidth="1"/>
    <col min="9733" max="9973" width="8.77734375" style="252"/>
    <col min="9974" max="9974" width="54.6640625" style="252" customWidth="1"/>
    <col min="9975" max="9975" width="13.77734375" style="252" customWidth="1"/>
    <col min="9976" max="9976" width="0" style="252" hidden="1" customWidth="1"/>
    <col min="9977" max="9977" width="6.6640625" style="252" customWidth="1"/>
    <col min="9978" max="9978" width="15" style="252" customWidth="1"/>
    <col min="9979" max="9979" width="3.6640625" style="252" bestFit="1" customWidth="1"/>
    <col min="9980" max="9980" width="15.44140625" style="252" bestFit="1" customWidth="1"/>
    <col min="9981" max="9981" width="3.77734375" style="252" customWidth="1"/>
    <col min="9982" max="9982" width="11.21875" style="252" bestFit="1" customWidth="1"/>
    <col min="9983" max="9983" width="3.6640625" style="252" customWidth="1"/>
    <col min="9984" max="9984" width="13.5546875" style="252" customWidth="1"/>
    <col min="9985" max="9985" width="1" style="252" customWidth="1"/>
    <col min="9986" max="9986" width="14.21875" style="252" bestFit="1" customWidth="1"/>
    <col min="9987" max="9987" width="3.33203125" style="252" customWidth="1"/>
    <col min="9988" max="9988" width="20.44140625" style="252" customWidth="1"/>
    <col min="9989" max="10229" width="8.77734375" style="252"/>
    <col min="10230" max="10230" width="54.6640625" style="252" customWidth="1"/>
    <col min="10231" max="10231" width="13.77734375" style="252" customWidth="1"/>
    <col min="10232" max="10232" width="0" style="252" hidden="1" customWidth="1"/>
    <col min="10233" max="10233" width="6.6640625" style="252" customWidth="1"/>
    <col min="10234" max="10234" width="15" style="252" customWidth="1"/>
    <col min="10235" max="10235" width="3.6640625" style="252" bestFit="1" customWidth="1"/>
    <col min="10236" max="10236" width="15.44140625" style="252" bestFit="1" customWidth="1"/>
    <col min="10237" max="10237" width="3.77734375" style="252" customWidth="1"/>
    <col min="10238" max="10238" width="11.21875" style="252" bestFit="1" customWidth="1"/>
    <col min="10239" max="10239" width="3.6640625" style="252" customWidth="1"/>
    <col min="10240" max="10240" width="13.5546875" style="252" customWidth="1"/>
    <col min="10241" max="10241" width="1" style="252" customWidth="1"/>
    <col min="10242" max="10242" width="14.21875" style="252" bestFit="1" customWidth="1"/>
    <col min="10243" max="10243" width="3.33203125" style="252" customWidth="1"/>
    <col min="10244" max="10244" width="20.44140625" style="252" customWidth="1"/>
    <col min="10245" max="10485" width="8.77734375" style="252"/>
    <col min="10486" max="10486" width="54.6640625" style="252" customWidth="1"/>
    <col min="10487" max="10487" width="13.77734375" style="252" customWidth="1"/>
    <col min="10488" max="10488" width="0" style="252" hidden="1" customWidth="1"/>
    <col min="10489" max="10489" width="6.6640625" style="252" customWidth="1"/>
    <col min="10490" max="10490" width="15" style="252" customWidth="1"/>
    <col min="10491" max="10491" width="3.6640625" style="252" bestFit="1" customWidth="1"/>
    <col min="10492" max="10492" width="15.44140625" style="252" bestFit="1" customWidth="1"/>
    <col min="10493" max="10493" width="3.77734375" style="252" customWidth="1"/>
    <col min="10494" max="10494" width="11.21875" style="252" bestFit="1" customWidth="1"/>
    <col min="10495" max="10495" width="3.6640625" style="252" customWidth="1"/>
    <col min="10496" max="10496" width="13.5546875" style="252" customWidth="1"/>
    <col min="10497" max="10497" width="1" style="252" customWidth="1"/>
    <col min="10498" max="10498" width="14.21875" style="252" bestFit="1" customWidth="1"/>
    <col min="10499" max="10499" width="3.33203125" style="252" customWidth="1"/>
    <col min="10500" max="10500" width="20.44140625" style="252" customWidth="1"/>
    <col min="10501" max="10741" width="8.77734375" style="252"/>
    <col min="10742" max="10742" width="54.6640625" style="252" customWidth="1"/>
    <col min="10743" max="10743" width="13.77734375" style="252" customWidth="1"/>
    <col min="10744" max="10744" width="0" style="252" hidden="1" customWidth="1"/>
    <col min="10745" max="10745" width="6.6640625" style="252" customWidth="1"/>
    <col min="10746" max="10746" width="15" style="252" customWidth="1"/>
    <col min="10747" max="10747" width="3.6640625" style="252" bestFit="1" customWidth="1"/>
    <col min="10748" max="10748" width="15.44140625" style="252" bestFit="1" customWidth="1"/>
    <col min="10749" max="10749" width="3.77734375" style="252" customWidth="1"/>
    <col min="10750" max="10750" width="11.21875" style="252" bestFit="1" customWidth="1"/>
    <col min="10751" max="10751" width="3.6640625" style="252" customWidth="1"/>
    <col min="10752" max="10752" width="13.5546875" style="252" customWidth="1"/>
    <col min="10753" max="10753" width="1" style="252" customWidth="1"/>
    <col min="10754" max="10754" width="14.21875" style="252" bestFit="1" customWidth="1"/>
    <col min="10755" max="10755" width="3.33203125" style="252" customWidth="1"/>
    <col min="10756" max="10756" width="20.44140625" style="252" customWidth="1"/>
    <col min="10757" max="10997" width="8.77734375" style="252"/>
    <col min="10998" max="10998" width="54.6640625" style="252" customWidth="1"/>
    <col min="10999" max="10999" width="13.77734375" style="252" customWidth="1"/>
    <col min="11000" max="11000" width="0" style="252" hidden="1" customWidth="1"/>
    <col min="11001" max="11001" width="6.6640625" style="252" customWidth="1"/>
    <col min="11002" max="11002" width="15" style="252" customWidth="1"/>
    <col min="11003" max="11003" width="3.6640625" style="252" bestFit="1" customWidth="1"/>
    <col min="11004" max="11004" width="15.44140625" style="252" bestFit="1" customWidth="1"/>
    <col min="11005" max="11005" width="3.77734375" style="252" customWidth="1"/>
    <col min="11006" max="11006" width="11.21875" style="252" bestFit="1" customWidth="1"/>
    <col min="11007" max="11007" width="3.6640625" style="252" customWidth="1"/>
    <col min="11008" max="11008" width="13.5546875" style="252" customWidth="1"/>
    <col min="11009" max="11009" width="1" style="252" customWidth="1"/>
    <col min="11010" max="11010" width="14.21875" style="252" bestFit="1" customWidth="1"/>
    <col min="11011" max="11011" width="3.33203125" style="252" customWidth="1"/>
    <col min="11012" max="11012" width="20.44140625" style="252" customWidth="1"/>
    <col min="11013" max="11253" width="8.77734375" style="252"/>
    <col min="11254" max="11254" width="54.6640625" style="252" customWidth="1"/>
    <col min="11255" max="11255" width="13.77734375" style="252" customWidth="1"/>
    <col min="11256" max="11256" width="0" style="252" hidden="1" customWidth="1"/>
    <col min="11257" max="11257" width="6.6640625" style="252" customWidth="1"/>
    <col min="11258" max="11258" width="15" style="252" customWidth="1"/>
    <col min="11259" max="11259" width="3.6640625" style="252" bestFit="1" customWidth="1"/>
    <col min="11260" max="11260" width="15.44140625" style="252" bestFit="1" customWidth="1"/>
    <col min="11261" max="11261" width="3.77734375" style="252" customWidth="1"/>
    <col min="11262" max="11262" width="11.21875" style="252" bestFit="1" customWidth="1"/>
    <col min="11263" max="11263" width="3.6640625" style="252" customWidth="1"/>
    <col min="11264" max="11264" width="13.5546875" style="252" customWidth="1"/>
    <col min="11265" max="11265" width="1" style="252" customWidth="1"/>
    <col min="11266" max="11266" width="14.21875" style="252" bestFit="1" customWidth="1"/>
    <col min="11267" max="11267" width="3.33203125" style="252" customWidth="1"/>
    <col min="11268" max="11268" width="20.44140625" style="252" customWidth="1"/>
    <col min="11269" max="11509" width="8.77734375" style="252"/>
    <col min="11510" max="11510" width="54.6640625" style="252" customWidth="1"/>
    <col min="11511" max="11511" width="13.77734375" style="252" customWidth="1"/>
    <col min="11512" max="11512" width="0" style="252" hidden="1" customWidth="1"/>
    <col min="11513" max="11513" width="6.6640625" style="252" customWidth="1"/>
    <col min="11514" max="11514" width="15" style="252" customWidth="1"/>
    <col min="11515" max="11515" width="3.6640625" style="252" bestFit="1" customWidth="1"/>
    <col min="11516" max="11516" width="15.44140625" style="252" bestFit="1" customWidth="1"/>
    <col min="11517" max="11517" width="3.77734375" style="252" customWidth="1"/>
    <col min="11518" max="11518" width="11.21875" style="252" bestFit="1" customWidth="1"/>
    <col min="11519" max="11519" width="3.6640625" style="252" customWidth="1"/>
    <col min="11520" max="11520" width="13.5546875" style="252" customWidth="1"/>
    <col min="11521" max="11521" width="1" style="252" customWidth="1"/>
    <col min="11522" max="11522" width="14.21875" style="252" bestFit="1" customWidth="1"/>
    <col min="11523" max="11523" width="3.33203125" style="252" customWidth="1"/>
    <col min="11524" max="11524" width="20.44140625" style="252" customWidth="1"/>
    <col min="11525" max="11765" width="8.77734375" style="252"/>
    <col min="11766" max="11766" width="54.6640625" style="252" customWidth="1"/>
    <col min="11767" max="11767" width="13.77734375" style="252" customWidth="1"/>
    <col min="11768" max="11768" width="0" style="252" hidden="1" customWidth="1"/>
    <col min="11769" max="11769" width="6.6640625" style="252" customWidth="1"/>
    <col min="11770" max="11770" width="15" style="252" customWidth="1"/>
    <col min="11771" max="11771" width="3.6640625" style="252" bestFit="1" customWidth="1"/>
    <col min="11772" max="11772" width="15.44140625" style="252" bestFit="1" customWidth="1"/>
    <col min="11773" max="11773" width="3.77734375" style="252" customWidth="1"/>
    <col min="11774" max="11774" width="11.21875" style="252" bestFit="1" customWidth="1"/>
    <col min="11775" max="11775" width="3.6640625" style="252" customWidth="1"/>
    <col min="11776" max="11776" width="13.5546875" style="252" customWidth="1"/>
    <col min="11777" max="11777" width="1" style="252" customWidth="1"/>
    <col min="11778" max="11778" width="14.21875" style="252" bestFit="1" customWidth="1"/>
    <col min="11779" max="11779" width="3.33203125" style="252" customWidth="1"/>
    <col min="11780" max="11780" width="20.44140625" style="252" customWidth="1"/>
    <col min="11781" max="12021" width="8.77734375" style="252"/>
    <col min="12022" max="12022" width="54.6640625" style="252" customWidth="1"/>
    <col min="12023" max="12023" width="13.77734375" style="252" customWidth="1"/>
    <col min="12024" max="12024" width="0" style="252" hidden="1" customWidth="1"/>
    <col min="12025" max="12025" width="6.6640625" style="252" customWidth="1"/>
    <col min="12026" max="12026" width="15" style="252" customWidth="1"/>
    <col min="12027" max="12027" width="3.6640625" style="252" bestFit="1" customWidth="1"/>
    <col min="12028" max="12028" width="15.44140625" style="252" bestFit="1" customWidth="1"/>
    <col min="12029" max="12029" width="3.77734375" style="252" customWidth="1"/>
    <col min="12030" max="12030" width="11.21875" style="252" bestFit="1" customWidth="1"/>
    <col min="12031" max="12031" width="3.6640625" style="252" customWidth="1"/>
    <col min="12032" max="12032" width="13.5546875" style="252" customWidth="1"/>
    <col min="12033" max="12033" width="1" style="252" customWidth="1"/>
    <col min="12034" max="12034" width="14.21875" style="252" bestFit="1" customWidth="1"/>
    <col min="12035" max="12035" width="3.33203125" style="252" customWidth="1"/>
    <col min="12036" max="12036" width="20.44140625" style="252" customWidth="1"/>
    <col min="12037" max="12277" width="8.77734375" style="252"/>
    <col min="12278" max="12278" width="54.6640625" style="252" customWidth="1"/>
    <col min="12279" max="12279" width="13.77734375" style="252" customWidth="1"/>
    <col min="12280" max="12280" width="0" style="252" hidden="1" customWidth="1"/>
    <col min="12281" max="12281" width="6.6640625" style="252" customWidth="1"/>
    <col min="12282" max="12282" width="15" style="252" customWidth="1"/>
    <col min="12283" max="12283" width="3.6640625" style="252" bestFit="1" customWidth="1"/>
    <col min="12284" max="12284" width="15.44140625" style="252" bestFit="1" customWidth="1"/>
    <col min="12285" max="12285" width="3.77734375" style="252" customWidth="1"/>
    <col min="12286" max="12286" width="11.21875" style="252" bestFit="1" customWidth="1"/>
    <col min="12287" max="12287" width="3.6640625" style="252" customWidth="1"/>
    <col min="12288" max="12288" width="13.5546875" style="252" customWidth="1"/>
    <col min="12289" max="12289" width="1" style="252" customWidth="1"/>
    <col min="12290" max="12290" width="14.21875" style="252" bestFit="1" customWidth="1"/>
    <col min="12291" max="12291" width="3.33203125" style="252" customWidth="1"/>
    <col min="12292" max="12292" width="20.44140625" style="252" customWidth="1"/>
    <col min="12293" max="12533" width="8.77734375" style="252"/>
    <col min="12534" max="12534" width="54.6640625" style="252" customWidth="1"/>
    <col min="12535" max="12535" width="13.77734375" style="252" customWidth="1"/>
    <col min="12536" max="12536" width="0" style="252" hidden="1" customWidth="1"/>
    <col min="12537" max="12537" width="6.6640625" style="252" customWidth="1"/>
    <col min="12538" max="12538" width="15" style="252" customWidth="1"/>
    <col min="12539" max="12539" width="3.6640625" style="252" bestFit="1" customWidth="1"/>
    <col min="12540" max="12540" width="15.44140625" style="252" bestFit="1" customWidth="1"/>
    <col min="12541" max="12541" width="3.77734375" style="252" customWidth="1"/>
    <col min="12542" max="12542" width="11.21875" style="252" bestFit="1" customWidth="1"/>
    <col min="12543" max="12543" width="3.6640625" style="252" customWidth="1"/>
    <col min="12544" max="12544" width="13.5546875" style="252" customWidth="1"/>
    <col min="12545" max="12545" width="1" style="252" customWidth="1"/>
    <col min="12546" max="12546" width="14.21875" style="252" bestFit="1" customWidth="1"/>
    <col min="12547" max="12547" width="3.33203125" style="252" customWidth="1"/>
    <col min="12548" max="12548" width="20.44140625" style="252" customWidth="1"/>
    <col min="12549" max="12789" width="8.77734375" style="252"/>
    <col min="12790" max="12790" width="54.6640625" style="252" customWidth="1"/>
    <col min="12791" max="12791" width="13.77734375" style="252" customWidth="1"/>
    <col min="12792" max="12792" width="0" style="252" hidden="1" customWidth="1"/>
    <col min="12793" max="12793" width="6.6640625" style="252" customWidth="1"/>
    <col min="12794" max="12794" width="15" style="252" customWidth="1"/>
    <col min="12795" max="12795" width="3.6640625" style="252" bestFit="1" customWidth="1"/>
    <col min="12796" max="12796" width="15.44140625" style="252" bestFit="1" customWidth="1"/>
    <col min="12797" max="12797" width="3.77734375" style="252" customWidth="1"/>
    <col min="12798" max="12798" width="11.21875" style="252" bestFit="1" customWidth="1"/>
    <col min="12799" max="12799" width="3.6640625" style="252" customWidth="1"/>
    <col min="12800" max="12800" width="13.5546875" style="252" customWidth="1"/>
    <col min="12801" max="12801" width="1" style="252" customWidth="1"/>
    <col min="12802" max="12802" width="14.21875" style="252" bestFit="1" customWidth="1"/>
    <col min="12803" max="12803" width="3.33203125" style="252" customWidth="1"/>
    <col min="12804" max="12804" width="20.44140625" style="252" customWidth="1"/>
    <col min="12805" max="13045" width="8.77734375" style="252"/>
    <col min="13046" max="13046" width="54.6640625" style="252" customWidth="1"/>
    <col min="13047" max="13047" width="13.77734375" style="252" customWidth="1"/>
    <col min="13048" max="13048" width="0" style="252" hidden="1" customWidth="1"/>
    <col min="13049" max="13049" width="6.6640625" style="252" customWidth="1"/>
    <col min="13050" max="13050" width="15" style="252" customWidth="1"/>
    <col min="13051" max="13051" width="3.6640625" style="252" bestFit="1" customWidth="1"/>
    <col min="13052" max="13052" width="15.44140625" style="252" bestFit="1" customWidth="1"/>
    <col min="13053" max="13053" width="3.77734375" style="252" customWidth="1"/>
    <col min="13054" max="13054" width="11.21875" style="252" bestFit="1" customWidth="1"/>
    <col min="13055" max="13055" width="3.6640625" style="252" customWidth="1"/>
    <col min="13056" max="13056" width="13.5546875" style="252" customWidth="1"/>
    <col min="13057" max="13057" width="1" style="252" customWidth="1"/>
    <col min="13058" max="13058" width="14.21875" style="252" bestFit="1" customWidth="1"/>
    <col min="13059" max="13059" width="3.33203125" style="252" customWidth="1"/>
    <col min="13060" max="13060" width="20.44140625" style="252" customWidth="1"/>
    <col min="13061" max="13301" width="8.77734375" style="252"/>
    <col min="13302" max="13302" width="54.6640625" style="252" customWidth="1"/>
    <col min="13303" max="13303" width="13.77734375" style="252" customWidth="1"/>
    <col min="13304" max="13304" width="0" style="252" hidden="1" customWidth="1"/>
    <col min="13305" max="13305" width="6.6640625" style="252" customWidth="1"/>
    <col min="13306" max="13306" width="15" style="252" customWidth="1"/>
    <col min="13307" max="13307" width="3.6640625" style="252" bestFit="1" customWidth="1"/>
    <col min="13308" max="13308" width="15.44140625" style="252" bestFit="1" customWidth="1"/>
    <col min="13309" max="13309" width="3.77734375" style="252" customWidth="1"/>
    <col min="13310" max="13310" width="11.21875" style="252" bestFit="1" customWidth="1"/>
    <col min="13311" max="13311" width="3.6640625" style="252" customWidth="1"/>
    <col min="13312" max="13312" width="13.5546875" style="252" customWidth="1"/>
    <col min="13313" max="13313" width="1" style="252" customWidth="1"/>
    <col min="13314" max="13314" width="14.21875" style="252" bestFit="1" customWidth="1"/>
    <col min="13315" max="13315" width="3.33203125" style="252" customWidth="1"/>
    <col min="13316" max="13316" width="20.44140625" style="252" customWidth="1"/>
    <col min="13317" max="13557" width="8.77734375" style="252"/>
    <col min="13558" max="13558" width="54.6640625" style="252" customWidth="1"/>
    <col min="13559" max="13559" width="13.77734375" style="252" customWidth="1"/>
    <col min="13560" max="13560" width="0" style="252" hidden="1" customWidth="1"/>
    <col min="13561" max="13561" width="6.6640625" style="252" customWidth="1"/>
    <col min="13562" max="13562" width="15" style="252" customWidth="1"/>
    <col min="13563" max="13563" width="3.6640625" style="252" bestFit="1" customWidth="1"/>
    <col min="13564" max="13564" width="15.44140625" style="252" bestFit="1" customWidth="1"/>
    <col min="13565" max="13565" width="3.77734375" style="252" customWidth="1"/>
    <col min="13566" max="13566" width="11.21875" style="252" bestFit="1" customWidth="1"/>
    <col min="13567" max="13567" width="3.6640625" style="252" customWidth="1"/>
    <col min="13568" max="13568" width="13.5546875" style="252" customWidth="1"/>
    <col min="13569" max="13569" width="1" style="252" customWidth="1"/>
    <col min="13570" max="13570" width="14.21875" style="252" bestFit="1" customWidth="1"/>
    <col min="13571" max="13571" width="3.33203125" style="252" customWidth="1"/>
    <col min="13572" max="13572" width="20.44140625" style="252" customWidth="1"/>
    <col min="13573" max="13813" width="8.77734375" style="252"/>
    <col min="13814" max="13814" width="54.6640625" style="252" customWidth="1"/>
    <col min="13815" max="13815" width="13.77734375" style="252" customWidth="1"/>
    <col min="13816" max="13816" width="0" style="252" hidden="1" customWidth="1"/>
    <col min="13817" max="13817" width="6.6640625" style="252" customWidth="1"/>
    <col min="13818" max="13818" width="15" style="252" customWidth="1"/>
    <col min="13819" max="13819" width="3.6640625" style="252" bestFit="1" customWidth="1"/>
    <col min="13820" max="13820" width="15.44140625" style="252" bestFit="1" customWidth="1"/>
    <col min="13821" max="13821" width="3.77734375" style="252" customWidth="1"/>
    <col min="13822" max="13822" width="11.21875" style="252" bestFit="1" customWidth="1"/>
    <col min="13823" max="13823" width="3.6640625" style="252" customWidth="1"/>
    <col min="13824" max="13824" width="13.5546875" style="252" customWidth="1"/>
    <col min="13825" max="13825" width="1" style="252" customWidth="1"/>
    <col min="13826" max="13826" width="14.21875" style="252" bestFit="1" customWidth="1"/>
    <col min="13827" max="13827" width="3.33203125" style="252" customWidth="1"/>
    <col min="13828" max="13828" width="20.44140625" style="252" customWidth="1"/>
    <col min="13829" max="14069" width="8.77734375" style="252"/>
    <col min="14070" max="14070" width="54.6640625" style="252" customWidth="1"/>
    <col min="14071" max="14071" width="13.77734375" style="252" customWidth="1"/>
    <col min="14072" max="14072" width="0" style="252" hidden="1" customWidth="1"/>
    <col min="14073" max="14073" width="6.6640625" style="252" customWidth="1"/>
    <col min="14074" max="14074" width="15" style="252" customWidth="1"/>
    <col min="14075" max="14075" width="3.6640625" style="252" bestFit="1" customWidth="1"/>
    <col min="14076" max="14076" width="15.44140625" style="252" bestFit="1" customWidth="1"/>
    <col min="14077" max="14077" width="3.77734375" style="252" customWidth="1"/>
    <col min="14078" max="14078" width="11.21875" style="252" bestFit="1" customWidth="1"/>
    <col min="14079" max="14079" width="3.6640625" style="252" customWidth="1"/>
    <col min="14080" max="14080" width="13.5546875" style="252" customWidth="1"/>
    <col min="14081" max="14081" width="1" style="252" customWidth="1"/>
    <col min="14082" max="14082" width="14.21875" style="252" bestFit="1" customWidth="1"/>
    <col min="14083" max="14083" width="3.33203125" style="252" customWidth="1"/>
    <col min="14084" max="14084" width="20.44140625" style="252" customWidth="1"/>
    <col min="14085" max="14325" width="8.77734375" style="252"/>
    <col min="14326" max="14326" width="54.6640625" style="252" customWidth="1"/>
    <col min="14327" max="14327" width="13.77734375" style="252" customWidth="1"/>
    <col min="14328" max="14328" width="0" style="252" hidden="1" customWidth="1"/>
    <col min="14329" max="14329" width="6.6640625" style="252" customWidth="1"/>
    <col min="14330" max="14330" width="15" style="252" customWidth="1"/>
    <col min="14331" max="14331" width="3.6640625" style="252" bestFit="1" customWidth="1"/>
    <col min="14332" max="14332" width="15.44140625" style="252" bestFit="1" customWidth="1"/>
    <col min="14333" max="14333" width="3.77734375" style="252" customWidth="1"/>
    <col min="14334" max="14334" width="11.21875" style="252" bestFit="1" customWidth="1"/>
    <col min="14335" max="14335" width="3.6640625" style="252" customWidth="1"/>
    <col min="14336" max="14336" width="13.5546875" style="252" customWidth="1"/>
    <col min="14337" max="14337" width="1" style="252" customWidth="1"/>
    <col min="14338" max="14338" width="14.21875" style="252" bestFit="1" customWidth="1"/>
    <col min="14339" max="14339" width="3.33203125" style="252" customWidth="1"/>
    <col min="14340" max="14340" width="20.44140625" style="252" customWidth="1"/>
    <col min="14341" max="14581" width="8.77734375" style="252"/>
    <col min="14582" max="14582" width="54.6640625" style="252" customWidth="1"/>
    <col min="14583" max="14583" width="13.77734375" style="252" customWidth="1"/>
    <col min="14584" max="14584" width="0" style="252" hidden="1" customWidth="1"/>
    <col min="14585" max="14585" width="6.6640625" style="252" customWidth="1"/>
    <col min="14586" max="14586" width="15" style="252" customWidth="1"/>
    <col min="14587" max="14587" width="3.6640625" style="252" bestFit="1" customWidth="1"/>
    <col min="14588" max="14588" width="15.44140625" style="252" bestFit="1" customWidth="1"/>
    <col min="14589" max="14589" width="3.77734375" style="252" customWidth="1"/>
    <col min="14590" max="14590" width="11.21875" style="252" bestFit="1" customWidth="1"/>
    <col min="14591" max="14591" width="3.6640625" style="252" customWidth="1"/>
    <col min="14592" max="14592" width="13.5546875" style="252" customWidth="1"/>
    <col min="14593" max="14593" width="1" style="252" customWidth="1"/>
    <col min="14594" max="14594" width="14.21875" style="252" bestFit="1" customWidth="1"/>
    <col min="14595" max="14595" width="3.33203125" style="252" customWidth="1"/>
    <col min="14596" max="14596" width="20.44140625" style="252" customWidth="1"/>
    <col min="14597" max="14837" width="8.77734375" style="252"/>
    <col min="14838" max="14838" width="54.6640625" style="252" customWidth="1"/>
    <col min="14839" max="14839" width="13.77734375" style="252" customWidth="1"/>
    <col min="14840" max="14840" width="0" style="252" hidden="1" customWidth="1"/>
    <col min="14841" max="14841" width="6.6640625" style="252" customWidth="1"/>
    <col min="14842" max="14842" width="15" style="252" customWidth="1"/>
    <col min="14843" max="14843" width="3.6640625" style="252" bestFit="1" customWidth="1"/>
    <col min="14844" max="14844" width="15.44140625" style="252" bestFit="1" customWidth="1"/>
    <col min="14845" max="14845" width="3.77734375" style="252" customWidth="1"/>
    <col min="14846" max="14846" width="11.21875" style="252" bestFit="1" customWidth="1"/>
    <col min="14847" max="14847" width="3.6640625" style="252" customWidth="1"/>
    <col min="14848" max="14848" width="13.5546875" style="252" customWidth="1"/>
    <col min="14849" max="14849" width="1" style="252" customWidth="1"/>
    <col min="14850" max="14850" width="14.21875" style="252" bestFit="1" customWidth="1"/>
    <col min="14851" max="14851" width="3.33203125" style="252" customWidth="1"/>
    <col min="14852" max="14852" width="20.44140625" style="252" customWidth="1"/>
    <col min="14853" max="15093" width="8.77734375" style="252"/>
    <col min="15094" max="15094" width="54.6640625" style="252" customWidth="1"/>
    <col min="15095" max="15095" width="13.77734375" style="252" customWidth="1"/>
    <col min="15096" max="15096" width="0" style="252" hidden="1" customWidth="1"/>
    <col min="15097" max="15097" width="6.6640625" style="252" customWidth="1"/>
    <col min="15098" max="15098" width="15" style="252" customWidth="1"/>
    <col min="15099" max="15099" width="3.6640625" style="252" bestFit="1" customWidth="1"/>
    <col min="15100" max="15100" width="15.44140625" style="252" bestFit="1" customWidth="1"/>
    <col min="15101" max="15101" width="3.77734375" style="252" customWidth="1"/>
    <col min="15102" max="15102" width="11.21875" style="252" bestFit="1" customWidth="1"/>
    <col min="15103" max="15103" width="3.6640625" style="252" customWidth="1"/>
    <col min="15104" max="15104" width="13.5546875" style="252" customWidth="1"/>
    <col min="15105" max="15105" width="1" style="252" customWidth="1"/>
    <col min="15106" max="15106" width="14.21875" style="252" bestFit="1" customWidth="1"/>
    <col min="15107" max="15107" width="3.33203125" style="252" customWidth="1"/>
    <col min="15108" max="15108" width="20.44140625" style="252" customWidth="1"/>
    <col min="15109" max="15349" width="8.77734375" style="252"/>
    <col min="15350" max="15350" width="54.6640625" style="252" customWidth="1"/>
    <col min="15351" max="15351" width="13.77734375" style="252" customWidth="1"/>
    <col min="15352" max="15352" width="0" style="252" hidden="1" customWidth="1"/>
    <col min="15353" max="15353" width="6.6640625" style="252" customWidth="1"/>
    <col min="15354" max="15354" width="15" style="252" customWidth="1"/>
    <col min="15355" max="15355" width="3.6640625" style="252" bestFit="1" customWidth="1"/>
    <col min="15356" max="15356" width="15.44140625" style="252" bestFit="1" customWidth="1"/>
    <col min="15357" max="15357" width="3.77734375" style="252" customWidth="1"/>
    <col min="15358" max="15358" width="11.21875" style="252" bestFit="1" customWidth="1"/>
    <col min="15359" max="15359" width="3.6640625" style="252" customWidth="1"/>
    <col min="15360" max="15360" width="13.5546875" style="252" customWidth="1"/>
    <col min="15361" max="15361" width="1" style="252" customWidth="1"/>
    <col min="15362" max="15362" width="14.21875" style="252" bestFit="1" customWidth="1"/>
    <col min="15363" max="15363" width="3.33203125" style="252" customWidth="1"/>
    <col min="15364" max="15364" width="20.44140625" style="252" customWidth="1"/>
    <col min="15365" max="15605" width="8.77734375" style="252"/>
    <col min="15606" max="15606" width="54.6640625" style="252" customWidth="1"/>
    <col min="15607" max="15607" width="13.77734375" style="252" customWidth="1"/>
    <col min="15608" max="15608" width="0" style="252" hidden="1" customWidth="1"/>
    <col min="15609" max="15609" width="6.6640625" style="252" customWidth="1"/>
    <col min="15610" max="15610" width="15" style="252" customWidth="1"/>
    <col min="15611" max="15611" width="3.6640625" style="252" bestFit="1" customWidth="1"/>
    <col min="15612" max="15612" width="15.44140625" style="252" bestFit="1" customWidth="1"/>
    <col min="15613" max="15613" width="3.77734375" style="252" customWidth="1"/>
    <col min="15614" max="15614" width="11.21875" style="252" bestFit="1" customWidth="1"/>
    <col min="15615" max="15615" width="3.6640625" style="252" customWidth="1"/>
    <col min="15616" max="15616" width="13.5546875" style="252" customWidth="1"/>
    <col min="15617" max="15617" width="1" style="252" customWidth="1"/>
    <col min="15618" max="15618" width="14.21875" style="252" bestFit="1" customWidth="1"/>
    <col min="15619" max="15619" width="3.33203125" style="252" customWidth="1"/>
    <col min="15620" max="15620" width="20.44140625" style="252" customWidth="1"/>
    <col min="15621" max="15861" width="8.77734375" style="252"/>
    <col min="15862" max="15862" width="54.6640625" style="252" customWidth="1"/>
    <col min="15863" max="15863" width="13.77734375" style="252" customWidth="1"/>
    <col min="15864" max="15864" width="0" style="252" hidden="1" customWidth="1"/>
    <col min="15865" max="15865" width="6.6640625" style="252" customWidth="1"/>
    <col min="15866" max="15866" width="15" style="252" customWidth="1"/>
    <col min="15867" max="15867" width="3.6640625" style="252" bestFit="1" customWidth="1"/>
    <col min="15868" max="15868" width="15.44140625" style="252" bestFit="1" customWidth="1"/>
    <col min="15869" max="15869" width="3.77734375" style="252" customWidth="1"/>
    <col min="15870" max="15870" width="11.21875" style="252" bestFit="1" customWidth="1"/>
    <col min="15871" max="15871" width="3.6640625" style="252" customWidth="1"/>
    <col min="15872" max="15872" width="13.5546875" style="252" customWidth="1"/>
    <col min="15873" max="15873" width="1" style="252" customWidth="1"/>
    <col min="15874" max="15874" width="14.21875" style="252" bestFit="1" customWidth="1"/>
    <col min="15875" max="15875" width="3.33203125" style="252" customWidth="1"/>
    <col min="15876" max="15876" width="20.44140625" style="252" customWidth="1"/>
    <col min="15877" max="16117" width="8.77734375" style="252"/>
    <col min="16118" max="16118" width="54.6640625" style="252" customWidth="1"/>
    <col min="16119" max="16119" width="13.77734375" style="252" customWidth="1"/>
    <col min="16120" max="16120" width="0" style="252" hidden="1" customWidth="1"/>
    <col min="16121" max="16121" width="6.6640625" style="252" customWidth="1"/>
    <col min="16122" max="16122" width="15" style="252" customWidth="1"/>
    <col min="16123" max="16123" width="3.6640625" style="252" bestFit="1" customWidth="1"/>
    <col min="16124" max="16124" width="15.44140625" style="252" bestFit="1" customWidth="1"/>
    <col min="16125" max="16125" width="3.77734375" style="252" customWidth="1"/>
    <col min="16126" max="16126" width="11.21875" style="252" bestFit="1" customWidth="1"/>
    <col min="16127" max="16127" width="3.6640625" style="252" customWidth="1"/>
    <col min="16128" max="16128" width="13.5546875" style="252" customWidth="1"/>
    <col min="16129" max="16129" width="1" style="252" customWidth="1"/>
    <col min="16130" max="16130" width="14.21875" style="252" bestFit="1" customWidth="1"/>
    <col min="16131" max="16131" width="3.33203125" style="252" customWidth="1"/>
    <col min="16132" max="16132" width="20.44140625" style="252" customWidth="1"/>
    <col min="16133" max="16371" width="8.77734375" style="252"/>
    <col min="16372" max="16384" width="8.77734375" style="252" customWidth="1"/>
  </cols>
  <sheetData>
    <row r="1" spans="1:8" s="421" customFormat="1" ht="20.25">
      <c r="A1" s="965" t="str">
        <f>'P1 ADIT 190 &amp; 282'!A1</f>
        <v>Duke Energy Ohio and Duke Energy Kentucky</v>
      </c>
      <c r="B1" s="465"/>
      <c r="C1" s="738"/>
      <c r="D1" s="739"/>
    </row>
    <row r="2" spans="1:8" s="421" customFormat="1" ht="15.75">
      <c r="A2" s="891"/>
      <c r="B2" s="891"/>
      <c r="C2" s="738"/>
      <c r="D2" s="739"/>
    </row>
    <row r="3" spans="1:8" s="421" customFormat="1" ht="15.75">
      <c r="A3" s="730"/>
      <c r="B3" s="731" t="s">
        <v>426</v>
      </c>
      <c r="C3" s="738"/>
      <c r="D3" s="739"/>
      <c r="E3" s="732"/>
    </row>
    <row r="4" spans="1:8" s="421" customFormat="1" ht="15.75">
      <c r="A4" s="730"/>
      <c r="B4" s="567" t="str">
        <f>"Page 9 of "&amp;Workpaper</f>
        <v>Page 9 of 18</v>
      </c>
      <c r="C4" s="738"/>
      <c r="D4" s="739"/>
      <c r="E4" s="732"/>
    </row>
    <row r="5" spans="1:8" ht="15.75">
      <c r="A5" s="733"/>
      <c r="B5" s="275" t="str">
        <f>"For the 12 months ended: "&amp;TEXT(INPUT!$B$1,"mm/dd/yyyy")</f>
        <v>For the 12 months ended: 12/31/2017</v>
      </c>
      <c r="C5" s="738"/>
      <c r="D5" s="739"/>
      <c r="E5" s="733"/>
    </row>
    <row r="6" spans="1:8" s="627" customFormat="1" ht="15.75">
      <c r="A6" s="733"/>
      <c r="B6" s="733"/>
      <c r="C6" s="738"/>
      <c r="D6" s="739"/>
      <c r="E6" s="733"/>
    </row>
    <row r="7" spans="1:8" ht="15.75">
      <c r="A7" s="777" t="s">
        <v>5</v>
      </c>
      <c r="B7" s="734"/>
      <c r="C7" s="738"/>
      <c r="D7" s="739"/>
      <c r="E7" s="733"/>
    </row>
    <row r="8" spans="1:8" ht="15.75">
      <c r="A8" s="734" t="s">
        <v>6</v>
      </c>
      <c r="B8" s="734"/>
      <c r="C8" s="738"/>
      <c r="D8" s="739"/>
      <c r="E8" s="733"/>
    </row>
    <row r="9" spans="1:8" ht="15.75">
      <c r="A9" s="735" t="s">
        <v>700</v>
      </c>
      <c r="B9" s="735"/>
      <c r="C9" s="738"/>
      <c r="D9" s="739"/>
      <c r="E9" s="733"/>
    </row>
    <row r="10" spans="1:8" ht="15.75">
      <c r="A10" s="736" t="s">
        <v>279</v>
      </c>
      <c r="B10" s="736"/>
      <c r="C10" s="738"/>
      <c r="D10" s="739"/>
      <c r="E10" s="733"/>
    </row>
    <row r="11" spans="1:8" ht="15.75">
      <c r="A11" s="737"/>
      <c r="B11" s="737"/>
      <c r="C11" s="738"/>
      <c r="D11" s="739"/>
      <c r="E11" s="733"/>
    </row>
    <row r="12" spans="1:8" ht="15.75">
      <c r="A12" s="733"/>
      <c r="B12" s="966" t="s">
        <v>609</v>
      </c>
      <c r="C12" s="738"/>
      <c r="D12" s="739"/>
      <c r="E12" s="740"/>
      <c r="F12" s="681"/>
    </row>
    <row r="13" spans="1:8" ht="15.75">
      <c r="A13" s="733"/>
      <c r="B13" s="1035" t="s">
        <v>610</v>
      </c>
      <c r="C13" s="738"/>
      <c r="D13" s="741"/>
      <c r="E13" s="738"/>
      <c r="F13" s="682"/>
    </row>
    <row r="14" spans="1:8" s="253" customFormat="1" ht="9.6" customHeight="1">
      <c r="A14" s="703"/>
      <c r="B14" s="743"/>
      <c r="C14" s="744"/>
      <c r="D14" s="744"/>
      <c r="E14" s="745"/>
    </row>
    <row r="15" spans="1:8" ht="15">
      <c r="A15" s="115" t="s">
        <v>640</v>
      </c>
      <c r="B15" s="688">
        <v>3174238661</v>
      </c>
      <c r="C15" s="747"/>
      <c r="D15" s="748"/>
      <c r="E15" s="742"/>
    </row>
    <row r="16" spans="1:8" ht="15.75">
      <c r="A16" s="749"/>
      <c r="B16" s="746"/>
      <c r="C16" s="750"/>
      <c r="D16" s="746"/>
      <c r="E16" s="733"/>
      <c r="F16" s="627"/>
      <c r="G16" s="627"/>
      <c r="H16" s="627"/>
    </row>
    <row r="17" spans="1:12" ht="15.75">
      <c r="A17" s="528" t="s">
        <v>641</v>
      </c>
      <c r="B17" s="688">
        <v>746918647</v>
      </c>
      <c r="C17" s="752"/>
      <c r="D17" s="751"/>
      <c r="E17" s="733"/>
      <c r="F17" s="627"/>
      <c r="G17" s="627"/>
      <c r="H17" s="627"/>
      <c r="I17" s="627"/>
      <c r="J17" s="627"/>
      <c r="K17" s="627"/>
      <c r="L17" s="627"/>
    </row>
    <row r="18" spans="1:12" s="627" customFormat="1" ht="15.75">
      <c r="A18" s="528"/>
      <c r="B18" s="751"/>
      <c r="C18" s="752"/>
      <c r="D18" s="751"/>
      <c r="E18" s="733"/>
      <c r="G18" s="253"/>
      <c r="H18" s="253"/>
      <c r="I18" s="252"/>
    </row>
    <row r="19" spans="1:12" ht="16.5" thickBot="1">
      <c r="A19" s="753" t="s">
        <v>281</v>
      </c>
      <c r="B19" s="754">
        <f>B15-B17</f>
        <v>2427320014</v>
      </c>
      <c r="C19" s="755"/>
      <c r="D19" s="756"/>
      <c r="E19" s="742"/>
    </row>
    <row r="20" spans="1:12" ht="15.75" thickTop="1">
      <c r="A20" s="680"/>
      <c r="B20" s="454"/>
      <c r="C20" s="455"/>
      <c r="D20" s="684"/>
      <c r="E20" s="628"/>
    </row>
    <row r="21" spans="1:12" s="628" customFormat="1" ht="15">
      <c r="A21" s="683"/>
      <c r="C21" s="456"/>
      <c r="D21" s="456"/>
      <c r="E21" s="679"/>
    </row>
    <row r="22" spans="1:12">
      <c r="A22" s="252" t="s">
        <v>8</v>
      </c>
      <c r="B22" s="627"/>
    </row>
    <row r="23" spans="1:12">
      <c r="B23" s="627"/>
    </row>
    <row r="25" spans="1:12">
      <c r="B25" s="627"/>
    </row>
    <row r="26" spans="1:12">
      <c r="B26" s="627"/>
    </row>
    <row r="27" spans="1:12">
      <c r="B27" s="627"/>
    </row>
  </sheetData>
  <phoneticPr fontId="40" type="noConversion"/>
  <pageMargins left="1" right="1" top="1" bottom="1" header="0.5" footer="0.5"/>
  <pageSetup scale="95" orientation="portrait" blackAndWhite="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1"/>
    <pageSetUpPr fitToPage="1"/>
  </sheetPr>
  <dimension ref="A1:Q25"/>
  <sheetViews>
    <sheetView topLeftCell="A118" zoomScale="75" zoomScaleNormal="75" zoomScaleSheetLayoutView="85" workbookViewId="0"/>
  </sheetViews>
  <sheetFormatPr defaultColWidth="7.109375" defaultRowHeight="12.75"/>
  <cols>
    <col min="1" max="1" width="37.109375" style="82" customWidth="1"/>
    <col min="2" max="13" width="8.6640625" style="82" bestFit="1" customWidth="1"/>
    <col min="14" max="14" width="9.33203125" style="82" bestFit="1" customWidth="1"/>
    <col min="15" max="15" width="8.5546875" style="82" bestFit="1" customWidth="1"/>
    <col min="16" max="16384" width="7.109375" style="82"/>
  </cols>
  <sheetData>
    <row r="1" spans="1:17" ht="15.75">
      <c r="A1" s="424" t="str">
        <f>'P1 ADIT 190 &amp; 282'!A1</f>
        <v>Duke Energy Ohio and Duke Energy Kentucky</v>
      </c>
      <c r="B1" s="91"/>
      <c r="C1" s="91"/>
      <c r="D1" s="91"/>
      <c r="E1" s="91"/>
      <c r="F1" s="91"/>
      <c r="G1" s="91"/>
      <c r="H1" s="91"/>
      <c r="I1" s="91"/>
      <c r="J1" s="91"/>
      <c r="K1" s="91"/>
      <c r="L1" s="91"/>
      <c r="M1" s="91"/>
      <c r="N1" s="91"/>
      <c r="O1" s="91"/>
    </row>
    <row r="2" spans="1:17" ht="15.75">
      <c r="A2" s="91"/>
      <c r="B2" s="91"/>
      <c r="C2" s="91"/>
      <c r="D2" s="91"/>
      <c r="E2" s="91"/>
      <c r="F2" s="91"/>
      <c r="G2" s="91"/>
      <c r="H2" s="91"/>
      <c r="I2" s="91"/>
      <c r="J2" s="91"/>
      <c r="K2" s="91"/>
      <c r="L2" s="91"/>
      <c r="M2" s="91"/>
      <c r="N2" s="91"/>
      <c r="O2" s="91"/>
      <c r="Q2" s="403"/>
    </row>
    <row r="3" spans="1:17" ht="15.75">
      <c r="A3" s="91"/>
      <c r="B3" s="91"/>
      <c r="C3" s="91"/>
      <c r="D3" s="91"/>
      <c r="E3" s="91"/>
      <c r="F3" s="91"/>
      <c r="G3" s="91"/>
      <c r="H3" s="91"/>
      <c r="I3" s="91"/>
      <c r="J3" s="91"/>
      <c r="K3" s="91"/>
      <c r="L3" s="91"/>
      <c r="M3" s="91"/>
      <c r="N3" s="91"/>
      <c r="O3" s="237" t="s">
        <v>426</v>
      </c>
      <c r="Q3" s="403"/>
    </row>
    <row r="4" spans="1:17" ht="15.75">
      <c r="A4" s="91"/>
      <c r="B4" s="91"/>
      <c r="C4" s="91"/>
      <c r="D4" s="91"/>
      <c r="E4" s="91"/>
      <c r="F4" s="91"/>
      <c r="G4" s="91"/>
      <c r="H4" s="91"/>
      <c r="I4" s="91"/>
      <c r="J4" s="91"/>
      <c r="K4" s="91"/>
      <c r="L4" s="91"/>
      <c r="M4" s="91"/>
      <c r="N4" s="91"/>
      <c r="O4" s="561" t="str">
        <f>"Page 10 of "&amp;Workpaper</f>
        <v>Page 10 of 18</v>
      </c>
      <c r="Q4" s="403"/>
    </row>
    <row r="5" spans="1:17" ht="15.75">
      <c r="A5" s="91"/>
      <c r="B5" s="91"/>
      <c r="C5" s="91"/>
      <c r="D5" s="91"/>
      <c r="E5" s="91"/>
      <c r="F5" s="91"/>
      <c r="G5" s="91"/>
      <c r="H5" s="91"/>
      <c r="I5" s="91"/>
      <c r="J5" s="91"/>
      <c r="K5" s="91"/>
      <c r="L5" s="91"/>
      <c r="M5" s="91"/>
      <c r="N5" s="91"/>
      <c r="O5" s="729" t="str">
        <f>"For the 12 months ended: "&amp;TEXT(INPUT!$B$1,"mm/dd/yyyy")</f>
        <v>For the 12 months ended: 12/31/2017</v>
      </c>
    </row>
    <row r="7" spans="1:17">
      <c r="A7" s="92" t="str">
        <f>CONCATENATE(TEXT(RIGHT(DEOK!G7,10),"YYYY")," MONTHLY PEAKS IN KILOWATTS")</f>
        <v>2017 MONTHLY PEAKS IN KILOWATTS</v>
      </c>
      <c r="B7" s="92"/>
      <c r="C7" s="92"/>
      <c r="D7" s="92"/>
      <c r="E7" s="92"/>
      <c r="F7" s="92"/>
      <c r="G7" s="92"/>
      <c r="H7" s="92"/>
      <c r="I7" s="92"/>
      <c r="J7" s="92"/>
      <c r="K7" s="92"/>
      <c r="L7" s="92"/>
      <c r="M7" s="92"/>
      <c r="N7" s="92"/>
      <c r="O7" s="92"/>
    </row>
    <row r="8" spans="1:17">
      <c r="A8" s="83"/>
      <c r="B8" s="83"/>
      <c r="C8" s="83"/>
      <c r="D8" s="83"/>
      <c r="E8" s="83"/>
      <c r="F8" s="83"/>
      <c r="G8" s="83"/>
      <c r="H8" s="83"/>
      <c r="I8" s="83"/>
      <c r="J8" s="83"/>
      <c r="K8" s="83"/>
      <c r="L8" s="83"/>
      <c r="M8" s="83"/>
    </row>
    <row r="9" spans="1:17">
      <c r="A9" s="83"/>
      <c r="B9" s="83"/>
      <c r="C9" s="83"/>
      <c r="D9" s="83"/>
      <c r="E9" s="83"/>
      <c r="F9" s="83"/>
      <c r="G9" s="83"/>
      <c r="H9" s="83"/>
      <c r="I9" s="83"/>
      <c r="J9" s="83"/>
      <c r="K9" s="83"/>
      <c r="L9" s="83"/>
      <c r="M9" s="83"/>
    </row>
    <row r="11" spans="1:17" ht="15">
      <c r="B11" s="84" t="s">
        <v>166</v>
      </c>
      <c r="C11" s="84" t="s">
        <v>167</v>
      </c>
      <c r="D11" s="84" t="s">
        <v>168</v>
      </c>
      <c r="E11" s="84" t="s">
        <v>169</v>
      </c>
      <c r="F11" s="84" t="s">
        <v>284</v>
      </c>
      <c r="G11" s="84" t="s">
        <v>170</v>
      </c>
      <c r="H11" s="84" t="s">
        <v>285</v>
      </c>
      <c r="I11" s="84" t="s">
        <v>171</v>
      </c>
      <c r="J11" s="84" t="s">
        <v>286</v>
      </c>
      <c r="K11" s="84" t="s">
        <v>287</v>
      </c>
      <c r="L11" s="84" t="s">
        <v>288</v>
      </c>
      <c r="M11" s="84" t="s">
        <v>172</v>
      </c>
      <c r="N11" s="84" t="s">
        <v>13</v>
      </c>
      <c r="O11" s="84" t="s">
        <v>173</v>
      </c>
    </row>
    <row r="12" spans="1:17" ht="15">
      <c r="B12" s="542"/>
      <c r="C12" s="542"/>
      <c r="D12" s="542"/>
      <c r="E12" s="542"/>
      <c r="F12" s="542"/>
      <c r="G12" s="542"/>
      <c r="H12" s="542"/>
      <c r="I12" s="542"/>
      <c r="J12" s="542"/>
      <c r="K12" s="542"/>
      <c r="L12" s="542"/>
      <c r="M12" s="542"/>
      <c r="N12" s="84"/>
      <c r="O12" s="84"/>
    </row>
    <row r="13" spans="1:17">
      <c r="A13" s="529" t="s">
        <v>398</v>
      </c>
      <c r="B13" s="1000">
        <v>4308000</v>
      </c>
      <c r="C13" s="1000">
        <v>3906000</v>
      </c>
      <c r="D13" s="1000">
        <v>3914000</v>
      </c>
      <c r="E13" s="1000">
        <v>3617000</v>
      </c>
      <c r="F13" s="1000">
        <v>4274000</v>
      </c>
      <c r="G13" s="1000">
        <v>4806000</v>
      </c>
      <c r="H13" s="1000">
        <v>5007000</v>
      </c>
      <c r="I13" s="1000">
        <v>5036000</v>
      </c>
      <c r="J13" s="1000">
        <v>4656000</v>
      </c>
      <c r="K13" s="1000">
        <v>3738000</v>
      </c>
      <c r="L13" s="1000">
        <v>3528000</v>
      </c>
      <c r="M13" s="1000">
        <v>4249000</v>
      </c>
      <c r="N13" s="85">
        <f>SUM(B13:M13)</f>
        <v>51039000</v>
      </c>
      <c r="O13" s="85">
        <f>ROUND(N13/12,0)</f>
        <v>4253250</v>
      </c>
    </row>
    <row r="14" spans="1:17">
      <c r="B14" s="711"/>
      <c r="C14" s="711"/>
      <c r="D14" s="711"/>
      <c r="E14" s="711"/>
      <c r="F14" s="711"/>
      <c r="G14" s="711"/>
      <c r="H14" s="711"/>
      <c r="I14" s="711"/>
      <c r="J14" s="711"/>
      <c r="K14" s="711"/>
      <c r="L14" s="711"/>
      <c r="M14" s="711"/>
      <c r="N14" s="85"/>
      <c r="O14" s="85"/>
    </row>
    <row r="15" spans="1:17">
      <c r="A15" s="268" t="s">
        <v>417</v>
      </c>
      <c r="B15" s="711"/>
      <c r="C15" s="711"/>
      <c r="D15" s="711"/>
      <c r="E15" s="711"/>
      <c r="F15" s="711"/>
      <c r="G15" s="711"/>
      <c r="H15" s="711"/>
      <c r="I15" s="711"/>
      <c r="J15" s="711"/>
      <c r="K15" s="711"/>
      <c r="L15" s="711"/>
      <c r="M15" s="711"/>
      <c r="N15" s="85"/>
      <c r="O15" s="85"/>
    </row>
    <row r="16" spans="1:17">
      <c r="A16" s="196" t="s">
        <v>433</v>
      </c>
      <c r="B16" s="1001">
        <v>683000</v>
      </c>
      <c r="C16" s="1001">
        <v>623000</v>
      </c>
      <c r="D16" s="1001">
        <v>640000</v>
      </c>
      <c r="E16" s="1001">
        <v>588000</v>
      </c>
      <c r="F16" s="1001">
        <v>698000</v>
      </c>
      <c r="G16" s="1001">
        <v>773000</v>
      </c>
      <c r="H16" s="1001">
        <v>805000</v>
      </c>
      <c r="I16" s="1001">
        <v>805000</v>
      </c>
      <c r="J16" s="1001">
        <v>738000</v>
      </c>
      <c r="K16" s="1001">
        <v>607000</v>
      </c>
      <c r="L16" s="1001">
        <v>566000</v>
      </c>
      <c r="M16" s="1001">
        <v>681000</v>
      </c>
      <c r="N16" s="85">
        <f>SUM(B16:M16)</f>
        <v>8207000</v>
      </c>
      <c r="O16" s="85">
        <f>ROUND(N16/12,0)</f>
        <v>683917</v>
      </c>
    </row>
    <row r="17" spans="1:17">
      <c r="B17" s="85"/>
      <c r="C17" s="85"/>
      <c r="D17" s="85"/>
      <c r="E17" s="85"/>
      <c r="F17" s="85"/>
      <c r="G17" s="85"/>
      <c r="H17" s="85"/>
      <c r="I17" s="85"/>
      <c r="J17" s="85"/>
      <c r="K17" s="85"/>
      <c r="L17" s="85"/>
      <c r="M17" s="85"/>
      <c r="N17" s="85"/>
      <c r="O17" s="85"/>
    </row>
    <row r="18" spans="1:17" ht="42" customHeight="1">
      <c r="A18" s="530" t="s">
        <v>399</v>
      </c>
      <c r="B18" s="86">
        <f>B13-B16</f>
        <v>3625000</v>
      </c>
      <c r="C18" s="86">
        <f t="shared" ref="C18:O18" si="0">C13-C16</f>
        <v>3283000</v>
      </c>
      <c r="D18" s="86">
        <f t="shared" si="0"/>
        <v>3274000</v>
      </c>
      <c r="E18" s="86">
        <f t="shared" si="0"/>
        <v>3029000</v>
      </c>
      <c r="F18" s="86">
        <f t="shared" si="0"/>
        <v>3576000</v>
      </c>
      <c r="G18" s="86">
        <f t="shared" si="0"/>
        <v>4033000</v>
      </c>
      <c r="H18" s="86">
        <f t="shared" si="0"/>
        <v>4202000</v>
      </c>
      <c r="I18" s="86">
        <f t="shared" si="0"/>
        <v>4231000</v>
      </c>
      <c r="J18" s="86">
        <f t="shared" si="0"/>
        <v>3918000</v>
      </c>
      <c r="K18" s="86">
        <f t="shared" si="0"/>
        <v>3131000</v>
      </c>
      <c r="L18" s="86">
        <f t="shared" si="0"/>
        <v>2962000</v>
      </c>
      <c r="M18" s="86">
        <f t="shared" si="0"/>
        <v>3568000</v>
      </c>
      <c r="N18" s="86">
        <f t="shared" si="0"/>
        <v>42832000</v>
      </c>
      <c r="O18" s="86">
        <f t="shared" si="0"/>
        <v>3569333</v>
      </c>
      <c r="Q18" s="268"/>
    </row>
    <row r="20" spans="1:17" ht="15">
      <c r="A20" s="443" t="s">
        <v>174</v>
      </c>
      <c r="B20" s="540"/>
      <c r="C20" s="541"/>
      <c r="D20" s="541"/>
      <c r="E20" s="541"/>
      <c r="F20" s="541"/>
      <c r="G20" s="541"/>
      <c r="H20" s="541"/>
      <c r="I20" s="541"/>
      <c r="J20" s="542"/>
      <c r="K20" s="542"/>
      <c r="L20" s="84"/>
      <c r="M20" s="84"/>
      <c r="N20" s="84"/>
      <c r="O20" s="84"/>
    </row>
    <row r="21" spans="1:17">
      <c r="A21" s="624" t="s">
        <v>541</v>
      </c>
      <c r="B21" s="443"/>
      <c r="C21" s="443"/>
      <c r="D21" s="443"/>
      <c r="E21" s="443"/>
      <c r="F21" s="443"/>
      <c r="G21" s="443"/>
      <c r="H21" s="443"/>
      <c r="I21" s="443"/>
      <c r="J21" s="443"/>
      <c r="K21" s="443"/>
    </row>
    <row r="22" spans="1:17">
      <c r="A22" s="623" t="s">
        <v>757</v>
      </c>
    </row>
    <row r="23" spans="1:17" ht="15">
      <c r="A23" s="62"/>
    </row>
    <row r="24" spans="1:17">
      <c r="A24" s="444"/>
      <c r="B24" s="443"/>
      <c r="C24" s="443"/>
      <c r="D24" s="443"/>
      <c r="E24" s="443"/>
      <c r="F24" s="443"/>
      <c r="G24" s="443"/>
      <c r="H24" s="443"/>
      <c r="I24" s="443"/>
      <c r="J24" s="443"/>
      <c r="K24" s="443"/>
      <c r="L24" s="443"/>
      <c r="M24" s="443"/>
    </row>
    <row r="25" spans="1:17">
      <c r="E25" s="268"/>
    </row>
  </sheetData>
  <phoneticPr fontId="32" type="noConversion"/>
  <pageMargins left="0.75" right="0.5" top="1" bottom="0.5" header="0.25" footer="0.25"/>
  <pageSetup scale="66" fitToHeight="2" orientation="landscape" blackAndWhite="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1"/>
    <pageSetUpPr fitToPage="1"/>
  </sheetPr>
  <dimension ref="A1:K45"/>
  <sheetViews>
    <sheetView topLeftCell="A10" zoomScale="70" zoomScaleNormal="70" workbookViewId="0"/>
  </sheetViews>
  <sheetFormatPr defaultColWidth="8.77734375" defaultRowHeight="15"/>
  <cols>
    <col min="1" max="1" width="46.21875" style="670" bestFit="1" customWidth="1"/>
    <col min="2" max="2" width="5.77734375" style="670" customWidth="1"/>
    <col min="3" max="3" width="15.5546875" style="670" bestFit="1" customWidth="1"/>
    <col min="4" max="4" width="19.21875" style="670" bestFit="1" customWidth="1"/>
    <col min="5" max="5" width="3" style="670" customWidth="1"/>
    <col min="6" max="16384" width="8.77734375" style="670"/>
  </cols>
  <sheetData>
    <row r="1" spans="1:9" ht="18">
      <c r="A1" s="562" t="str">
        <f>'P1 ADIT 190 &amp; 282'!A1</f>
        <v>Duke Energy Ohio and Duke Energy Kentucky</v>
      </c>
      <c r="B1" s="568"/>
      <c r="C1" s="568"/>
      <c r="D1" s="568"/>
      <c r="G1" s="604"/>
      <c r="H1" s="604"/>
      <c r="I1" s="604"/>
    </row>
    <row r="2" spans="1:9" ht="18">
      <c r="A2" s="562"/>
      <c r="B2" s="568"/>
      <c r="C2" s="568"/>
      <c r="D2" s="568"/>
      <c r="G2" s="604"/>
      <c r="H2" s="604"/>
      <c r="I2" s="604"/>
    </row>
    <row r="3" spans="1:9" ht="15.75">
      <c r="A3" s="571"/>
      <c r="B3" s="568"/>
      <c r="C3" s="568"/>
      <c r="D3" s="569" t="s">
        <v>426</v>
      </c>
    </row>
    <row r="4" spans="1:9" ht="15.75">
      <c r="A4" s="571"/>
      <c r="B4" s="568"/>
      <c r="C4" s="568"/>
      <c r="D4" s="567" t="str">
        <f>"Page 11 of "&amp;Workpaper</f>
        <v>Page 11 of 18</v>
      </c>
    </row>
    <row r="5" spans="1:9" ht="15.75">
      <c r="A5" s="571"/>
      <c r="B5" s="568"/>
      <c r="C5" s="568"/>
      <c r="D5" s="275" t="str">
        <f>"For the 12 months ended: "&amp;TEXT(INPUT!$B$1,"mm/dd/yyyy")</f>
        <v>For the 12 months ended: 12/31/2017</v>
      </c>
    </row>
    <row r="6" spans="1:9" ht="15.75">
      <c r="A6" s="571"/>
      <c r="B6" s="568"/>
      <c r="C6" s="568"/>
      <c r="D6" s="568"/>
    </row>
    <row r="7" spans="1:9" ht="15.75">
      <c r="A7" s="571" t="s">
        <v>860</v>
      </c>
      <c r="B7" s="568"/>
      <c r="C7" s="568"/>
      <c r="D7" s="568"/>
    </row>
    <row r="8" spans="1:9" ht="15.75">
      <c r="A8" s="571"/>
      <c r="B8" s="568"/>
      <c r="C8" s="568"/>
      <c r="D8" s="568"/>
    </row>
    <row r="9" spans="1:9" ht="15.75">
      <c r="A9" s="572"/>
      <c r="B9" s="573"/>
      <c r="C9" s="573"/>
      <c r="D9" s="573"/>
    </row>
    <row r="10" spans="1:9" ht="20.25">
      <c r="A10" s="110"/>
      <c r="B10" s="201"/>
      <c r="C10" s="113"/>
      <c r="D10" s="113"/>
    </row>
    <row r="11" spans="1:9" ht="21" thickBot="1">
      <c r="A11" s="110"/>
      <c r="B11" s="202"/>
      <c r="C11" s="114" t="s">
        <v>191</v>
      </c>
      <c r="D11" s="114" t="s">
        <v>192</v>
      </c>
    </row>
    <row r="12" spans="1:9" ht="21" thickBot="1">
      <c r="A12" s="574" t="s">
        <v>611</v>
      </c>
      <c r="B12" s="202"/>
      <c r="C12" s="114"/>
      <c r="D12" s="114"/>
    </row>
    <row r="13" spans="1:9" ht="24" customHeight="1">
      <c r="A13" s="115" t="s">
        <v>612</v>
      </c>
      <c r="B13" s="203"/>
      <c r="C13" s="688">
        <v>2513393</v>
      </c>
      <c r="D13" s="688">
        <v>12343501</v>
      </c>
    </row>
    <row r="14" spans="1:9">
      <c r="A14" s="116"/>
      <c r="B14" s="204"/>
      <c r="C14" s="204"/>
      <c r="D14" s="204"/>
    </row>
    <row r="15" spans="1:9" ht="40.5" customHeight="1">
      <c r="A15" s="528" t="s">
        <v>618</v>
      </c>
      <c r="B15" s="117"/>
      <c r="C15" s="558">
        <v>0</v>
      </c>
      <c r="D15" s="558">
        <v>0</v>
      </c>
    </row>
    <row r="16" spans="1:9">
      <c r="A16" s="116"/>
      <c r="B16" s="204"/>
      <c r="C16" s="204"/>
      <c r="D16" s="204"/>
    </row>
    <row r="17" spans="1:4" ht="24.75" customHeight="1">
      <c r="A17" s="118" t="s">
        <v>619</v>
      </c>
      <c r="B17" s="205"/>
      <c r="C17" s="205">
        <f>C13-SUM(C15:C15)</f>
        <v>2513393</v>
      </c>
      <c r="D17" s="205">
        <f>D13-SUM(D15:D15)</f>
        <v>12343501</v>
      </c>
    </row>
    <row r="18" spans="1:4" ht="14.25" customHeight="1">
      <c r="A18" s="118"/>
      <c r="B18" s="205"/>
      <c r="C18" s="205"/>
      <c r="D18" s="205"/>
    </row>
    <row r="19" spans="1:4" ht="15.75" thickBot="1">
      <c r="A19" s="116"/>
      <c r="B19" s="204"/>
      <c r="C19" s="204"/>
      <c r="D19" s="204"/>
    </row>
    <row r="20" spans="1:4" ht="16.5" thickBot="1">
      <c r="A20" s="574" t="s">
        <v>613</v>
      </c>
      <c r="B20" s="204"/>
      <c r="C20" s="204"/>
      <c r="D20" s="204"/>
    </row>
    <row r="21" spans="1:4" ht="24" customHeight="1">
      <c r="A21" s="115" t="s">
        <v>614</v>
      </c>
      <c r="B21" s="203"/>
      <c r="C21" s="688">
        <v>7181338</v>
      </c>
      <c r="D21" s="688">
        <v>976914</v>
      </c>
    </row>
    <row r="22" spans="1:4">
      <c r="A22" s="116"/>
      <c r="B22" s="204"/>
      <c r="C22" s="204"/>
      <c r="D22" s="204"/>
    </row>
    <row r="23" spans="1:4" ht="41.25" customHeight="1">
      <c r="A23" s="528" t="s">
        <v>618</v>
      </c>
      <c r="B23" s="121"/>
      <c r="C23" s="558">
        <v>0</v>
      </c>
      <c r="D23" s="558">
        <v>0</v>
      </c>
    </row>
    <row r="24" spans="1:4">
      <c r="A24" s="116"/>
      <c r="B24" s="204"/>
      <c r="C24" s="204"/>
      <c r="D24" s="204"/>
    </row>
    <row r="25" spans="1:4" ht="27" customHeight="1">
      <c r="A25" s="118" t="s">
        <v>620</v>
      </c>
      <c r="B25" s="205"/>
      <c r="C25" s="205">
        <f>C21-SUM(C23:C23)</f>
        <v>7181338</v>
      </c>
      <c r="D25" s="205">
        <f>D21-SUM(D23:D23)</f>
        <v>976914</v>
      </c>
    </row>
    <row r="26" spans="1:4" ht="14.25" customHeight="1">
      <c r="A26" s="118"/>
      <c r="B26" s="205"/>
      <c r="C26" s="205"/>
      <c r="D26" s="205"/>
    </row>
    <row r="27" spans="1:4" ht="15.75" thickBot="1">
      <c r="A27" s="116"/>
      <c r="B27" s="204"/>
      <c r="C27" s="204"/>
      <c r="D27" s="204"/>
    </row>
    <row r="28" spans="1:4" ht="16.5" thickBot="1">
      <c r="A28" s="574" t="s">
        <v>615</v>
      </c>
      <c r="B28" s="204"/>
      <c r="C28" s="204"/>
      <c r="D28" s="204"/>
    </row>
    <row r="29" spans="1:4" ht="24" customHeight="1">
      <c r="A29" s="115" t="s">
        <v>616</v>
      </c>
      <c r="B29" s="203"/>
      <c r="C29" s="688">
        <v>26872703</v>
      </c>
      <c r="D29" s="688">
        <v>4924247</v>
      </c>
    </row>
    <row r="30" spans="1:4">
      <c r="A30" s="116"/>
      <c r="B30" s="204"/>
      <c r="C30" s="204"/>
      <c r="D30" s="204"/>
    </row>
    <row r="31" spans="1:4" ht="43.5" customHeight="1">
      <c r="A31" s="528" t="s">
        <v>618</v>
      </c>
      <c r="B31" s="121"/>
      <c r="C31" s="558">
        <v>0</v>
      </c>
      <c r="D31" s="558">
        <v>0</v>
      </c>
    </row>
    <row r="32" spans="1:4">
      <c r="A32" s="116"/>
      <c r="B32" s="204"/>
      <c r="C32" s="204"/>
      <c r="D32" s="204"/>
    </row>
    <row r="33" spans="1:11" ht="27" customHeight="1">
      <c r="A33" s="118" t="s">
        <v>621</v>
      </c>
      <c r="B33" s="205"/>
      <c r="C33" s="205">
        <f>C29-SUM(C31:C31)</f>
        <v>26872703</v>
      </c>
      <c r="D33" s="205">
        <f>D29-SUM(D31:D31)</f>
        <v>4924247</v>
      </c>
    </row>
    <row r="34" spans="1:11">
      <c r="A34" s="116"/>
      <c r="B34" s="204"/>
      <c r="C34" s="204"/>
      <c r="D34" s="204"/>
    </row>
    <row r="35" spans="1:11" ht="15.75" thickBot="1">
      <c r="A35" s="116"/>
      <c r="B35" s="204"/>
      <c r="C35" s="204"/>
      <c r="D35" s="204"/>
    </row>
    <row r="36" spans="1:11" ht="17.100000000000001" customHeight="1" thickBot="1">
      <c r="A36" s="574" t="s">
        <v>617</v>
      </c>
      <c r="B36" s="204"/>
      <c r="C36" s="204"/>
      <c r="D36" s="204"/>
    </row>
    <row r="37" spans="1:11" ht="24" customHeight="1">
      <c r="A37" s="115" t="s">
        <v>861</v>
      </c>
      <c r="B37" s="203"/>
      <c r="C37" s="688">
        <f>10313745+644285</f>
        <v>10958030</v>
      </c>
      <c r="D37" s="688">
        <f>2771485+172015</f>
        <v>2943500</v>
      </c>
    </row>
    <row r="38" spans="1:11">
      <c r="A38" s="116"/>
      <c r="B38" s="204"/>
      <c r="C38" s="204"/>
      <c r="D38" s="204"/>
    </row>
    <row r="39" spans="1:11" ht="37.5" customHeight="1">
      <c r="A39" s="528" t="s">
        <v>618</v>
      </c>
      <c r="B39" s="121"/>
      <c r="C39" s="558">
        <v>168</v>
      </c>
      <c r="D39" s="558">
        <v>55</v>
      </c>
      <c r="F39" s="604"/>
      <c r="G39" s="604"/>
      <c r="H39" s="604"/>
      <c r="I39" s="604"/>
      <c r="J39" s="604"/>
      <c r="K39" s="604"/>
    </row>
    <row r="40" spans="1:11">
      <c r="A40" s="116"/>
      <c r="B40" s="204"/>
      <c r="C40" s="204"/>
      <c r="D40" s="204"/>
    </row>
    <row r="41" spans="1:11" ht="17.25">
      <c r="A41" s="118" t="s">
        <v>622</v>
      </c>
      <c r="B41" s="205"/>
      <c r="C41" s="205">
        <f>C37-SUM(C39:C39)</f>
        <v>10957862</v>
      </c>
      <c r="D41" s="205">
        <f>D37-SUM(D39:D39)</f>
        <v>2943445</v>
      </c>
    </row>
    <row r="42" spans="1:11">
      <c r="C42" s="604"/>
      <c r="D42" s="604"/>
    </row>
    <row r="43" spans="1:11">
      <c r="C43" s="604"/>
      <c r="D43" s="604"/>
    </row>
    <row r="44" spans="1:11">
      <c r="C44" s="604"/>
      <c r="D44" s="604"/>
    </row>
    <row r="45" spans="1:11">
      <c r="C45" s="604"/>
      <c r="D45" s="604"/>
    </row>
  </sheetData>
  <pageMargins left="1" right="0.5" top="1" bottom="0.5" header="0.25" footer="0.25"/>
  <pageSetup scale="80" orientation="portrait"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pageSetUpPr fitToPage="1"/>
  </sheetPr>
  <dimension ref="B1:Q37"/>
  <sheetViews>
    <sheetView zoomScale="75" zoomScaleNormal="75" workbookViewId="0"/>
  </sheetViews>
  <sheetFormatPr defaultColWidth="7.44140625" defaultRowHeight="15"/>
  <cols>
    <col min="1" max="1" width="7.44140625" style="796"/>
    <col min="2" max="2" width="5.33203125" style="796" customWidth="1"/>
    <col min="3" max="3" width="8.5546875" style="796" customWidth="1"/>
    <col min="4" max="4" width="60.21875" style="796" customWidth="1"/>
    <col min="5" max="5" width="1.33203125" style="796" customWidth="1"/>
    <col min="6" max="6" width="12.5546875" style="796" customWidth="1"/>
    <col min="7" max="7" width="13.44140625" style="796" customWidth="1"/>
    <col min="8" max="8" width="13" style="796" bestFit="1" customWidth="1"/>
    <col min="9" max="9" width="1.33203125" style="796" customWidth="1"/>
    <col min="10" max="10" width="63.88671875" style="796" customWidth="1"/>
    <col min="11" max="11" width="11.6640625" style="796" customWidth="1"/>
    <col min="12" max="12" width="2.21875" style="796" customWidth="1"/>
    <col min="13" max="16384" width="7.44140625" style="796"/>
  </cols>
  <sheetData>
    <row r="1" spans="2:17" ht="15.75">
      <c r="B1" s="797" t="s">
        <v>187</v>
      </c>
      <c r="C1" s="797"/>
      <c r="D1" s="797"/>
      <c r="E1" s="797"/>
      <c r="F1" s="797"/>
      <c r="G1" s="797"/>
      <c r="H1" s="797"/>
      <c r="I1" s="797"/>
      <c r="J1" s="797"/>
      <c r="K1" s="797"/>
      <c r="M1" s="871"/>
      <c r="N1" s="871"/>
      <c r="O1" s="871"/>
      <c r="P1" s="871"/>
      <c r="Q1" s="871"/>
    </row>
    <row r="2" spans="2:17" ht="15.75">
      <c r="B2" s="797" t="s">
        <v>701</v>
      </c>
      <c r="C2" s="797"/>
      <c r="D2" s="797"/>
      <c r="E2" s="797"/>
      <c r="F2" s="797"/>
      <c r="G2" s="797"/>
      <c r="H2" s="797"/>
      <c r="I2" s="797"/>
      <c r="J2" s="797"/>
      <c r="K2" s="797"/>
      <c r="M2" s="871"/>
      <c r="N2" s="871"/>
      <c r="O2" s="871"/>
      <c r="P2" s="871"/>
      <c r="Q2" s="871"/>
    </row>
    <row r="3" spans="2:17" ht="15.75">
      <c r="B3" s="797" t="s">
        <v>702</v>
      </c>
      <c r="C3" s="797"/>
      <c r="D3" s="797"/>
      <c r="E3" s="797"/>
      <c r="F3" s="797"/>
      <c r="G3" s="797"/>
      <c r="H3" s="797"/>
      <c r="I3" s="797"/>
      <c r="J3" s="797"/>
      <c r="K3" s="797"/>
    </row>
    <row r="4" spans="2:17" ht="15.75">
      <c r="B4" s="797" t="s">
        <v>703</v>
      </c>
      <c r="C4" s="797"/>
      <c r="D4" s="797"/>
      <c r="E4" s="797"/>
      <c r="F4" s="797"/>
      <c r="G4" s="797"/>
      <c r="H4" s="797"/>
      <c r="I4" s="797"/>
      <c r="J4" s="797"/>
      <c r="K4" s="797"/>
    </row>
    <row r="5" spans="2:17" ht="15.75">
      <c r="B5" s="797"/>
      <c r="C5" s="797"/>
      <c r="D5" s="797"/>
      <c r="E5" s="797"/>
      <c r="F5" s="797"/>
      <c r="G5" s="797"/>
      <c r="H5" s="797"/>
      <c r="I5" s="797"/>
      <c r="J5" s="797"/>
      <c r="K5" s="569" t="s">
        <v>426</v>
      </c>
    </row>
    <row r="6" spans="2:17" ht="15.75">
      <c r="B6" s="797"/>
      <c r="C6" s="797"/>
      <c r="D6" s="797"/>
      <c r="E6" s="797"/>
      <c r="F6" s="797"/>
      <c r="G6" s="797"/>
      <c r="H6" s="797"/>
      <c r="I6" s="797"/>
      <c r="J6" s="797"/>
      <c r="K6" s="567" t="str">
        <f>"Page 12 of "&amp;Workpaper</f>
        <v>Page 12 of 18</v>
      </c>
    </row>
    <row r="7" spans="2:17" ht="15.75">
      <c r="B7" s="797"/>
      <c r="C7" s="797"/>
      <c r="D7" s="797"/>
      <c r="E7" s="797"/>
      <c r="F7" s="797"/>
      <c r="G7" s="797"/>
      <c r="H7" s="797"/>
      <c r="I7" s="797"/>
      <c r="J7" s="797"/>
      <c r="K7" s="275" t="str">
        <f>"For the 12 months ended: "&amp;TEXT(INPUT!$B$1,"mm/dd/yyyy")</f>
        <v>For the 12 months ended: 12/31/2017</v>
      </c>
    </row>
    <row r="9" spans="2:17" ht="15.75">
      <c r="B9" s="798"/>
      <c r="C9" s="799" t="s">
        <v>704</v>
      </c>
      <c r="D9" s="800"/>
      <c r="E9" s="800"/>
      <c r="F9" s="800"/>
      <c r="G9" s="800"/>
      <c r="H9" s="800"/>
      <c r="I9" s="800"/>
      <c r="J9" s="800"/>
      <c r="K9" s="801"/>
    </row>
    <row r="10" spans="2:17" ht="34.5" customHeight="1">
      <c r="B10" s="802" t="s">
        <v>9</v>
      </c>
      <c r="C10" s="803" t="s">
        <v>705</v>
      </c>
      <c r="D10" s="800" t="s">
        <v>706</v>
      </c>
      <c r="E10" s="800"/>
      <c r="F10" s="800"/>
      <c r="G10" s="800"/>
      <c r="H10" s="800"/>
      <c r="I10" s="804"/>
      <c r="J10" s="799" t="s">
        <v>724</v>
      </c>
      <c r="K10" s="805"/>
    </row>
    <row r="11" spans="2:17" ht="15.75">
      <c r="B11" s="806"/>
      <c r="C11" s="807"/>
      <c r="D11" s="808"/>
      <c r="E11" s="808"/>
      <c r="F11" s="809"/>
      <c r="G11" s="809"/>
      <c r="H11" s="809"/>
      <c r="I11" s="810"/>
      <c r="J11" s="811"/>
      <c r="K11" s="812"/>
      <c r="L11" s="810"/>
    </row>
    <row r="12" spans="2:17" ht="59.25" customHeight="1">
      <c r="B12" s="813">
        <v>1</v>
      </c>
      <c r="C12" s="814">
        <v>926</v>
      </c>
      <c r="E12" s="810"/>
      <c r="F12" s="815" t="s">
        <v>707</v>
      </c>
      <c r="G12" s="815" t="s">
        <v>708</v>
      </c>
      <c r="H12" s="816" t="s">
        <v>709</v>
      </c>
      <c r="I12" s="810"/>
      <c r="J12" s="817"/>
      <c r="K12" s="812"/>
      <c r="L12" s="810"/>
    </row>
    <row r="13" spans="2:17">
      <c r="B13" s="813">
        <f t="shared" ref="B13:B14" si="0">B12+1</f>
        <v>2</v>
      </c>
      <c r="C13" s="806"/>
      <c r="D13" s="818" t="s">
        <v>710</v>
      </c>
      <c r="E13" s="810"/>
      <c r="F13" s="810"/>
      <c r="G13" s="810"/>
      <c r="H13" s="810"/>
      <c r="I13" s="810"/>
      <c r="J13" s="817"/>
      <c r="K13" s="812"/>
      <c r="L13" s="810"/>
    </row>
    <row r="14" spans="2:17">
      <c r="B14" s="813">
        <f t="shared" si="0"/>
        <v>3</v>
      </c>
      <c r="C14" s="806"/>
      <c r="D14" s="818" t="s">
        <v>711</v>
      </c>
      <c r="E14" s="810"/>
      <c r="F14" s="1011">
        <v>1734425</v>
      </c>
      <c r="G14" s="1011">
        <v>-18357125</v>
      </c>
      <c r="H14" s="819"/>
      <c r="I14" s="810"/>
      <c r="J14" s="820" t="s">
        <v>786</v>
      </c>
      <c r="K14" s="835" t="s">
        <v>776</v>
      </c>
      <c r="L14" s="810"/>
    </row>
    <row r="15" spans="2:17">
      <c r="B15" s="813">
        <f>B14+1</f>
        <v>4</v>
      </c>
      <c r="C15" s="806"/>
      <c r="D15" s="818" t="s">
        <v>713</v>
      </c>
      <c r="E15" s="810"/>
      <c r="F15" s="833">
        <v>1741012</v>
      </c>
      <c r="G15" s="833">
        <v>0</v>
      </c>
      <c r="H15" s="821"/>
      <c r="I15" s="810"/>
      <c r="J15" s="820" t="s">
        <v>712</v>
      </c>
      <c r="K15" s="835" t="s">
        <v>777</v>
      </c>
      <c r="L15" s="810"/>
    </row>
    <row r="16" spans="2:17">
      <c r="B16" s="813">
        <f>B15+1</f>
        <v>5</v>
      </c>
      <c r="C16" s="806"/>
      <c r="D16" s="818" t="s">
        <v>714</v>
      </c>
      <c r="E16" s="810"/>
      <c r="F16" s="833"/>
      <c r="G16" s="833"/>
      <c r="H16" s="821"/>
      <c r="I16" s="810"/>
      <c r="J16" s="820"/>
      <c r="K16" s="835"/>
      <c r="L16" s="810"/>
    </row>
    <row r="17" spans="2:12">
      <c r="B17" s="813">
        <f>B16+1</f>
        <v>6</v>
      </c>
      <c r="C17" s="806"/>
      <c r="D17" s="818" t="s">
        <v>715</v>
      </c>
      <c r="E17" s="810"/>
      <c r="F17" s="833">
        <v>-217868</v>
      </c>
      <c r="G17" s="833">
        <v>3206867</v>
      </c>
      <c r="H17" s="821"/>
      <c r="I17" s="810"/>
      <c r="J17" s="820" t="s">
        <v>716</v>
      </c>
      <c r="K17" s="835" t="s">
        <v>774</v>
      </c>
      <c r="L17" s="810"/>
    </row>
    <row r="18" spans="2:12">
      <c r="B18" s="813">
        <f t="shared" ref="B18:B22" si="1">B17+1</f>
        <v>7</v>
      </c>
      <c r="C18" s="806"/>
      <c r="D18" s="818" t="s">
        <v>717</v>
      </c>
      <c r="E18" s="810"/>
      <c r="F18" s="833">
        <v>0</v>
      </c>
      <c r="G18" s="833">
        <v>1496322</v>
      </c>
      <c r="H18" s="821"/>
      <c r="I18" s="810"/>
      <c r="J18" s="820" t="s">
        <v>716</v>
      </c>
      <c r="K18" s="835" t="s">
        <v>775</v>
      </c>
      <c r="L18" s="810"/>
    </row>
    <row r="19" spans="2:12">
      <c r="B19" s="813">
        <f t="shared" si="1"/>
        <v>8</v>
      </c>
      <c r="C19" s="806"/>
      <c r="D19" s="818" t="s">
        <v>718</v>
      </c>
      <c r="E19" s="810"/>
      <c r="F19" s="833">
        <v>456220</v>
      </c>
      <c r="G19" s="833">
        <v>3429900</v>
      </c>
      <c r="H19" s="821"/>
      <c r="I19" s="810"/>
      <c r="J19" s="820" t="s">
        <v>773</v>
      </c>
      <c r="K19" s="835"/>
      <c r="L19" s="810"/>
    </row>
    <row r="20" spans="2:12">
      <c r="B20" s="813">
        <f t="shared" si="1"/>
        <v>9</v>
      </c>
      <c r="C20" s="806"/>
      <c r="D20" s="810"/>
      <c r="E20" s="810"/>
      <c r="F20" s="833"/>
      <c r="G20" s="833"/>
      <c r="H20" s="810"/>
      <c r="I20" s="810"/>
      <c r="J20" s="817"/>
      <c r="K20" s="835"/>
      <c r="L20" s="810"/>
    </row>
    <row r="21" spans="2:12" ht="15.75" thickBot="1">
      <c r="B21" s="813">
        <f t="shared" si="1"/>
        <v>10</v>
      </c>
      <c r="C21" s="806"/>
      <c r="D21" s="818" t="s">
        <v>770</v>
      </c>
      <c r="E21" s="810"/>
      <c r="F21" s="822">
        <f>SUM(F14:F20)</f>
        <v>3713789</v>
      </c>
      <c r="G21" s="822">
        <f t="shared" ref="G21" si="2">SUM(G14:G20)</f>
        <v>-10224036</v>
      </c>
      <c r="H21" s="821"/>
      <c r="I21" s="810"/>
      <c r="J21" s="817"/>
      <c r="K21" s="835"/>
      <c r="L21" s="810"/>
    </row>
    <row r="22" spans="2:12" ht="15.75" thickTop="1">
      <c r="B22" s="813">
        <f t="shared" si="1"/>
        <v>11</v>
      </c>
      <c r="C22" s="806"/>
      <c r="D22" s="818"/>
      <c r="E22" s="810"/>
      <c r="F22" s="821"/>
      <c r="G22" s="821"/>
      <c r="H22" s="821"/>
      <c r="I22" s="810"/>
      <c r="J22" s="817"/>
      <c r="K22" s="835"/>
      <c r="L22" s="810"/>
    </row>
    <row r="23" spans="2:12">
      <c r="B23" s="823">
        <f>B22+1</f>
        <v>12</v>
      </c>
      <c r="C23" s="806"/>
      <c r="D23" s="824" t="s">
        <v>719</v>
      </c>
      <c r="E23" s="825"/>
      <c r="F23" s="1012">
        <v>0.67420000000000002</v>
      </c>
      <c r="G23" s="1012">
        <v>1</v>
      </c>
      <c r="H23" s="821"/>
      <c r="I23" s="810"/>
      <c r="J23" s="826" t="s">
        <v>872</v>
      </c>
      <c r="K23" s="835"/>
      <c r="L23" s="810"/>
    </row>
    <row r="24" spans="2:12" ht="21.6" customHeight="1">
      <c r="B24" s="823">
        <f t="shared" ref="B24:B30" si="3">B23+1</f>
        <v>13</v>
      </c>
      <c r="C24" s="867"/>
      <c r="D24" s="868" t="s">
        <v>772</v>
      </c>
      <c r="E24" s="825"/>
      <c r="F24" s="1012">
        <v>0.70630000000000004</v>
      </c>
      <c r="G24" s="870"/>
      <c r="H24" s="869"/>
      <c r="I24" s="825"/>
      <c r="J24" s="1058" t="s">
        <v>885</v>
      </c>
      <c r="K24" s="835"/>
      <c r="L24" s="810"/>
    </row>
    <row r="25" spans="2:12">
      <c r="B25" s="823">
        <f t="shared" si="3"/>
        <v>14</v>
      </c>
      <c r="C25" s="806"/>
      <c r="D25" s="818" t="s">
        <v>769</v>
      </c>
      <c r="E25" s="810"/>
      <c r="F25" s="833"/>
      <c r="G25" s="1013">
        <v>0.1094</v>
      </c>
      <c r="H25" s="821"/>
      <c r="I25" s="810"/>
      <c r="J25" s="820" t="s">
        <v>771</v>
      </c>
      <c r="K25" s="835"/>
      <c r="L25" s="810"/>
    </row>
    <row r="26" spans="2:12">
      <c r="B26" s="823">
        <f t="shared" si="3"/>
        <v>15</v>
      </c>
      <c r="C26" s="806"/>
      <c r="D26" s="810" t="s">
        <v>778</v>
      </c>
      <c r="E26" s="810"/>
      <c r="F26" s="821"/>
      <c r="G26" s="821"/>
      <c r="H26" s="833">
        <v>-1048937</v>
      </c>
      <c r="I26" s="810"/>
      <c r="J26" s="817"/>
      <c r="K26" s="835"/>
      <c r="L26" s="810"/>
    </row>
    <row r="27" spans="2:12">
      <c r="B27" s="823">
        <f t="shared" si="3"/>
        <v>16</v>
      </c>
      <c r="C27" s="806"/>
      <c r="F27" s="871"/>
      <c r="G27" s="871"/>
      <c r="H27" s="871"/>
      <c r="I27" s="810"/>
      <c r="J27" s="817"/>
      <c r="K27" s="835"/>
      <c r="L27" s="810"/>
    </row>
    <row r="28" spans="2:12">
      <c r="B28" s="823">
        <f t="shared" si="3"/>
        <v>17</v>
      </c>
      <c r="C28" s="806"/>
      <c r="D28" s="818" t="s">
        <v>779</v>
      </c>
      <c r="E28" s="810"/>
      <c r="F28" s="828">
        <f>ROUND((F21*F23*F24),0)</f>
        <v>1768460</v>
      </c>
      <c r="G28" s="828">
        <f>ROUND(G21*G23*G25,0)</f>
        <v>-1118510</v>
      </c>
      <c r="H28" s="1014">
        <f>SUM(F28:G28)</f>
        <v>649950</v>
      </c>
      <c r="I28" s="810"/>
      <c r="J28" s="817"/>
      <c r="K28" s="835"/>
      <c r="L28" s="810"/>
    </row>
    <row r="29" spans="2:12">
      <c r="B29" s="823">
        <f t="shared" si="3"/>
        <v>18</v>
      </c>
      <c r="C29" s="806"/>
      <c r="D29" s="810"/>
      <c r="E29" s="810"/>
      <c r="F29" s="821"/>
      <c r="G29" s="821"/>
      <c r="H29" s="810"/>
      <c r="I29" s="810"/>
      <c r="J29" s="817"/>
      <c r="K29" s="835"/>
      <c r="L29" s="810"/>
    </row>
    <row r="30" spans="2:12" ht="16.5" thickBot="1">
      <c r="B30" s="823">
        <f t="shared" si="3"/>
        <v>19</v>
      </c>
      <c r="C30" s="806"/>
      <c r="D30" s="830" t="s">
        <v>720</v>
      </c>
      <c r="E30" s="810"/>
      <c r="F30" s="821"/>
      <c r="G30" s="821"/>
      <c r="H30" s="1015">
        <f>H26+H28</f>
        <v>-398987</v>
      </c>
      <c r="I30" s="810"/>
      <c r="J30" s="817"/>
      <c r="K30" s="835"/>
      <c r="L30" s="810"/>
    </row>
    <row r="31" spans="2:12" ht="15.75" thickTop="1">
      <c r="B31" s="813"/>
      <c r="C31" s="831"/>
      <c r="D31" s="810"/>
      <c r="E31" s="810"/>
      <c r="F31" s="810"/>
      <c r="G31" s="827"/>
      <c r="H31" s="821"/>
      <c r="I31" s="810"/>
      <c r="J31" s="817"/>
      <c r="K31" s="836"/>
      <c r="L31" s="810"/>
    </row>
    <row r="32" spans="2:12">
      <c r="B32" s="832"/>
      <c r="D32" s="832"/>
      <c r="E32" s="832"/>
      <c r="F32" s="832"/>
      <c r="H32" s="832"/>
      <c r="I32" s="832"/>
      <c r="J32" s="832"/>
      <c r="K32" s="832"/>
      <c r="L32" s="810"/>
    </row>
    <row r="33" spans="2:12">
      <c r="B33" s="810"/>
      <c r="D33" s="810"/>
      <c r="E33" s="810"/>
      <c r="F33" s="810"/>
      <c r="H33" s="810"/>
      <c r="I33" s="810"/>
      <c r="J33" s="810"/>
      <c r="K33" s="810"/>
      <c r="L33" s="810"/>
    </row>
    <row r="34" spans="2:12">
      <c r="H34" s="833"/>
    </row>
    <row r="35" spans="2:12">
      <c r="H35" s="834"/>
    </row>
    <row r="36" spans="2:12">
      <c r="F36" s="829"/>
      <c r="G36" s="829"/>
    </row>
    <row r="37" spans="2:12">
      <c r="F37" s="833"/>
      <c r="K37" s="875"/>
    </row>
  </sheetData>
  <printOptions horizontalCentered="1"/>
  <pageMargins left="0.45" right="0.45" top="1" bottom="0.75" header="0.3" footer="0.3"/>
  <pageSetup scale="56"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pageSetUpPr fitToPage="1"/>
  </sheetPr>
  <dimension ref="B1:P32"/>
  <sheetViews>
    <sheetView topLeftCell="D1" zoomScale="75" zoomScaleNormal="75" workbookViewId="0"/>
  </sheetViews>
  <sheetFormatPr defaultColWidth="7.44140625" defaultRowHeight="15"/>
  <cols>
    <col min="1" max="1" width="7.44140625" style="796"/>
    <col min="2" max="2" width="5.33203125" style="796" customWidth="1"/>
    <col min="3" max="3" width="8.5546875" style="796" customWidth="1"/>
    <col min="4" max="4" width="58.44140625" style="796" customWidth="1"/>
    <col min="5" max="5" width="1.33203125" style="796" customWidth="1"/>
    <col min="6" max="6" width="12.5546875" style="796" customWidth="1"/>
    <col min="7" max="7" width="13.44140625" style="796" customWidth="1"/>
    <col min="8" max="8" width="13" style="796" bestFit="1" customWidth="1"/>
    <col min="9" max="9" width="1.33203125" style="796" customWidth="1"/>
    <col min="10" max="10" width="63.88671875" style="796" customWidth="1"/>
    <col min="11" max="11" width="11.77734375" style="796" customWidth="1"/>
    <col min="12" max="12" width="2.21875" style="796" customWidth="1"/>
    <col min="13" max="16384" width="7.44140625" style="796"/>
  </cols>
  <sheetData>
    <row r="1" spans="2:16" ht="15.75">
      <c r="B1" s="797" t="s">
        <v>188</v>
      </c>
      <c r="C1" s="797"/>
      <c r="D1" s="797"/>
      <c r="E1" s="797"/>
      <c r="F1" s="797"/>
      <c r="G1" s="797"/>
      <c r="H1" s="797"/>
      <c r="I1" s="797"/>
      <c r="J1" s="797"/>
      <c r="K1" s="797"/>
    </row>
    <row r="2" spans="2:16" ht="15.75">
      <c r="B2" s="797" t="s">
        <v>701</v>
      </c>
      <c r="C2" s="797"/>
      <c r="D2" s="797"/>
      <c r="E2" s="797"/>
      <c r="F2" s="797"/>
      <c r="G2" s="797"/>
      <c r="H2" s="797"/>
      <c r="I2" s="797"/>
      <c r="J2" s="797"/>
      <c r="K2" s="797"/>
    </row>
    <row r="3" spans="2:16" ht="15.75">
      <c r="B3" s="797" t="s">
        <v>702</v>
      </c>
      <c r="C3" s="797"/>
      <c r="D3" s="797"/>
      <c r="E3" s="797"/>
      <c r="F3" s="797"/>
      <c r="G3" s="797"/>
      <c r="H3" s="797"/>
      <c r="I3" s="797"/>
      <c r="J3" s="797"/>
      <c r="K3" s="797"/>
    </row>
    <row r="4" spans="2:16" ht="15.75">
      <c r="B4" s="797" t="s">
        <v>703</v>
      </c>
      <c r="C4" s="797"/>
      <c r="D4" s="797"/>
      <c r="E4" s="797"/>
      <c r="F4" s="797"/>
      <c r="G4" s="797"/>
      <c r="H4" s="797"/>
      <c r="I4" s="797"/>
      <c r="J4" s="797"/>
      <c r="K4" s="797"/>
    </row>
    <row r="5" spans="2:16" ht="15.75">
      <c r="B5" s="797"/>
      <c r="C5" s="797"/>
      <c r="D5" s="797"/>
      <c r="E5" s="797"/>
      <c r="F5" s="797"/>
      <c r="G5" s="797"/>
      <c r="H5" s="797"/>
      <c r="I5" s="797"/>
      <c r="J5" s="797"/>
      <c r="K5" s="569" t="s">
        <v>426</v>
      </c>
    </row>
    <row r="6" spans="2:16" ht="15.75">
      <c r="B6" s="797"/>
      <c r="C6" s="797"/>
      <c r="D6" s="797"/>
      <c r="E6" s="797"/>
      <c r="F6" s="797"/>
      <c r="G6" s="797"/>
      <c r="H6" s="797"/>
      <c r="I6" s="797"/>
      <c r="J6" s="797"/>
      <c r="K6" s="567" t="str">
        <f>"Page 13 of "&amp;Workpaper</f>
        <v>Page 13 of 18</v>
      </c>
    </row>
    <row r="7" spans="2:16" ht="15.75">
      <c r="B7" s="797"/>
      <c r="C7" s="797"/>
      <c r="D7" s="797"/>
      <c r="E7" s="797"/>
      <c r="F7" s="797"/>
      <c r="G7" s="797"/>
      <c r="H7" s="797"/>
      <c r="I7" s="797"/>
      <c r="J7" s="797"/>
      <c r="K7" s="275" t="str">
        <f>"For the 12 months ended: "&amp;TEXT(INPUT!$B$1,"mm/dd/yyyy")</f>
        <v>For the 12 months ended: 12/31/2017</v>
      </c>
    </row>
    <row r="9" spans="2:16" ht="15.75">
      <c r="B9" s="798"/>
      <c r="C9" s="799" t="s">
        <v>704</v>
      </c>
      <c r="D9" s="800"/>
      <c r="E9" s="800"/>
      <c r="F9" s="800"/>
      <c r="G9" s="800"/>
      <c r="H9" s="800"/>
      <c r="I9" s="800"/>
      <c r="J9" s="800"/>
      <c r="K9" s="801"/>
    </row>
    <row r="10" spans="2:16" ht="34.5" customHeight="1">
      <c r="B10" s="802" t="s">
        <v>9</v>
      </c>
      <c r="C10" s="803" t="s">
        <v>705</v>
      </c>
      <c r="D10" s="800" t="s">
        <v>706</v>
      </c>
      <c r="E10" s="800"/>
      <c r="F10" s="800"/>
      <c r="G10" s="800"/>
      <c r="H10" s="800"/>
      <c r="I10" s="804"/>
      <c r="J10" s="799" t="s">
        <v>724</v>
      </c>
      <c r="K10" s="805"/>
    </row>
    <row r="11" spans="2:16" ht="15.75">
      <c r="B11" s="806"/>
      <c r="C11" s="807"/>
      <c r="D11" s="808"/>
      <c r="E11" s="808"/>
      <c r="F11" s="809"/>
      <c r="G11" s="809"/>
      <c r="H11" s="809"/>
      <c r="I11" s="810"/>
      <c r="J11" s="811"/>
      <c r="K11" s="812"/>
    </row>
    <row r="12" spans="2:16" ht="59.25" customHeight="1">
      <c r="B12" s="813">
        <v>1</v>
      </c>
      <c r="C12" s="814">
        <v>926</v>
      </c>
      <c r="E12" s="810"/>
      <c r="F12" s="815" t="s">
        <v>721</v>
      </c>
      <c r="G12" s="815" t="s">
        <v>708</v>
      </c>
      <c r="H12" s="816" t="s">
        <v>722</v>
      </c>
      <c r="I12" s="810"/>
      <c r="J12" s="817"/>
      <c r="K12" s="812"/>
    </row>
    <row r="13" spans="2:16">
      <c r="B13" s="813">
        <f t="shared" ref="B13:B30" si="0">B12+1</f>
        <v>2</v>
      </c>
      <c r="C13" s="806"/>
      <c r="D13" s="818" t="s">
        <v>710</v>
      </c>
      <c r="E13" s="810"/>
      <c r="F13" s="810"/>
      <c r="G13" s="810"/>
      <c r="H13" s="810"/>
      <c r="I13" s="810"/>
      <c r="J13" s="817"/>
      <c r="K13" s="812"/>
    </row>
    <row r="14" spans="2:16">
      <c r="B14" s="813">
        <f t="shared" si="0"/>
        <v>3</v>
      </c>
      <c r="C14" s="806"/>
      <c r="D14" s="818" t="s">
        <v>711</v>
      </c>
      <c r="E14" s="810"/>
      <c r="F14" s="1011">
        <v>-965103</v>
      </c>
      <c r="G14" s="1011">
        <v>-18357125</v>
      </c>
      <c r="H14" s="819"/>
      <c r="I14" s="810"/>
      <c r="J14" s="820" t="s">
        <v>786</v>
      </c>
      <c r="K14" s="835" t="s">
        <v>776</v>
      </c>
    </row>
    <row r="15" spans="2:16">
      <c r="B15" s="813">
        <f t="shared" si="0"/>
        <v>4</v>
      </c>
      <c r="C15" s="806"/>
      <c r="D15" s="818" t="s">
        <v>713</v>
      </c>
      <c r="E15" s="810"/>
      <c r="F15" s="833">
        <v>279954</v>
      </c>
      <c r="G15" s="833">
        <v>0</v>
      </c>
      <c r="H15" s="821"/>
      <c r="I15" s="810"/>
      <c r="J15" s="820" t="s">
        <v>712</v>
      </c>
      <c r="K15" s="835" t="s">
        <v>777</v>
      </c>
      <c r="M15" s="871"/>
      <c r="N15" s="871"/>
      <c r="O15" s="871"/>
      <c r="P15" s="871"/>
    </row>
    <row r="16" spans="2:16">
      <c r="B16" s="813">
        <f t="shared" si="0"/>
        <v>5</v>
      </c>
      <c r="C16" s="806"/>
      <c r="D16" s="818" t="s">
        <v>714</v>
      </c>
      <c r="E16" s="810"/>
      <c r="F16" s="833"/>
      <c r="G16" s="833"/>
      <c r="H16" s="821"/>
      <c r="I16" s="810"/>
      <c r="J16" s="820"/>
      <c r="K16" s="835"/>
      <c r="M16" s="871"/>
      <c r="N16" s="871"/>
      <c r="O16" s="871"/>
      <c r="P16" s="871"/>
    </row>
    <row r="17" spans="2:11">
      <c r="B17" s="813">
        <f t="shared" si="0"/>
        <v>6</v>
      </c>
      <c r="C17" s="806"/>
      <c r="D17" s="818" t="s">
        <v>715</v>
      </c>
      <c r="E17" s="810"/>
      <c r="F17" s="833">
        <v>339406</v>
      </c>
      <c r="G17" s="833">
        <v>3206867</v>
      </c>
      <c r="H17" s="821"/>
      <c r="I17" s="810"/>
      <c r="J17" s="820" t="s">
        <v>716</v>
      </c>
      <c r="K17" s="835" t="s">
        <v>774</v>
      </c>
    </row>
    <row r="18" spans="2:11" ht="15.75" customHeight="1">
      <c r="B18" s="813">
        <f t="shared" si="0"/>
        <v>7</v>
      </c>
      <c r="C18" s="806"/>
      <c r="D18" s="818" t="s">
        <v>717</v>
      </c>
      <c r="E18" s="810"/>
      <c r="F18" s="833">
        <v>0</v>
      </c>
      <c r="G18" s="833">
        <v>1496322</v>
      </c>
      <c r="H18" s="821"/>
      <c r="I18" s="810"/>
      <c r="J18" s="820" t="s">
        <v>716</v>
      </c>
      <c r="K18" s="835" t="s">
        <v>775</v>
      </c>
    </row>
    <row r="19" spans="2:11">
      <c r="B19" s="813">
        <f t="shared" si="0"/>
        <v>8</v>
      </c>
      <c r="C19" s="806"/>
      <c r="D19" s="818" t="s">
        <v>718</v>
      </c>
      <c r="E19" s="810"/>
      <c r="F19" s="833">
        <v>260934</v>
      </c>
      <c r="G19" s="833">
        <v>3429900</v>
      </c>
      <c r="H19" s="821"/>
      <c r="I19" s="810"/>
      <c r="J19" s="820" t="s">
        <v>773</v>
      </c>
      <c r="K19" s="835"/>
    </row>
    <row r="20" spans="2:11">
      <c r="B20" s="813">
        <f t="shared" si="0"/>
        <v>9</v>
      </c>
      <c r="C20" s="806"/>
      <c r="D20" s="810"/>
      <c r="E20" s="810"/>
      <c r="F20" s="833"/>
      <c r="G20" s="833"/>
      <c r="H20" s="810"/>
      <c r="I20" s="810"/>
      <c r="J20" s="817"/>
      <c r="K20" s="835"/>
    </row>
    <row r="21" spans="2:11" ht="15.75" thickBot="1">
      <c r="B21" s="813">
        <f t="shared" si="0"/>
        <v>10</v>
      </c>
      <c r="C21" s="806"/>
      <c r="D21" s="818" t="s">
        <v>770</v>
      </c>
      <c r="E21" s="810"/>
      <c r="F21" s="822">
        <f>SUM(F14:F20)</f>
        <v>-84809</v>
      </c>
      <c r="G21" s="822">
        <f t="shared" ref="G21" si="1">SUM(G14:G20)</f>
        <v>-10224036</v>
      </c>
      <c r="H21" s="821"/>
      <c r="I21" s="810"/>
      <c r="J21" s="817"/>
      <c r="K21" s="835"/>
    </row>
    <row r="22" spans="2:11" ht="15.75" thickTop="1">
      <c r="B22" s="813">
        <f t="shared" si="0"/>
        <v>11</v>
      </c>
      <c r="C22" s="806"/>
      <c r="D22" s="818"/>
      <c r="E22" s="810"/>
      <c r="F22" s="821"/>
      <c r="G22" s="821"/>
      <c r="H22" s="821"/>
      <c r="I22" s="810"/>
      <c r="J22" s="817"/>
      <c r="K22" s="835"/>
    </row>
    <row r="23" spans="2:11">
      <c r="B23" s="823">
        <f t="shared" si="0"/>
        <v>12</v>
      </c>
      <c r="C23" s="806"/>
      <c r="D23" s="824" t="s">
        <v>719</v>
      </c>
      <c r="E23" s="825"/>
      <c r="F23" s="1012">
        <v>0.74070000000000003</v>
      </c>
      <c r="G23" s="1012">
        <v>1</v>
      </c>
      <c r="H23" s="821"/>
      <c r="I23" s="810"/>
      <c r="J23" s="826" t="s">
        <v>872</v>
      </c>
      <c r="K23" s="835"/>
    </row>
    <row r="24" spans="2:11" ht="18" customHeight="1">
      <c r="B24" s="823">
        <f t="shared" si="0"/>
        <v>13</v>
      </c>
      <c r="C24" s="867"/>
      <c r="D24" s="868" t="s">
        <v>772</v>
      </c>
      <c r="E24" s="825"/>
      <c r="F24" s="1012">
        <v>0.7359</v>
      </c>
      <c r="G24" s="870"/>
      <c r="H24" s="869"/>
      <c r="I24" s="810"/>
      <c r="J24" s="1058" t="s">
        <v>883</v>
      </c>
      <c r="K24" s="835"/>
    </row>
    <row r="25" spans="2:11" ht="18.75" customHeight="1">
      <c r="B25" s="823">
        <f t="shared" si="0"/>
        <v>14</v>
      </c>
      <c r="C25" s="806"/>
      <c r="D25" s="818" t="s">
        <v>780</v>
      </c>
      <c r="E25" s="810"/>
      <c r="F25" s="833"/>
      <c r="G25" s="1013">
        <v>3.1099999999999999E-2</v>
      </c>
      <c r="H25" s="821"/>
      <c r="I25" s="810"/>
      <c r="J25" s="826" t="s">
        <v>782</v>
      </c>
      <c r="K25" s="835"/>
    </row>
    <row r="26" spans="2:11" ht="15.75" customHeight="1">
      <c r="B26" s="823">
        <f t="shared" si="0"/>
        <v>15</v>
      </c>
      <c r="C26" s="806"/>
      <c r="D26" s="810" t="s">
        <v>778</v>
      </c>
      <c r="E26" s="810"/>
      <c r="F26" s="821"/>
      <c r="G26" s="821"/>
      <c r="H26" s="833">
        <v>178961</v>
      </c>
      <c r="I26" s="810"/>
      <c r="J26" s="817"/>
      <c r="K26" s="835"/>
    </row>
    <row r="27" spans="2:11">
      <c r="B27" s="823">
        <f t="shared" si="0"/>
        <v>16</v>
      </c>
      <c r="C27" s="806"/>
      <c r="F27" s="871"/>
      <c r="G27" s="871"/>
      <c r="H27" s="871"/>
      <c r="I27" s="810"/>
      <c r="J27" s="817"/>
      <c r="K27" s="835"/>
    </row>
    <row r="28" spans="2:11">
      <c r="B28" s="823">
        <f t="shared" si="0"/>
        <v>17</v>
      </c>
      <c r="C28" s="806"/>
      <c r="D28" s="818" t="s">
        <v>781</v>
      </c>
      <c r="E28" s="810"/>
      <c r="F28" s="828">
        <f>ROUND((F21*F23*F24),0)</f>
        <v>-46228</v>
      </c>
      <c r="G28" s="828">
        <f>ROUND(G21*G23*G25,0)</f>
        <v>-317968</v>
      </c>
      <c r="H28" s="1014">
        <f>SUM(F28:G28)</f>
        <v>-364196</v>
      </c>
      <c r="I28" s="810"/>
      <c r="J28" s="817"/>
      <c r="K28" s="835"/>
    </row>
    <row r="29" spans="2:11">
      <c r="B29" s="823">
        <f t="shared" si="0"/>
        <v>18</v>
      </c>
      <c r="C29" s="806"/>
      <c r="D29" s="810"/>
      <c r="E29" s="810"/>
      <c r="F29" s="821"/>
      <c r="G29" s="821"/>
      <c r="H29" s="810"/>
      <c r="I29" s="810"/>
      <c r="J29" s="817"/>
      <c r="K29" s="835"/>
    </row>
    <row r="30" spans="2:11" ht="16.5" thickBot="1">
      <c r="B30" s="823">
        <f t="shared" si="0"/>
        <v>19</v>
      </c>
      <c r="C30" s="806"/>
      <c r="D30" s="830" t="s">
        <v>723</v>
      </c>
      <c r="E30" s="810"/>
      <c r="F30" s="821"/>
      <c r="G30" s="821"/>
      <c r="H30" s="1015">
        <f>H26+H28</f>
        <v>-185235</v>
      </c>
      <c r="I30" s="810"/>
      <c r="J30" s="817"/>
      <c r="K30" s="835"/>
    </row>
    <row r="31" spans="2:11" ht="15.75" thickTop="1">
      <c r="B31" s="813"/>
      <c r="C31" s="831"/>
      <c r="D31" s="810"/>
      <c r="E31" s="810"/>
      <c r="F31" s="827"/>
      <c r="G31" s="827"/>
      <c r="H31" s="821"/>
      <c r="I31" s="810"/>
      <c r="J31" s="817"/>
      <c r="K31" s="836"/>
    </row>
    <row r="32" spans="2:11">
      <c r="B32" s="832"/>
      <c r="D32" s="832"/>
      <c r="E32" s="832"/>
      <c r="F32" s="810"/>
      <c r="H32" s="832"/>
      <c r="I32" s="832"/>
      <c r="J32" s="832"/>
      <c r="K32" s="832"/>
    </row>
  </sheetData>
  <printOptions horizontalCentered="1"/>
  <pageMargins left="0.45" right="0.45" top="1" bottom="0.75" header="0.3" footer="0.3"/>
  <pageSetup scale="56"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pageSetUpPr fitToPage="1"/>
  </sheetPr>
  <dimension ref="A1:F40"/>
  <sheetViews>
    <sheetView zoomScale="80" zoomScaleNormal="80" workbookViewId="0"/>
  </sheetViews>
  <sheetFormatPr defaultColWidth="8.77734375" defaultRowHeight="15"/>
  <cols>
    <col min="1" max="1" width="1.88671875" style="615" customWidth="1"/>
    <col min="2" max="2" width="28.88671875" style="615" customWidth="1"/>
    <col min="3" max="3" width="11.77734375" style="615" customWidth="1"/>
    <col min="4" max="4" width="15.21875" style="615" customWidth="1"/>
    <col min="5" max="5" width="8.77734375" style="615"/>
    <col min="6" max="6" width="11.77734375" style="615" bestFit="1" customWidth="1"/>
    <col min="7" max="16384" width="8.77734375" style="615"/>
  </cols>
  <sheetData>
    <row r="1" spans="1:6" ht="18">
      <c r="B1" s="562" t="str">
        <f>'P1 ADIT 190 &amp; 282'!A1</f>
        <v>Duke Energy Ohio and Duke Energy Kentucky</v>
      </c>
      <c r="C1" s="562"/>
      <c r="D1" s="562"/>
      <c r="E1" s="562"/>
      <c r="F1" s="562"/>
    </row>
    <row r="2" spans="1:6" ht="18">
      <c r="A2" s="562"/>
      <c r="B2" s="568"/>
      <c r="C2" s="568"/>
    </row>
    <row r="3" spans="1:6">
      <c r="B3" s="568"/>
      <c r="C3" s="568"/>
      <c r="F3" s="569" t="s">
        <v>426</v>
      </c>
    </row>
    <row r="4" spans="1:6">
      <c r="B4" s="568"/>
      <c r="C4" s="568"/>
      <c r="F4" s="567" t="str">
        <f>"Page 14 of "&amp;Workpaper</f>
        <v>Page 14 of 18</v>
      </c>
    </row>
    <row r="5" spans="1:6">
      <c r="B5" s="568"/>
      <c r="C5" s="568"/>
      <c r="F5" s="275" t="str">
        <f>"For the 12 months ended: "&amp;TEXT(INPUT!$B$1,"mm/dd/yyyy")</f>
        <v>For the 12 months ended: 12/31/2017</v>
      </c>
    </row>
    <row r="7" spans="1:6" ht="15.75">
      <c r="B7" s="1028" t="s">
        <v>862</v>
      </c>
      <c r="C7" s="918"/>
      <c r="D7" s="918"/>
      <c r="E7" s="918"/>
      <c r="F7" s="918"/>
    </row>
    <row r="9" spans="1:6">
      <c r="C9" s="842"/>
      <c r="D9" s="842"/>
    </row>
    <row r="10" spans="1:6">
      <c r="B10" s="842"/>
      <c r="C10" s="842"/>
      <c r="D10" s="842"/>
    </row>
    <row r="11" spans="1:6">
      <c r="B11" s="97"/>
      <c r="C11" s="97"/>
      <c r="D11" s="1007" t="s">
        <v>295</v>
      </c>
    </row>
    <row r="12" spans="1:6">
      <c r="B12" s="1008" t="s">
        <v>751</v>
      </c>
      <c r="C12" s="1010" t="s">
        <v>750</v>
      </c>
      <c r="D12" s="1009" t="s">
        <v>726</v>
      </c>
    </row>
    <row r="13" spans="1:6">
      <c r="B13" s="97" t="s">
        <v>749</v>
      </c>
      <c r="C13" s="97" t="s">
        <v>747</v>
      </c>
      <c r="D13" s="1002">
        <v>-223042</v>
      </c>
    </row>
    <row r="14" spans="1:6">
      <c r="B14" s="97"/>
      <c r="C14" s="97" t="s">
        <v>746</v>
      </c>
      <c r="D14" s="1002">
        <v>-736915</v>
      </c>
    </row>
    <row r="15" spans="1:6">
      <c r="B15" s="97"/>
      <c r="C15" s="97" t="s">
        <v>745</v>
      </c>
      <c r="D15" s="1002">
        <v>-82074</v>
      </c>
    </row>
    <row r="16" spans="1:6">
      <c r="B16" s="97"/>
      <c r="C16" s="97" t="s">
        <v>748</v>
      </c>
      <c r="D16" s="1002">
        <v>-377323</v>
      </c>
    </row>
    <row r="17" spans="2:4">
      <c r="B17" s="97"/>
      <c r="C17" s="97" t="s">
        <v>743</v>
      </c>
      <c r="D17" s="1002">
        <v>-577201</v>
      </c>
    </row>
    <row r="18" spans="2:4">
      <c r="B18" s="97"/>
      <c r="C18" s="97" t="s">
        <v>742</v>
      </c>
      <c r="D18" s="1002">
        <v>-380039</v>
      </c>
    </row>
    <row r="19" spans="2:4">
      <c r="B19" s="97"/>
      <c r="C19" s="97" t="s">
        <v>744</v>
      </c>
      <c r="D19" s="1002">
        <v>-446085</v>
      </c>
    </row>
    <row r="20" spans="2:4">
      <c r="B20" s="844" t="s">
        <v>741</v>
      </c>
      <c r="C20" s="844"/>
      <c r="D20" s="845">
        <f>SUM(D13:D19)</f>
        <v>-2822679</v>
      </c>
    </row>
    <row r="21" spans="2:4">
      <c r="B21" s="846" t="s">
        <v>740</v>
      </c>
      <c r="C21" s="846"/>
      <c r="D21" s="1003">
        <v>-358230</v>
      </c>
    </row>
    <row r="22" spans="2:4">
      <c r="B22" s="844" t="s">
        <v>739</v>
      </c>
      <c r="C22" s="844"/>
      <c r="D22" s="1004">
        <v>-17703439</v>
      </c>
    </row>
    <row r="23" spans="2:4">
      <c r="B23" s="97" t="s">
        <v>738</v>
      </c>
      <c r="C23" s="97" t="s">
        <v>737</v>
      </c>
      <c r="D23" s="1002">
        <v>-98251</v>
      </c>
    </row>
    <row r="24" spans="2:4">
      <c r="B24" s="97"/>
      <c r="C24" s="97" t="s">
        <v>736</v>
      </c>
      <c r="D24" s="1002">
        <v>-42653</v>
      </c>
    </row>
    <row r="25" spans="2:4">
      <c r="B25" s="97"/>
      <c r="C25" s="97" t="s">
        <v>735</v>
      </c>
      <c r="D25" s="1002">
        <v>-587200</v>
      </c>
    </row>
    <row r="26" spans="2:4">
      <c r="B26" s="97"/>
      <c r="C26" s="97" t="s">
        <v>734</v>
      </c>
      <c r="D26" s="1002">
        <v>-357668</v>
      </c>
    </row>
    <row r="27" spans="2:4">
      <c r="B27" s="97"/>
      <c r="C27" s="97" t="s">
        <v>733</v>
      </c>
      <c r="D27" s="1002">
        <v>-45702</v>
      </c>
    </row>
    <row r="28" spans="2:4">
      <c r="B28" s="97"/>
      <c r="C28" s="97" t="s">
        <v>752</v>
      </c>
      <c r="D28" s="1002">
        <v>-146102</v>
      </c>
    </row>
    <row r="29" spans="2:4">
      <c r="B29" s="97"/>
      <c r="C29" s="97" t="s">
        <v>192</v>
      </c>
      <c r="D29" s="1002">
        <v>-4201364</v>
      </c>
    </row>
    <row r="30" spans="2:4">
      <c r="B30" s="97"/>
      <c r="C30" s="97" t="s">
        <v>732</v>
      </c>
      <c r="D30" s="1002">
        <v>-149869</v>
      </c>
    </row>
    <row r="31" spans="2:4">
      <c r="B31" s="97"/>
      <c r="C31" s="97" t="s">
        <v>731</v>
      </c>
      <c r="D31" s="1002">
        <v>-24785</v>
      </c>
    </row>
    <row r="32" spans="2:4">
      <c r="B32" s="97"/>
      <c r="C32" s="97" t="s">
        <v>730</v>
      </c>
      <c r="D32" s="1002">
        <v>-5325</v>
      </c>
    </row>
    <row r="33" spans="2:4">
      <c r="B33" s="97"/>
      <c r="C33" s="97" t="s">
        <v>729</v>
      </c>
      <c r="D33" s="1002">
        <v>-16095</v>
      </c>
    </row>
    <row r="34" spans="2:4">
      <c r="B34" s="97"/>
      <c r="C34" s="97" t="s">
        <v>728</v>
      </c>
      <c r="D34" s="1002">
        <v>-66135</v>
      </c>
    </row>
    <row r="35" spans="2:4">
      <c r="B35" s="844" t="s">
        <v>727</v>
      </c>
      <c r="C35" s="844"/>
      <c r="D35" s="845">
        <f>SUM(D23:D34)</f>
        <v>-5741149</v>
      </c>
    </row>
    <row r="36" spans="2:4" ht="15.75" thickBot="1">
      <c r="B36" s="97" t="s">
        <v>726</v>
      </c>
      <c r="C36" s="97"/>
      <c r="D36" s="843">
        <f>D20+D21+D22+D35</f>
        <v>-26625497</v>
      </c>
    </row>
    <row r="37" spans="2:4" ht="15.75" thickTop="1">
      <c r="B37" s="76"/>
      <c r="C37" s="76"/>
      <c r="D37" s="76"/>
    </row>
    <row r="38" spans="2:4">
      <c r="B38" s="847" t="s">
        <v>754</v>
      </c>
    </row>
    <row r="39" spans="2:4">
      <c r="B39" s="615" t="s">
        <v>753</v>
      </c>
    </row>
    <row r="40" spans="2:4">
      <c r="B40" s="615" t="s">
        <v>755</v>
      </c>
    </row>
  </sheetData>
  <pageMargins left="1" right="1" top="1" bottom="0.75" header="0.3" footer="0.3"/>
  <pageSetup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1"/>
  <sheetViews>
    <sheetView tabSelected="1" topLeftCell="A4" zoomScale="80" zoomScaleNormal="80" workbookViewId="0">
      <selection activeCell="B16" sqref="B16"/>
    </sheetView>
  </sheetViews>
  <sheetFormatPr defaultColWidth="8.77734375" defaultRowHeight="15"/>
  <cols>
    <col min="1" max="1" width="8.77734375" style="670"/>
    <col min="2" max="2" width="51.44140625" style="670" customWidth="1"/>
    <col min="3" max="3" width="16.109375" style="670" customWidth="1"/>
    <col min="4" max="4" width="14.77734375" style="670" bestFit="1" customWidth="1"/>
    <col min="5" max="5" width="1.6640625" style="670" customWidth="1"/>
    <col min="6" max="6" width="15.21875" style="670" customWidth="1"/>
    <col min="7" max="7" width="1.44140625" style="670" customWidth="1"/>
    <col min="8" max="8" width="8.77734375" style="670"/>
    <col min="9" max="9" width="13.44140625" style="670" customWidth="1"/>
    <col min="10" max="16384" width="8.77734375" style="670"/>
  </cols>
  <sheetData>
    <row r="1" spans="1:6" ht="15.75">
      <c r="A1" s="1064" t="s">
        <v>421</v>
      </c>
      <c r="B1" s="657"/>
      <c r="C1" s="1064"/>
      <c r="D1" s="1064"/>
      <c r="E1" s="1064"/>
      <c r="F1" s="1064"/>
    </row>
    <row r="2" spans="1:6" ht="15.75">
      <c r="A2" s="1064" t="s">
        <v>318</v>
      </c>
      <c r="B2" s="657"/>
      <c r="C2" s="1064"/>
      <c r="D2" s="1064"/>
      <c r="E2" s="1064"/>
      <c r="F2" s="1064"/>
    </row>
    <row r="3" spans="1:6" ht="15.75">
      <c r="A3" s="1064" t="s">
        <v>898</v>
      </c>
      <c r="B3" s="657"/>
      <c r="C3" s="1064"/>
      <c r="D3" s="1064"/>
      <c r="E3" s="1064"/>
      <c r="F3" s="1064"/>
    </row>
    <row r="5" spans="1:6">
      <c r="D5" s="621" t="s">
        <v>302</v>
      </c>
    </row>
    <row r="6" spans="1:6">
      <c r="A6" s="621" t="s">
        <v>9</v>
      </c>
      <c r="D6" s="621" t="s">
        <v>631</v>
      </c>
      <c r="F6" s="621" t="s">
        <v>302</v>
      </c>
    </row>
    <row r="7" spans="1:6">
      <c r="A7" s="629" t="s">
        <v>11</v>
      </c>
      <c r="B7" s="271" t="s">
        <v>452</v>
      </c>
      <c r="D7" s="629" t="s">
        <v>899</v>
      </c>
      <c r="F7" s="629" t="s">
        <v>301</v>
      </c>
    </row>
    <row r="8" spans="1:6">
      <c r="F8" s="629"/>
    </row>
    <row r="9" spans="1:6" ht="18.600000000000001" customHeight="1">
      <c r="A9" s="699">
        <v>1</v>
      </c>
      <c r="B9" s="1065" t="s">
        <v>887</v>
      </c>
      <c r="F9" s="700">
        <v>121250903</v>
      </c>
    </row>
    <row r="10" spans="1:6">
      <c r="A10" s="699">
        <f>A9+1</f>
        <v>2</v>
      </c>
      <c r="F10" s="671"/>
    </row>
    <row r="11" spans="1:6" ht="49.9" customHeight="1">
      <c r="A11" s="699">
        <f t="shared" ref="A11:A41" si="0">A10+1</f>
        <v>3</v>
      </c>
      <c r="B11" s="1078" t="s">
        <v>888</v>
      </c>
      <c r="F11" s="671"/>
    </row>
    <row r="12" spans="1:6" ht="15" customHeight="1">
      <c r="A12" s="699">
        <f t="shared" si="0"/>
        <v>4</v>
      </c>
      <c r="B12" s="1078"/>
      <c r="C12" s="670" t="s">
        <v>889</v>
      </c>
      <c r="D12" s="1066">
        <v>0</v>
      </c>
      <c r="F12" s="671"/>
    </row>
    <row r="13" spans="1:6">
      <c r="A13" s="699">
        <f t="shared" si="0"/>
        <v>5</v>
      </c>
      <c r="B13" s="604"/>
      <c r="C13" s="670" t="s">
        <v>890</v>
      </c>
      <c r="D13" s="1067">
        <v>-139489</v>
      </c>
      <c r="F13" s="671"/>
    </row>
    <row r="14" spans="1:6">
      <c r="A14" s="699">
        <f t="shared" si="0"/>
        <v>6</v>
      </c>
      <c r="B14" s="604"/>
      <c r="C14" s="670" t="s">
        <v>891</v>
      </c>
      <c r="D14" s="1068">
        <v>0</v>
      </c>
      <c r="F14" s="671"/>
    </row>
    <row r="15" spans="1:6">
      <c r="A15" s="699">
        <f t="shared" si="0"/>
        <v>7</v>
      </c>
      <c r="B15" s="604"/>
      <c r="D15" s="671">
        <f>SUM(D12:D14)</f>
        <v>-139489</v>
      </c>
      <c r="F15" s="671">
        <f>D15</f>
        <v>-139489</v>
      </c>
    </row>
    <row r="16" spans="1:6">
      <c r="A16" s="699">
        <f t="shared" si="0"/>
        <v>8</v>
      </c>
      <c r="B16" s="604"/>
      <c r="F16" s="671"/>
    </row>
    <row r="17" spans="1:6" ht="45">
      <c r="A17" s="699">
        <f t="shared" si="0"/>
        <v>9</v>
      </c>
      <c r="B17" s="1078" t="s">
        <v>892</v>
      </c>
      <c r="F17" s="671"/>
    </row>
    <row r="18" spans="1:6">
      <c r="A18" s="699">
        <f t="shared" si="0"/>
        <v>10</v>
      </c>
      <c r="B18" s="1078"/>
      <c r="C18" s="670" t="s">
        <v>889</v>
      </c>
      <c r="D18" s="1066">
        <v>-32499</v>
      </c>
      <c r="F18" s="671"/>
    </row>
    <row r="19" spans="1:6">
      <c r="A19" s="699">
        <f t="shared" si="0"/>
        <v>11</v>
      </c>
      <c r="B19" s="604"/>
      <c r="C19" s="670" t="s">
        <v>890</v>
      </c>
      <c r="D19" s="1067">
        <v>-341</v>
      </c>
      <c r="F19" s="671"/>
    </row>
    <row r="20" spans="1:6">
      <c r="A20" s="699">
        <f t="shared" si="0"/>
        <v>12</v>
      </c>
      <c r="B20" s="604"/>
      <c r="C20" s="670" t="s">
        <v>891</v>
      </c>
      <c r="D20" s="1068">
        <v>-64</v>
      </c>
      <c r="F20" s="671"/>
    </row>
    <row r="21" spans="1:6">
      <c r="A21" s="699">
        <f t="shared" si="0"/>
        <v>13</v>
      </c>
      <c r="B21" s="604"/>
      <c r="D21" s="671">
        <f>SUM(D18:D20)</f>
        <v>-32904</v>
      </c>
      <c r="F21" s="671">
        <f>D21</f>
        <v>-32904</v>
      </c>
    </row>
    <row r="22" spans="1:6">
      <c r="A22" s="699">
        <f t="shared" si="0"/>
        <v>14</v>
      </c>
      <c r="B22" s="604"/>
      <c r="D22" s="671"/>
      <c r="F22" s="671"/>
    </row>
    <row r="23" spans="1:6" ht="45">
      <c r="A23" s="699">
        <f t="shared" si="0"/>
        <v>15</v>
      </c>
      <c r="B23" s="1078" t="s">
        <v>900</v>
      </c>
      <c r="F23" s="671"/>
    </row>
    <row r="24" spans="1:6">
      <c r="A24" s="699">
        <f t="shared" si="0"/>
        <v>16</v>
      </c>
      <c r="B24" s="701"/>
      <c r="C24" s="670" t="s">
        <v>889</v>
      </c>
      <c r="D24" s="1066">
        <v>-599381</v>
      </c>
      <c r="F24" s="671"/>
    </row>
    <row r="25" spans="1:6">
      <c r="A25" s="699">
        <f t="shared" si="0"/>
        <v>17</v>
      </c>
      <c r="C25" s="670" t="s">
        <v>890</v>
      </c>
      <c r="D25" s="1067">
        <v>-6272</v>
      </c>
      <c r="F25" s="671"/>
    </row>
    <row r="26" spans="1:6">
      <c r="A26" s="699">
        <f t="shared" si="0"/>
        <v>18</v>
      </c>
      <c r="C26" s="670" t="s">
        <v>891</v>
      </c>
      <c r="D26" s="1068">
        <v>-1188</v>
      </c>
      <c r="F26" s="671"/>
    </row>
    <row r="27" spans="1:6">
      <c r="A27" s="699">
        <f t="shared" si="0"/>
        <v>19</v>
      </c>
      <c r="D27" s="671">
        <f>SUM(D24:D26)</f>
        <v>-606841</v>
      </c>
      <c r="F27" s="671">
        <f>D27</f>
        <v>-606841</v>
      </c>
    </row>
    <row r="28" spans="1:6">
      <c r="A28" s="699">
        <f t="shared" si="0"/>
        <v>20</v>
      </c>
      <c r="F28" s="671"/>
    </row>
    <row r="29" spans="1:6">
      <c r="A29" s="699">
        <f t="shared" si="0"/>
        <v>21</v>
      </c>
      <c r="B29" s="670" t="s">
        <v>897</v>
      </c>
      <c r="F29" s="671">
        <f>SUM(F9:F28)</f>
        <v>120471669</v>
      </c>
    </row>
    <row r="30" spans="1:6">
      <c r="A30" s="699">
        <f t="shared" si="0"/>
        <v>22</v>
      </c>
      <c r="F30" s="671"/>
    </row>
    <row r="31" spans="1:6">
      <c r="A31" s="699">
        <f t="shared" si="0"/>
        <v>23</v>
      </c>
      <c r="F31" s="671"/>
    </row>
    <row r="32" spans="1:6">
      <c r="A32" s="699">
        <f t="shared" si="0"/>
        <v>24</v>
      </c>
      <c r="B32" s="670" t="s">
        <v>896</v>
      </c>
      <c r="F32" s="671">
        <f>F9-F29</f>
        <v>779234</v>
      </c>
    </row>
    <row r="33" spans="1:6">
      <c r="A33" s="699">
        <f t="shared" si="0"/>
        <v>25</v>
      </c>
    </row>
    <row r="34" spans="1:6">
      <c r="A34" s="699">
        <f t="shared" si="0"/>
        <v>26</v>
      </c>
      <c r="B34" s="670" t="s">
        <v>634</v>
      </c>
      <c r="F34" s="1069">
        <v>4.9599999999999998E-2</v>
      </c>
    </row>
    <row r="35" spans="1:6">
      <c r="A35" s="699">
        <f t="shared" si="0"/>
        <v>27</v>
      </c>
      <c r="F35" s="1070"/>
    </row>
    <row r="36" spans="1:6">
      <c r="A36" s="699">
        <f t="shared" si="0"/>
        <v>28</v>
      </c>
      <c r="B36" s="670" t="s">
        <v>637</v>
      </c>
      <c r="D36" s="1071"/>
      <c r="F36" s="1072">
        <v>1.5</v>
      </c>
    </row>
    <row r="37" spans="1:6">
      <c r="A37" s="699">
        <f t="shared" si="0"/>
        <v>29</v>
      </c>
      <c r="D37" s="1071"/>
      <c r="F37" s="1073"/>
    </row>
    <row r="38" spans="1:6" ht="17.25">
      <c r="A38" s="699">
        <f t="shared" si="0"/>
        <v>30</v>
      </c>
      <c r="B38" s="701" t="s">
        <v>638</v>
      </c>
      <c r="D38" s="1071"/>
      <c r="F38" s="1074">
        <f>ROUND((F32*(1+F34/4)^(4*F36))-F32,0)</f>
        <v>59802</v>
      </c>
    </row>
    <row r="39" spans="1:6">
      <c r="A39" s="699">
        <f t="shared" si="0"/>
        <v>31</v>
      </c>
      <c r="D39" s="1071"/>
      <c r="F39" s="1073"/>
    </row>
    <row r="40" spans="1:6">
      <c r="A40" s="699">
        <f t="shared" si="0"/>
        <v>32</v>
      </c>
    </row>
    <row r="41" spans="1:6" ht="17.25">
      <c r="A41" s="699">
        <f t="shared" si="0"/>
        <v>33</v>
      </c>
      <c r="B41" s="670" t="s">
        <v>893</v>
      </c>
      <c r="C41" s="621" t="s">
        <v>894</v>
      </c>
      <c r="F41" s="354">
        <f>F32+F38</f>
        <v>839036</v>
      </c>
    </row>
  </sheetData>
  <pageMargins left="0.75" right="0.45" top="1" bottom="0.75" header="0.3" footer="0.3"/>
  <pageSetup scale="57"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1"/>
    <pageSetUpPr fitToPage="1"/>
  </sheetPr>
  <dimension ref="A1:H33"/>
  <sheetViews>
    <sheetView zoomScale="80" zoomScaleNormal="80" workbookViewId="0"/>
  </sheetViews>
  <sheetFormatPr defaultRowHeight="15"/>
  <cols>
    <col min="1" max="1" width="16.109375" customWidth="1"/>
    <col min="2" max="2" width="13.6640625" customWidth="1"/>
    <col min="3" max="4" width="12.88671875" customWidth="1"/>
    <col min="5" max="5" width="12" customWidth="1"/>
    <col min="6" max="6" width="16.5546875" customWidth="1"/>
  </cols>
  <sheetData>
    <row r="1" spans="1:8" ht="18">
      <c r="A1" s="917" t="s">
        <v>421</v>
      </c>
      <c r="B1" s="918"/>
      <c r="C1" s="918"/>
      <c r="D1" s="918"/>
      <c r="E1" s="918"/>
      <c r="F1" s="918"/>
      <c r="G1" s="918"/>
      <c r="H1" s="918"/>
    </row>
    <row r="2" spans="1:8" ht="18">
      <c r="A2" s="917"/>
      <c r="B2" s="918"/>
      <c r="C2" s="918"/>
      <c r="D2" s="918"/>
      <c r="E2" s="918"/>
      <c r="F2" s="918"/>
      <c r="G2" s="918"/>
      <c r="H2" s="918"/>
    </row>
    <row r="3" spans="1:8" s="615" customFormat="1" ht="18">
      <c r="A3" s="917"/>
      <c r="B3" s="918"/>
      <c r="C3" s="918"/>
      <c r="D3" s="918"/>
      <c r="E3" s="918"/>
      <c r="F3" s="918"/>
      <c r="G3" s="918"/>
      <c r="H3" s="569" t="s">
        <v>426</v>
      </c>
    </row>
    <row r="4" spans="1:8" s="615" customFormat="1" ht="18">
      <c r="A4" s="917"/>
      <c r="B4" s="918"/>
      <c r="C4" s="918"/>
      <c r="D4" s="918"/>
      <c r="E4" s="918"/>
      <c r="F4" s="918"/>
      <c r="G4" s="918"/>
      <c r="H4" s="567" t="str">
        <f>"Page 15 of "&amp;Workpaper</f>
        <v>Page 15 of 18</v>
      </c>
    </row>
    <row r="5" spans="1:8" ht="15.75">
      <c r="A5" s="919"/>
      <c r="B5" s="920"/>
      <c r="C5" s="920"/>
      <c r="D5" s="920"/>
      <c r="E5" s="920"/>
      <c r="F5" s="920"/>
      <c r="G5" s="920"/>
      <c r="H5" s="275" t="str">
        <f>"For the 12 months ended: "&amp;TEXT(INPUT!$B$1,"mm/dd/yyyy")</f>
        <v>For the 12 months ended: 12/31/2017</v>
      </c>
    </row>
    <row r="6" spans="1:8" ht="15.75">
      <c r="A6" s="919"/>
      <c r="B6" s="920"/>
      <c r="C6" s="920"/>
      <c r="D6" s="920"/>
      <c r="E6" s="920"/>
      <c r="F6" s="920"/>
      <c r="G6" s="920"/>
      <c r="H6" s="403"/>
    </row>
    <row r="7" spans="1:8" ht="15.75">
      <c r="A7" s="921" t="s">
        <v>813</v>
      </c>
      <c r="B7" s="920"/>
      <c r="C7" s="920"/>
      <c r="D7" s="920"/>
      <c r="E7" s="920"/>
      <c r="F7" s="920"/>
      <c r="G7" s="920"/>
      <c r="H7" s="920"/>
    </row>
    <row r="8" spans="1:8" ht="15.75">
      <c r="A8" s="921" t="s">
        <v>814</v>
      </c>
      <c r="B8" s="920"/>
      <c r="C8" s="920"/>
      <c r="D8" s="921"/>
      <c r="E8" s="920"/>
      <c r="F8" s="920"/>
      <c r="G8" s="920"/>
      <c r="H8" s="920"/>
    </row>
    <row r="9" spans="1:8">
      <c r="A9" s="847"/>
      <c r="B9" s="847"/>
      <c r="C9" s="847"/>
      <c r="D9" s="847"/>
      <c r="E9" s="847"/>
      <c r="F9" s="847"/>
      <c r="G9" s="847"/>
      <c r="H9" s="847"/>
    </row>
    <row r="10" spans="1:8">
      <c r="A10" s="847"/>
      <c r="B10" s="847"/>
      <c r="C10" s="847"/>
      <c r="D10" s="847"/>
      <c r="E10" s="847"/>
      <c r="F10" s="847"/>
      <c r="G10" s="847"/>
      <c r="H10" s="847"/>
    </row>
    <row r="11" spans="1:8">
      <c r="A11" s="847"/>
      <c r="B11" s="847"/>
      <c r="C11" s="922" t="s">
        <v>815</v>
      </c>
      <c r="D11" s="922" t="s">
        <v>815</v>
      </c>
      <c r="E11" s="847"/>
      <c r="F11" s="847"/>
      <c r="G11" s="847"/>
      <c r="H11" s="847"/>
    </row>
    <row r="12" spans="1:8">
      <c r="A12" s="922" t="s">
        <v>816</v>
      </c>
      <c r="B12" s="922" t="s">
        <v>817</v>
      </c>
      <c r="C12" s="922" t="s">
        <v>818</v>
      </c>
      <c r="D12" s="922" t="s">
        <v>819</v>
      </c>
      <c r="E12" s="847"/>
      <c r="F12" s="922" t="s">
        <v>816</v>
      </c>
      <c r="G12" s="922"/>
      <c r="H12" s="922" t="s">
        <v>820</v>
      </c>
    </row>
    <row r="13" spans="1:8">
      <c r="A13" s="923" t="s">
        <v>821</v>
      </c>
      <c r="B13" s="923" t="s">
        <v>822</v>
      </c>
      <c r="C13" s="923" t="s">
        <v>823</v>
      </c>
      <c r="D13" s="923" t="s">
        <v>823</v>
      </c>
      <c r="E13" s="923" t="s">
        <v>13</v>
      </c>
      <c r="F13" s="923" t="s">
        <v>821</v>
      </c>
      <c r="G13" s="923" t="s">
        <v>644</v>
      </c>
      <c r="H13" s="923" t="s">
        <v>824</v>
      </c>
    </row>
    <row r="14" spans="1:8" ht="15.75">
      <c r="A14" s="923"/>
      <c r="B14" s="923"/>
      <c r="C14" s="922"/>
      <c r="D14" s="922"/>
      <c r="E14" s="923"/>
      <c r="F14" s="924"/>
      <c r="G14" s="923"/>
      <c r="H14" s="923"/>
    </row>
    <row r="15" spans="1:8">
      <c r="A15" s="925" t="s">
        <v>825</v>
      </c>
      <c r="B15" s="925" t="s">
        <v>826</v>
      </c>
      <c r="C15" s="926">
        <v>-403746</v>
      </c>
      <c r="D15" s="926">
        <v>-13552.14</v>
      </c>
      <c r="E15" s="927">
        <f t="shared" ref="E15:E26" si="0">C15+D15</f>
        <v>-417298.14</v>
      </c>
      <c r="F15" s="926">
        <f>-417298.12</f>
        <v>-417298.12</v>
      </c>
      <c r="G15" s="927">
        <f t="shared" ref="G15:G26" si="1">F15-E15</f>
        <v>2.0000000018626451E-2</v>
      </c>
      <c r="H15" s="927">
        <f>SUM($G$15:G15)</f>
        <v>2.0000000018626451E-2</v>
      </c>
    </row>
    <row r="16" spans="1:8">
      <c r="A16" s="925" t="s">
        <v>826</v>
      </c>
      <c r="B16" s="847" t="s">
        <v>827</v>
      </c>
      <c r="C16" s="928">
        <v>-396092.8</v>
      </c>
      <c r="D16" s="928">
        <v>-11697.47</v>
      </c>
      <c r="E16" s="927">
        <f t="shared" si="0"/>
        <v>-407790.26999999996</v>
      </c>
      <c r="F16" s="928">
        <f>-407790.28</f>
        <v>-407790.28</v>
      </c>
      <c r="G16" s="927">
        <f t="shared" si="1"/>
        <v>-1.0000000067520887E-2</v>
      </c>
      <c r="H16" s="927">
        <f>SUM($G$15:G16)</f>
        <v>9.9999999511055648E-3</v>
      </c>
    </row>
    <row r="17" spans="1:8">
      <c r="A17" s="847" t="s">
        <v>827</v>
      </c>
      <c r="B17" s="847" t="s">
        <v>828</v>
      </c>
      <c r="C17" s="928">
        <v>-332602.5</v>
      </c>
      <c r="D17" s="928">
        <v>-10282.799999999999</v>
      </c>
      <c r="E17" s="927">
        <f>C17+D17</f>
        <v>-342885.3</v>
      </c>
      <c r="F17" s="928">
        <f>-342885.29</f>
        <v>-342885.29</v>
      </c>
      <c r="G17" s="927">
        <f t="shared" si="1"/>
        <v>1.0000000009313226E-2</v>
      </c>
      <c r="H17" s="927">
        <f>SUM($G$15:G17)</f>
        <v>1.9999999960418791E-2</v>
      </c>
    </row>
    <row r="18" spans="1:8">
      <c r="A18" s="847" t="s">
        <v>828</v>
      </c>
      <c r="B18" s="847" t="s">
        <v>829</v>
      </c>
      <c r="C18" s="928">
        <v>-363807.1</v>
      </c>
      <c r="D18" s="928">
        <v>-12692.2</v>
      </c>
      <c r="E18" s="927">
        <f t="shared" si="0"/>
        <v>-376499.3</v>
      </c>
      <c r="F18" s="928">
        <f>-376520.05+0.01+20.25</f>
        <v>-376499.79</v>
      </c>
      <c r="G18" s="927">
        <f t="shared" si="1"/>
        <v>-0.48999999999068677</v>
      </c>
      <c r="H18" s="927">
        <f>SUM($G$15:G18)</f>
        <v>-0.47000000003026798</v>
      </c>
    </row>
    <row r="19" spans="1:8">
      <c r="A19" s="847" t="s">
        <v>829</v>
      </c>
      <c r="B19" s="847" t="s">
        <v>284</v>
      </c>
      <c r="C19" s="928">
        <v>-325415.73</v>
      </c>
      <c r="D19" s="928">
        <v>-12964.02</v>
      </c>
      <c r="E19" s="927">
        <f t="shared" si="0"/>
        <v>-338379.75</v>
      </c>
      <c r="F19" s="928">
        <f>-338379.75+0.47</f>
        <v>-338379.28</v>
      </c>
      <c r="G19" s="927">
        <f t="shared" si="1"/>
        <v>0.46999999997206032</v>
      </c>
      <c r="H19" s="927">
        <f>SUM($G$15:G19)</f>
        <v>-5.8207660913467407E-11</v>
      </c>
    </row>
    <row r="20" spans="1:8">
      <c r="A20" s="847" t="s">
        <v>284</v>
      </c>
      <c r="B20" s="847" t="s">
        <v>830</v>
      </c>
      <c r="C20" s="928">
        <v>-355742.77</v>
      </c>
      <c r="D20" s="928">
        <v>-11649.57</v>
      </c>
      <c r="E20" s="927">
        <f t="shared" si="0"/>
        <v>-367392.34</v>
      </c>
      <c r="F20" s="928">
        <v>-367392.34</v>
      </c>
      <c r="G20" s="927">
        <f t="shared" si="1"/>
        <v>0</v>
      </c>
      <c r="H20" s="927">
        <f>SUM($G$15:G20)</f>
        <v>-5.8207660913467407E-11</v>
      </c>
    </row>
    <row r="21" spans="1:8">
      <c r="A21" s="847" t="s">
        <v>830</v>
      </c>
      <c r="B21" s="847" t="s">
        <v>831</v>
      </c>
      <c r="C21" s="928">
        <v>-468396.69</v>
      </c>
      <c r="D21" s="928">
        <v>-10855.51</v>
      </c>
      <c r="E21" s="927">
        <f t="shared" si="0"/>
        <v>-479252.2</v>
      </c>
      <c r="F21" s="928">
        <f>-479252.2</f>
        <v>-479252.2</v>
      </c>
      <c r="G21" s="927">
        <f t="shared" si="1"/>
        <v>0</v>
      </c>
      <c r="H21" s="927">
        <f>SUM($G$15:G21)</f>
        <v>-5.8207660913467407E-11</v>
      </c>
    </row>
    <row r="22" spans="1:8">
      <c r="A22" s="847" t="s">
        <v>831</v>
      </c>
      <c r="B22" s="847" t="s">
        <v>832</v>
      </c>
      <c r="C22" s="928">
        <v>-525326.76</v>
      </c>
      <c r="D22" s="928">
        <v>-11546.54</v>
      </c>
      <c r="E22" s="927">
        <f t="shared" si="0"/>
        <v>-536873.30000000005</v>
      </c>
      <c r="F22" s="928">
        <v>-536873.30000000005</v>
      </c>
      <c r="G22" s="927">
        <f t="shared" si="1"/>
        <v>0</v>
      </c>
      <c r="H22" s="927">
        <f>SUM($G$15:G22)</f>
        <v>-5.8207660913467407E-11</v>
      </c>
    </row>
    <row r="23" spans="1:8">
      <c r="A23" s="847" t="s">
        <v>832</v>
      </c>
      <c r="B23" s="847" t="s">
        <v>833</v>
      </c>
      <c r="C23" s="928">
        <v>-494147.03</v>
      </c>
      <c r="D23" s="928">
        <v>-9955.0300000000007</v>
      </c>
      <c r="E23" s="927">
        <f t="shared" si="0"/>
        <v>-504102.06000000006</v>
      </c>
      <c r="F23" s="928">
        <v>-504102.06</v>
      </c>
      <c r="G23" s="927">
        <f t="shared" si="1"/>
        <v>0</v>
      </c>
      <c r="H23" s="927">
        <f>SUM($G$15:G23)</f>
        <v>-5.8207660913467407E-11</v>
      </c>
    </row>
    <row r="24" spans="1:8">
      <c r="A24" s="847" t="s">
        <v>833</v>
      </c>
      <c r="B24" s="847" t="s">
        <v>834</v>
      </c>
      <c r="C24" s="928">
        <v>-423735.68</v>
      </c>
      <c r="D24" s="928">
        <v>-11158.25</v>
      </c>
      <c r="E24" s="927">
        <f t="shared" si="0"/>
        <v>-434893.93</v>
      </c>
      <c r="F24" s="928">
        <v>-434893.93</v>
      </c>
      <c r="G24" s="927">
        <f t="shared" si="1"/>
        <v>0</v>
      </c>
      <c r="H24" s="927">
        <f>SUM($G$15:G24)</f>
        <v>-5.8207660913467407E-11</v>
      </c>
    </row>
    <row r="25" spans="1:8">
      <c r="A25" s="847" t="s">
        <v>834</v>
      </c>
      <c r="B25" s="847" t="s">
        <v>835</v>
      </c>
      <c r="C25" s="928">
        <v>-400393.41</v>
      </c>
      <c r="D25" s="928">
        <v>-8462.75</v>
      </c>
      <c r="E25" s="927">
        <f t="shared" si="0"/>
        <v>-408856.16</v>
      </c>
      <c r="F25" s="928">
        <v>-408856.16</v>
      </c>
      <c r="G25" s="927">
        <f t="shared" si="1"/>
        <v>0</v>
      </c>
      <c r="H25" s="927">
        <f>SUM($G$15:G25)</f>
        <v>-5.8207660913467407E-11</v>
      </c>
    </row>
    <row r="26" spans="1:8">
      <c r="A26" s="847" t="s">
        <v>835</v>
      </c>
      <c r="B26" s="847" t="s">
        <v>836</v>
      </c>
      <c r="C26" s="928">
        <v>-403687.35</v>
      </c>
      <c r="D26" s="928">
        <v>-7018.02</v>
      </c>
      <c r="E26" s="927">
        <f t="shared" si="0"/>
        <v>-410705.37</v>
      </c>
      <c r="F26" s="928">
        <v>-410705.37</v>
      </c>
      <c r="G26" s="927">
        <f t="shared" si="1"/>
        <v>0</v>
      </c>
      <c r="H26" s="927">
        <f>SUM($G$15:G26)</f>
        <v>-5.8207660913467407E-11</v>
      </c>
    </row>
    <row r="27" spans="1:8">
      <c r="A27" s="847"/>
      <c r="B27" s="847"/>
      <c r="C27" s="926"/>
      <c r="D27" s="926"/>
      <c r="E27" s="927"/>
      <c r="F27" s="926"/>
      <c r="G27" s="927"/>
      <c r="H27" s="927"/>
    </row>
    <row r="28" spans="1:8" ht="15.75">
      <c r="A28" s="929" t="s">
        <v>837</v>
      </c>
      <c r="B28" s="847"/>
      <c r="C28" s="928"/>
      <c r="D28" s="930">
        <f>SUM(D15:D26)</f>
        <v>-131834.29999999999</v>
      </c>
      <c r="E28" s="927"/>
      <c r="F28" s="847"/>
      <c r="G28" s="927"/>
      <c r="H28" s="927"/>
    </row>
    <row r="29" spans="1:8" s="615" customFormat="1" ht="15.75">
      <c r="A29" s="929"/>
      <c r="B29" s="847"/>
      <c r="C29" s="928"/>
      <c r="D29" s="931"/>
      <c r="E29" s="927"/>
      <c r="F29" s="847"/>
      <c r="G29" s="927"/>
      <c r="H29" s="927"/>
    </row>
    <row r="30" spans="1:8" ht="15.75">
      <c r="A30" s="929"/>
      <c r="B30" s="847"/>
      <c r="C30" s="928"/>
      <c r="D30" s="931"/>
      <c r="E30" s="927"/>
      <c r="F30" s="928"/>
      <c r="G30" s="927"/>
      <c r="H30" s="927"/>
    </row>
    <row r="31" spans="1:8" ht="15.75">
      <c r="A31" s="847" t="s">
        <v>754</v>
      </c>
      <c r="B31" s="847"/>
      <c r="C31" s="928"/>
      <c r="D31" s="931"/>
      <c r="E31" s="927"/>
      <c r="F31" s="928"/>
      <c r="G31" s="927"/>
      <c r="H31" s="847"/>
    </row>
    <row r="32" spans="1:8" ht="15.75">
      <c r="A32" s="615" t="s">
        <v>753</v>
      </c>
      <c r="B32" s="847"/>
      <c r="C32" s="928"/>
      <c r="D32" s="931"/>
      <c r="E32" s="927"/>
      <c r="F32" s="928"/>
      <c r="G32" s="927"/>
      <c r="H32" s="615"/>
    </row>
    <row r="33" spans="1:8" ht="15.75">
      <c r="A33" s="615" t="s">
        <v>755</v>
      </c>
      <c r="B33" s="847"/>
      <c r="C33" s="928"/>
      <c r="D33" s="931"/>
      <c r="E33" s="927"/>
      <c r="F33" s="928"/>
      <c r="G33" s="927"/>
      <c r="H33" s="615"/>
    </row>
  </sheetData>
  <pageMargins left="1" right="1" top="1" bottom="0.75" header="0.3" footer="0.3"/>
  <pageSetup scale="6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1" tint="4.9989318521683403E-2"/>
    <pageSetUpPr fitToPage="1"/>
  </sheetPr>
  <dimension ref="A1:L36"/>
  <sheetViews>
    <sheetView zoomScale="80" zoomScaleNormal="80" workbookViewId="0"/>
  </sheetViews>
  <sheetFormatPr defaultColWidth="8.88671875" defaultRowHeight="15"/>
  <cols>
    <col min="1" max="1" width="30.44140625" style="877" customWidth="1"/>
    <col min="2" max="2" width="4.88671875" style="877" customWidth="1"/>
    <col min="3" max="3" width="12.6640625" style="877" customWidth="1"/>
    <col min="4" max="4" width="2" style="877" customWidth="1"/>
    <col min="5" max="5" width="12" style="877" bestFit="1" customWidth="1"/>
    <col min="6" max="6" width="2" style="877" customWidth="1"/>
    <col min="7" max="7" width="12.109375" style="877" customWidth="1"/>
    <col min="8" max="8" width="2" style="877" customWidth="1"/>
    <col min="9" max="9" width="11.6640625" style="877" customWidth="1"/>
    <col min="10" max="10" width="2" style="877" customWidth="1"/>
    <col min="11" max="11" width="8.88671875" style="877"/>
    <col min="12" max="12" width="11" style="877" customWidth="1"/>
    <col min="13" max="16384" width="8.88671875" style="877"/>
  </cols>
  <sheetData>
    <row r="1" spans="1:12" ht="15.75">
      <c r="A1" s="656" t="str">
        <f>'P1 ADIT 190 &amp; 282'!A1</f>
        <v>Duke Energy Ohio and Duke Energy Kentucky</v>
      </c>
      <c r="B1" s="656"/>
      <c r="C1" s="260"/>
      <c r="D1" s="260"/>
      <c r="E1" s="260"/>
      <c r="F1" s="260"/>
      <c r="G1" s="260"/>
      <c r="H1" s="260"/>
      <c r="I1" s="657"/>
      <c r="J1" s="260"/>
    </row>
    <row r="2" spans="1:12" ht="15.75">
      <c r="A2" s="656"/>
      <c r="B2" s="656"/>
      <c r="C2" s="260"/>
      <c r="D2" s="260"/>
      <c r="E2" s="260"/>
      <c r="F2" s="260"/>
      <c r="G2" s="260"/>
      <c r="H2" s="260"/>
      <c r="I2" s="657"/>
      <c r="J2" s="260"/>
    </row>
    <row r="3" spans="1:12" ht="15.75">
      <c r="A3" s="656"/>
      <c r="B3" s="656"/>
      <c r="C3" s="260"/>
      <c r="D3" s="260"/>
      <c r="E3" s="260"/>
      <c r="F3" s="260"/>
      <c r="G3" s="260"/>
      <c r="H3" s="260"/>
      <c r="I3" s="403" t="s">
        <v>426</v>
      </c>
      <c r="J3" s="260"/>
    </row>
    <row r="4" spans="1:12" ht="15.75">
      <c r="A4" s="656"/>
      <c r="B4" s="656"/>
      <c r="C4" s="260"/>
      <c r="D4" s="260"/>
      <c r="E4" s="260"/>
      <c r="F4" s="260"/>
      <c r="G4" s="260"/>
      <c r="H4" s="260"/>
      <c r="I4" s="567" t="str">
        <f>"Page 16 of "&amp;Workpaper</f>
        <v>Page 16 of 18</v>
      </c>
      <c r="J4" s="260"/>
    </row>
    <row r="5" spans="1:12" ht="15.75">
      <c r="A5" s="656"/>
      <c r="B5" s="656"/>
      <c r="C5" s="260"/>
      <c r="D5" s="260"/>
      <c r="E5" s="260"/>
      <c r="F5" s="260"/>
      <c r="G5" s="260"/>
      <c r="H5" s="260"/>
      <c r="I5" s="275" t="str">
        <f>"For the 12 months ended: "&amp;TEXT(INPUT!$B$1,"mm/dd/yyyy")</f>
        <v>For the 12 months ended: 12/31/2017</v>
      </c>
      <c r="J5" s="260"/>
    </row>
    <row r="6" spans="1:12" ht="15.75">
      <c r="A6" s="656"/>
      <c r="B6" s="656"/>
      <c r="C6" s="260"/>
      <c r="D6" s="260"/>
      <c r="E6" s="260"/>
      <c r="F6" s="260"/>
      <c r="G6" s="260"/>
      <c r="H6" s="260"/>
      <c r="I6" s="403"/>
      <c r="J6" s="260"/>
    </row>
    <row r="7" spans="1:12" ht="15.75">
      <c r="A7" s="656" t="s">
        <v>788</v>
      </c>
      <c r="B7" s="656"/>
      <c r="C7" s="260"/>
      <c r="D7" s="260"/>
      <c r="E7" s="260"/>
      <c r="F7" s="260"/>
      <c r="G7" s="260"/>
      <c r="H7" s="260"/>
      <c r="I7" s="657"/>
      <c r="J7" s="260"/>
    </row>
    <row r="8" spans="1:12" ht="15.75">
      <c r="A8" s="656" t="s">
        <v>792</v>
      </c>
      <c r="B8" s="656"/>
      <c r="C8" s="260"/>
      <c r="D8" s="260"/>
      <c r="E8" s="260"/>
      <c r="F8" s="260"/>
      <c r="G8" s="260"/>
      <c r="H8" s="260"/>
      <c r="I8" s="657"/>
      <c r="J8" s="260"/>
    </row>
    <row r="9" spans="1:12" ht="15.75">
      <c r="A9" s="97"/>
      <c r="B9" s="97"/>
      <c r="C9" s="362"/>
      <c r="D9" s="362"/>
      <c r="E9" s="362"/>
      <c r="F9" s="362"/>
      <c r="G9" s="362"/>
      <c r="H9" s="362"/>
      <c r="I9" s="97"/>
      <c r="J9" s="362"/>
    </row>
    <row r="10" spans="1:12" ht="15.75">
      <c r="A10" s="110"/>
      <c r="B10" s="110"/>
      <c r="C10" s="204"/>
      <c r="D10" s="204"/>
      <c r="E10" s="204"/>
      <c r="F10" s="204"/>
      <c r="G10" s="204"/>
      <c r="H10" s="204"/>
      <c r="I10" s="110"/>
      <c r="J10" s="204"/>
    </row>
    <row r="11" spans="1:12" ht="15.75">
      <c r="A11" s="111"/>
      <c r="B11" s="111"/>
      <c r="C11" s="204"/>
      <c r="D11" s="204"/>
      <c r="E11" s="204"/>
      <c r="F11" s="204"/>
      <c r="G11" s="204"/>
      <c r="H11" s="204"/>
      <c r="I11" s="110"/>
      <c r="J11" s="204"/>
    </row>
    <row r="12" spans="1:12" ht="20.25">
      <c r="A12" s="110"/>
      <c r="B12" s="110"/>
      <c r="C12" s="1083" t="s">
        <v>191</v>
      </c>
      <c r="D12" s="1083"/>
      <c r="E12" s="1083"/>
      <c r="F12" s="201"/>
      <c r="G12" s="1083" t="s">
        <v>192</v>
      </c>
      <c r="H12" s="1083"/>
      <c r="I12" s="1083"/>
      <c r="J12" s="201"/>
    </row>
    <row r="13" spans="1:12" ht="20.25">
      <c r="A13" s="202" t="s">
        <v>787</v>
      </c>
      <c r="B13" s="110"/>
      <c r="C13" s="202" t="s">
        <v>25</v>
      </c>
      <c r="D13" s="202"/>
      <c r="E13" s="202" t="s">
        <v>202</v>
      </c>
      <c r="F13" s="202"/>
      <c r="G13" s="202" t="str">
        <f>C13</f>
        <v>Transmission</v>
      </c>
      <c r="H13" s="202"/>
      <c r="I13" s="114" t="str">
        <f>E13</f>
        <v>Distribution</v>
      </c>
      <c r="J13" s="202"/>
    </row>
    <row r="14" spans="1:12" ht="15.75">
      <c r="A14" s="115" t="s">
        <v>789</v>
      </c>
      <c r="B14" s="365"/>
      <c r="C14" s="658">
        <v>23829</v>
      </c>
      <c r="D14" s="548"/>
      <c r="E14" s="658">
        <v>385937</v>
      </c>
      <c r="F14" s="548"/>
      <c r="G14" s="658">
        <v>67</v>
      </c>
      <c r="H14" s="548"/>
      <c r="I14" s="658">
        <v>3259</v>
      </c>
      <c r="J14" s="548"/>
    </row>
    <row r="15" spans="1:12" ht="15.75">
      <c r="A15" s="110" t="s">
        <v>790</v>
      </c>
      <c r="B15" s="110"/>
      <c r="C15" s="658">
        <v>6</v>
      </c>
      <c r="D15" s="549"/>
      <c r="E15" s="658">
        <v>3</v>
      </c>
      <c r="F15" s="549"/>
      <c r="G15" s="658">
        <v>0</v>
      </c>
      <c r="H15" s="549"/>
      <c r="I15" s="658">
        <v>0</v>
      </c>
      <c r="J15" s="549"/>
    </row>
    <row r="16" spans="1:12" ht="17.25">
      <c r="A16" s="110" t="s">
        <v>791</v>
      </c>
      <c r="B16" s="110"/>
      <c r="C16" s="880">
        <v>42</v>
      </c>
      <c r="D16" s="658"/>
      <c r="E16" s="880">
        <v>66</v>
      </c>
      <c r="F16" s="658"/>
      <c r="G16" s="880">
        <v>0</v>
      </c>
      <c r="H16" s="658"/>
      <c r="I16" s="880">
        <v>0</v>
      </c>
      <c r="J16" s="658"/>
      <c r="L16" s="882"/>
    </row>
    <row r="17" spans="1:12" ht="15.75">
      <c r="A17" s="366" t="s">
        <v>13</v>
      </c>
      <c r="B17" s="110"/>
      <c r="C17" s="879">
        <f>SUM(C14:C16)</f>
        <v>23877</v>
      </c>
      <c r="D17" s="549"/>
      <c r="E17" s="879">
        <f>SUM(E14:E16)</f>
        <v>386006</v>
      </c>
      <c r="F17" s="549"/>
      <c r="G17" s="879">
        <f>SUM(G14:G16)</f>
        <v>67</v>
      </c>
      <c r="H17" s="549"/>
      <c r="I17" s="879">
        <f>SUM(I14:I16)</f>
        <v>3259</v>
      </c>
      <c r="J17" s="549"/>
      <c r="L17" s="882"/>
    </row>
    <row r="18" spans="1:12" ht="15.75">
      <c r="A18" s="110"/>
      <c r="B18" s="110"/>
      <c r="C18" s="550"/>
      <c r="D18" s="550"/>
      <c r="E18" s="550"/>
      <c r="F18" s="550"/>
      <c r="G18" s="550"/>
      <c r="H18" s="550"/>
      <c r="I18" s="878"/>
      <c r="J18" s="550"/>
      <c r="L18" s="883"/>
    </row>
    <row r="19" spans="1:12" ht="17.25">
      <c r="A19" s="110" t="s">
        <v>501</v>
      </c>
      <c r="B19" s="110"/>
      <c r="C19" s="1060">
        <f>ROUND(C17/($C17+$E17),4)</f>
        <v>5.8299999999999998E-2</v>
      </c>
      <c r="D19" s="996"/>
      <c r="E19" s="1060">
        <f>ROUND(E17/($C17+$E17),4)</f>
        <v>0.94169999999999998</v>
      </c>
      <c r="F19" s="996"/>
      <c r="G19" s="1060">
        <f>ROUND(G17/($G17+$I17),4)</f>
        <v>2.01E-2</v>
      </c>
      <c r="H19" s="996"/>
      <c r="I19" s="1060">
        <f>ROUND(I17/($G17+$I17),4)</f>
        <v>0.97989999999999999</v>
      </c>
      <c r="J19" s="551"/>
      <c r="L19" s="882"/>
    </row>
    <row r="20" spans="1:12" ht="17.25">
      <c r="A20" s="366"/>
      <c r="B20" s="366"/>
      <c r="C20" s="369"/>
      <c r="D20" s="369"/>
      <c r="E20" s="369"/>
      <c r="F20" s="369"/>
      <c r="G20" s="369"/>
      <c r="H20" s="369"/>
      <c r="I20" s="369"/>
      <c r="J20" s="369"/>
      <c r="L20" s="884"/>
    </row>
    <row r="21" spans="1:12" ht="15.75">
      <c r="A21" s="110"/>
      <c r="B21" s="110"/>
      <c r="C21" s="368"/>
      <c r="D21" s="368"/>
      <c r="E21" s="368"/>
      <c r="F21" s="368"/>
      <c r="G21" s="368"/>
      <c r="H21" s="368"/>
      <c r="I21" s="405"/>
      <c r="J21" s="368"/>
      <c r="L21" s="885"/>
    </row>
    <row r="22" spans="1:12" ht="17.25">
      <c r="A22" s="110"/>
      <c r="B22" s="110"/>
      <c r="C22" s="552"/>
      <c r="D22" s="552"/>
      <c r="E22" s="552"/>
      <c r="F22" s="552"/>
      <c r="G22" s="552"/>
      <c r="H22" s="552"/>
      <c r="I22" s="422"/>
      <c r="J22" s="552"/>
      <c r="L22" s="882"/>
    </row>
    <row r="23" spans="1:12" ht="17.25">
      <c r="A23" s="656"/>
      <c r="B23" s="110"/>
      <c r="C23" s="369"/>
      <c r="D23" s="369"/>
      <c r="E23" s="369"/>
      <c r="F23" s="369"/>
      <c r="G23" s="369"/>
      <c r="H23" s="369"/>
      <c r="I23" s="367"/>
      <c r="J23" s="369"/>
      <c r="L23" s="886"/>
    </row>
    <row r="24" spans="1:12">
      <c r="L24" s="884"/>
    </row>
    <row r="25" spans="1:12">
      <c r="L25" s="885"/>
    </row>
    <row r="26" spans="1:12">
      <c r="L26" s="882"/>
    </row>
    <row r="27" spans="1:12">
      <c r="L27" s="884"/>
    </row>
    <row r="28" spans="1:12">
      <c r="L28" s="885"/>
    </row>
    <row r="29" spans="1:12">
      <c r="L29" s="882"/>
    </row>
    <row r="30" spans="1:12">
      <c r="L30" s="886"/>
    </row>
    <row r="31" spans="1:12">
      <c r="L31" s="884"/>
    </row>
    <row r="32" spans="1:12">
      <c r="L32" s="887"/>
    </row>
    <row r="33" spans="12:12">
      <c r="L33" s="882"/>
    </row>
    <row r="34" spans="12:12">
      <c r="L34" s="884"/>
    </row>
    <row r="35" spans="12:12">
      <c r="L35" s="888"/>
    </row>
    <row r="36" spans="12:12">
      <c r="L36" s="882"/>
    </row>
  </sheetData>
  <mergeCells count="2">
    <mergeCell ref="C12:E12"/>
    <mergeCell ref="G12:I12"/>
  </mergeCells>
  <pageMargins left="1" right="1" top="1" bottom="0.75" header="0.3" footer="0.3"/>
  <pageSetup scale="77"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1"/>
    <pageSetUpPr fitToPage="1"/>
  </sheetPr>
  <dimension ref="A1:G23"/>
  <sheetViews>
    <sheetView zoomScale="80" zoomScaleNormal="80" workbookViewId="0"/>
  </sheetViews>
  <sheetFormatPr defaultColWidth="8.77734375" defaultRowHeight="15"/>
  <cols>
    <col min="1" max="1" width="6.21875" style="670" customWidth="1"/>
    <col min="2" max="2" width="54" style="670" customWidth="1"/>
    <col min="3" max="3" width="20" style="670" customWidth="1"/>
    <col min="4" max="4" width="14.77734375" style="670" bestFit="1" customWidth="1"/>
    <col min="5" max="5" width="1.6640625" style="670" customWidth="1"/>
    <col min="6" max="6" width="8.77734375" style="670"/>
    <col min="7" max="7" width="13.44140625" style="670" customWidth="1"/>
    <col min="8" max="16384" width="8.77734375" style="670"/>
  </cols>
  <sheetData>
    <row r="1" spans="1:5" ht="15.75">
      <c r="A1" s="698" t="s">
        <v>421</v>
      </c>
      <c r="B1" s="657"/>
      <c r="C1" s="698"/>
      <c r="E1" s="698"/>
    </row>
    <row r="2" spans="1:5" ht="15.75">
      <c r="A2" s="698"/>
      <c r="B2" s="657"/>
      <c r="C2" s="698"/>
      <c r="E2" s="698"/>
    </row>
    <row r="3" spans="1:5" ht="15.75">
      <c r="A3" s="698"/>
      <c r="B3" s="657"/>
      <c r="C3" s="698"/>
      <c r="D3" s="403" t="s">
        <v>426</v>
      </c>
      <c r="E3" s="698"/>
    </row>
    <row r="4" spans="1:5" ht="15.75">
      <c r="A4" s="698"/>
      <c r="B4" s="657"/>
      <c r="C4" s="698"/>
      <c r="D4" s="567" t="str">
        <f>"Page 17 of "&amp;Workpaper</f>
        <v>Page 17 of 18</v>
      </c>
      <c r="E4" s="698"/>
    </row>
    <row r="5" spans="1:5" ht="15.75">
      <c r="A5" s="698"/>
      <c r="B5" s="657"/>
      <c r="C5" s="698"/>
      <c r="D5" s="275" t="str">
        <f>"For the 12 months ended: "&amp;TEXT(INPUT!$B$1,"mm/dd/yyyy")</f>
        <v>For the 12 months ended: 12/31/2017</v>
      </c>
      <c r="E5" s="698"/>
    </row>
    <row r="6" spans="1:5" ht="15.75">
      <c r="A6" s="698"/>
      <c r="B6" s="657"/>
      <c r="C6" s="698"/>
      <c r="E6" s="698"/>
    </row>
    <row r="7" spans="1:5" ht="15.75">
      <c r="A7" s="698" t="s">
        <v>636</v>
      </c>
      <c r="B7" s="657"/>
      <c r="C7" s="698"/>
      <c r="E7" s="698"/>
    </row>
    <row r="9" spans="1:5">
      <c r="D9" s="621" t="s">
        <v>302</v>
      </c>
    </row>
    <row r="10" spans="1:5">
      <c r="A10" s="621" t="s">
        <v>9</v>
      </c>
      <c r="D10" s="621" t="s">
        <v>631</v>
      </c>
    </row>
    <row r="11" spans="1:5">
      <c r="A11" s="629" t="s">
        <v>11</v>
      </c>
      <c r="B11" s="271" t="s">
        <v>452</v>
      </c>
      <c r="D11" s="629" t="s">
        <v>632</v>
      </c>
    </row>
    <row r="13" spans="1:5">
      <c r="A13" s="699">
        <v>1</v>
      </c>
      <c r="B13" s="670" t="s">
        <v>633</v>
      </c>
      <c r="D13" s="700">
        <v>2930180</v>
      </c>
    </row>
    <row r="14" spans="1:5">
      <c r="A14" s="699">
        <v>2</v>
      </c>
      <c r="B14" s="670" t="s">
        <v>634</v>
      </c>
      <c r="D14" s="848">
        <v>3.2500000000000001E-2</v>
      </c>
    </row>
    <row r="15" spans="1:5">
      <c r="A15" s="699">
        <v>3</v>
      </c>
      <c r="B15" s="670" t="s">
        <v>637</v>
      </c>
      <c r="D15" s="849">
        <v>1.5</v>
      </c>
    </row>
    <row r="16" spans="1:5" ht="17.25">
      <c r="A16" s="699">
        <v>4</v>
      </c>
      <c r="B16" s="701" t="s">
        <v>638</v>
      </c>
      <c r="D16" s="713">
        <f>ROUND((D13*(1+D14/4)^(4*D15))-D13,0)</f>
        <v>145779</v>
      </c>
    </row>
    <row r="17" spans="1:7">
      <c r="A17" s="699">
        <v>5</v>
      </c>
      <c r="B17" s="670" t="s">
        <v>881</v>
      </c>
      <c r="C17" s="989" t="s">
        <v>884</v>
      </c>
      <c r="D17" s="671">
        <f>D13+D16</f>
        <v>3075959</v>
      </c>
      <c r="G17" s="1044"/>
    </row>
    <row r="18" spans="1:7">
      <c r="A18" s="699">
        <v>6</v>
      </c>
      <c r="C18" s="621"/>
      <c r="D18" s="671"/>
    </row>
    <row r="19" spans="1:7">
      <c r="A19" s="699">
        <v>7</v>
      </c>
      <c r="B19" s="670" t="s">
        <v>642</v>
      </c>
      <c r="D19" s="700">
        <v>3025411</v>
      </c>
    </row>
    <row r="20" spans="1:7">
      <c r="A20" s="699">
        <v>8</v>
      </c>
      <c r="D20" s="671"/>
    </row>
    <row r="21" spans="1:7" ht="15.75">
      <c r="A21" s="699">
        <v>9</v>
      </c>
      <c r="B21" s="670" t="s">
        <v>880</v>
      </c>
      <c r="D21" s="714">
        <f>D17-D19</f>
        <v>50548</v>
      </c>
    </row>
    <row r="22" spans="1:7">
      <c r="A22" s="699"/>
    </row>
    <row r="23" spans="1:7">
      <c r="A23" s="699"/>
    </row>
  </sheetData>
  <pageMargins left="0.75" right="0.45" top="1" bottom="0.75" header="0.3" footer="0.3"/>
  <pageSetup scale="6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1"/>
  </sheetPr>
  <dimension ref="A1:J21"/>
  <sheetViews>
    <sheetView zoomScale="80" zoomScaleNormal="80" workbookViewId="0"/>
  </sheetViews>
  <sheetFormatPr defaultRowHeight="15"/>
  <cols>
    <col min="1" max="1" width="6.6640625" customWidth="1"/>
    <col min="2" max="2" width="1.109375" customWidth="1"/>
    <col min="3" max="3" width="8.77734375" style="615"/>
    <col min="4" max="4" width="1.109375" style="615" customWidth="1"/>
    <col min="5" max="5" width="54.5546875" style="615" customWidth="1"/>
    <col min="6" max="6" width="1.109375" style="615" customWidth="1"/>
    <col min="7" max="7" width="14.33203125" style="615" customWidth="1"/>
    <col min="8" max="8" width="14.33203125" customWidth="1"/>
  </cols>
  <sheetData>
    <row r="1" spans="1:10" ht="15.75">
      <c r="A1" s="698" t="s">
        <v>421</v>
      </c>
      <c r="B1" s="657"/>
      <c r="C1" s="657"/>
      <c r="D1" s="657"/>
      <c r="E1" s="657"/>
      <c r="F1" s="657"/>
      <c r="G1" s="657"/>
      <c r="H1" s="698"/>
      <c r="I1" s="670"/>
    </row>
    <row r="2" spans="1:10" ht="15.75">
      <c r="A2" s="698"/>
      <c r="B2" s="657"/>
      <c r="C2" s="657"/>
      <c r="D2" s="657"/>
      <c r="E2" s="657"/>
      <c r="F2" s="657"/>
      <c r="G2" s="657"/>
      <c r="H2" s="698"/>
      <c r="I2" s="670"/>
    </row>
    <row r="3" spans="1:10" ht="15.75">
      <c r="A3" s="698"/>
      <c r="B3" s="657"/>
      <c r="C3" s="657"/>
      <c r="D3" s="657"/>
      <c r="E3" s="657"/>
      <c r="F3" s="657"/>
      <c r="G3" s="657"/>
      <c r="H3" s="403" t="s">
        <v>426</v>
      </c>
    </row>
    <row r="4" spans="1:10" ht="15.75">
      <c r="A4" s="698"/>
      <c r="B4" s="657"/>
      <c r="C4" s="657"/>
      <c r="D4" s="657"/>
      <c r="E4" s="657"/>
      <c r="F4" s="657"/>
      <c r="G4" s="657"/>
      <c r="H4" s="567" t="str">
        <f>"Page 18 of "&amp;Workpaper</f>
        <v>Page 18 of 18</v>
      </c>
    </row>
    <row r="5" spans="1:10" ht="15.75">
      <c r="A5" s="698"/>
      <c r="B5" s="657"/>
      <c r="C5" s="657"/>
      <c r="D5" s="657"/>
      <c r="E5" s="657"/>
      <c r="F5" s="657"/>
      <c r="G5" s="657"/>
      <c r="H5" s="275" t="str">
        <f>"For the 12 months ended: "&amp;TEXT(INPUT!$B$1,"mm/dd/yyyy")</f>
        <v>For the 12 months ended: 12/31/2017</v>
      </c>
    </row>
    <row r="6" spans="1:10" ht="15.75">
      <c r="A6" s="698"/>
      <c r="B6" s="657"/>
      <c r="C6" s="657"/>
      <c r="D6" s="657"/>
      <c r="E6" s="657"/>
      <c r="F6" s="657"/>
      <c r="G6" s="657"/>
      <c r="H6" s="698"/>
      <c r="I6" s="670"/>
    </row>
    <row r="7" spans="1:10" ht="15.75">
      <c r="A7" s="698" t="s">
        <v>873</v>
      </c>
      <c r="B7" s="657"/>
      <c r="C7" s="657"/>
      <c r="D7" s="657"/>
      <c r="E7" s="657"/>
      <c r="F7" s="657"/>
      <c r="G7" s="657"/>
      <c r="H7" s="698"/>
      <c r="I7" s="670"/>
    </row>
    <row r="10" spans="1:10">
      <c r="A10" s="621" t="s">
        <v>9</v>
      </c>
    </row>
    <row r="11" spans="1:10">
      <c r="A11" s="629" t="s">
        <v>11</v>
      </c>
      <c r="C11" s="1042" t="s">
        <v>449</v>
      </c>
      <c r="D11" s="1045"/>
      <c r="E11" s="1042" t="s">
        <v>452</v>
      </c>
      <c r="G11" s="1042" t="s">
        <v>191</v>
      </c>
      <c r="H11" s="1042" t="s">
        <v>192</v>
      </c>
      <c r="I11" s="1045"/>
      <c r="J11" s="1045"/>
    </row>
    <row r="12" spans="1:10">
      <c r="A12" s="670"/>
      <c r="G12"/>
      <c r="H12" s="615"/>
    </row>
    <row r="13" spans="1:10">
      <c r="A13" s="699">
        <v>1</v>
      </c>
      <c r="C13" s="1046">
        <v>561.4</v>
      </c>
      <c r="D13" s="776"/>
      <c r="E13" s="1047" t="s">
        <v>874</v>
      </c>
      <c r="G13" s="1050">
        <v>9100312</v>
      </c>
      <c r="H13" s="1050">
        <v>1877059</v>
      </c>
    </row>
    <row r="14" spans="1:10">
      <c r="A14" s="699">
        <v>2</v>
      </c>
      <c r="C14" s="776"/>
      <c r="D14" s="776"/>
      <c r="E14" s="776"/>
      <c r="G14" s="1050"/>
      <c r="H14" s="1050"/>
    </row>
    <row r="15" spans="1:10" ht="17.25">
      <c r="A15" s="699">
        <v>3</v>
      </c>
      <c r="C15" s="1046">
        <v>561.79999999999995</v>
      </c>
      <c r="D15" s="776"/>
      <c r="E15" s="1047" t="s">
        <v>875</v>
      </c>
      <c r="G15" s="1051">
        <v>22302749</v>
      </c>
      <c r="H15" s="1051">
        <v>666832</v>
      </c>
    </row>
    <row r="16" spans="1:10">
      <c r="A16" s="699">
        <v>4</v>
      </c>
      <c r="C16" s="776"/>
      <c r="D16" s="776"/>
      <c r="E16" s="776"/>
      <c r="G16" s="1043"/>
      <c r="H16" s="1043"/>
    </row>
    <row r="17" spans="1:8">
      <c r="A17" s="699">
        <v>5</v>
      </c>
      <c r="E17" s="615" t="s">
        <v>876</v>
      </c>
      <c r="G17" s="1043">
        <f>G13+G15</f>
        <v>31403061</v>
      </c>
      <c r="H17" s="1043">
        <f>H13+H15</f>
        <v>2543891</v>
      </c>
    </row>
    <row r="18" spans="1:8">
      <c r="A18" s="699">
        <v>6</v>
      </c>
      <c r="G18"/>
      <c r="H18" s="615"/>
    </row>
    <row r="19" spans="1:8">
      <c r="A19" s="699">
        <v>7</v>
      </c>
      <c r="E19" s="615" t="s">
        <v>877</v>
      </c>
      <c r="G19" s="1048">
        <f>DEO!J204</f>
        <v>0.91705000000000003</v>
      </c>
      <c r="H19" s="1048">
        <f>DEK!J204</f>
        <v>0.69086000000000003</v>
      </c>
    </row>
    <row r="20" spans="1:8">
      <c r="A20" s="699">
        <v>8</v>
      </c>
      <c r="G20"/>
      <c r="H20" s="615"/>
    </row>
    <row r="21" spans="1:8" ht="17.25">
      <c r="A21" s="699">
        <v>9</v>
      </c>
      <c r="E21" s="615" t="s">
        <v>878</v>
      </c>
      <c r="G21" s="1049">
        <f>ROUND(G17*G19,0)</f>
        <v>28798177</v>
      </c>
      <c r="H21" s="1049">
        <f>ROUND(H17*H19,0)</f>
        <v>1757473</v>
      </c>
    </row>
  </sheetData>
  <pageMargins left="0.4" right="0.45" top="0.75" bottom="0.75" header="0.3" footer="0.3"/>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0000"/>
    <pageSetUpPr fitToPage="1"/>
  </sheetPr>
  <dimension ref="A1:H186"/>
  <sheetViews>
    <sheetView topLeftCell="A16" zoomScale="75" zoomScaleNormal="75" zoomScaleSheetLayoutView="75" zoomScalePageLayoutView="90" workbookViewId="0"/>
  </sheetViews>
  <sheetFormatPr defaultColWidth="8.77734375" defaultRowHeight="15"/>
  <cols>
    <col min="1" max="1" width="5.77734375" style="670" customWidth="1"/>
    <col min="2" max="2" width="1.44140625" style="670" customWidth="1"/>
    <col min="3" max="3" width="45.5546875" style="670" customWidth="1"/>
    <col min="4" max="4" width="22.33203125" style="670" customWidth="1"/>
    <col min="5" max="5" width="13.21875" style="670" customWidth="1"/>
    <col min="6" max="6" width="18.77734375" style="670" customWidth="1"/>
    <col min="7" max="7" width="16.21875" style="670" customWidth="1"/>
    <col min="8" max="8" width="15.21875" style="670" customWidth="1"/>
    <col min="9" max="16384" width="8.77734375" style="670"/>
  </cols>
  <sheetData>
    <row r="1" spans="1:8" ht="18">
      <c r="A1" s="231"/>
      <c r="C1" s="583"/>
      <c r="D1" s="583"/>
      <c r="F1" s="87"/>
      <c r="G1" s="74" t="s">
        <v>318</v>
      </c>
      <c r="H1" s="87"/>
    </row>
    <row r="2" spans="1:8">
      <c r="C2" s="583"/>
      <c r="D2" s="583"/>
      <c r="G2" s="74" t="s">
        <v>869</v>
      </c>
      <c r="H2" s="74"/>
    </row>
    <row r="3" spans="1:8">
      <c r="C3" s="583"/>
      <c r="D3" s="583"/>
      <c r="F3" s="622"/>
      <c r="H3" s="74"/>
    </row>
    <row r="4" spans="1:8">
      <c r="C4" s="583"/>
      <c r="D4" s="583"/>
      <c r="F4" s="622"/>
      <c r="H4" s="74"/>
    </row>
    <row r="5" spans="1:8">
      <c r="C5" s="583"/>
      <c r="D5" s="583"/>
      <c r="F5" s="622"/>
      <c r="H5" s="74"/>
    </row>
    <row r="6" spans="1:8">
      <c r="C6" s="583"/>
      <c r="D6" s="583"/>
      <c r="F6" s="622"/>
      <c r="G6" s="622"/>
      <c r="H6" s="622"/>
    </row>
    <row r="7" spans="1:8">
      <c r="C7" s="583" t="s">
        <v>7</v>
      </c>
      <c r="D7" s="583"/>
      <c r="F7" s="603"/>
      <c r="G7" s="275" t="str">
        <f>"For the 12 months ended: "&amp;TEXT(INPUT!B1,"mm/dd/yyyy")</f>
        <v>For the 12 months ended: 12/31/2017</v>
      </c>
      <c r="H7" s="622"/>
    </row>
    <row r="8" spans="1:8">
      <c r="A8" s="280" t="s">
        <v>275</v>
      </c>
      <c r="B8" s="260"/>
      <c r="C8" s="260"/>
      <c r="D8" s="258"/>
      <c r="E8" s="259"/>
      <c r="F8" s="257"/>
      <c r="G8" s="257"/>
      <c r="H8" s="622"/>
    </row>
    <row r="9" spans="1:8">
      <c r="A9" s="261" t="s">
        <v>289</v>
      </c>
      <c r="B9" s="260"/>
      <c r="C9" s="258"/>
      <c r="D9" s="261"/>
      <c r="E9" s="258"/>
      <c r="F9" s="257"/>
      <c r="G9" s="257"/>
      <c r="H9" s="622"/>
    </row>
    <row r="10" spans="1:8">
      <c r="A10" s="255"/>
      <c r="B10" s="260"/>
      <c r="C10" s="255"/>
      <c r="D10" s="255"/>
      <c r="E10" s="255"/>
      <c r="F10" s="257"/>
      <c r="G10" s="257"/>
      <c r="H10" s="622"/>
    </row>
    <row r="11" spans="1:8" ht="15.75">
      <c r="A11" s="409" t="s">
        <v>808</v>
      </c>
      <c r="B11" s="410"/>
      <c r="C11" s="411"/>
      <c r="D11" s="411"/>
      <c r="E11" s="411"/>
      <c r="F11" s="411"/>
      <c r="G11" s="411"/>
      <c r="H11" s="622"/>
    </row>
    <row r="12" spans="1:8" ht="15.75">
      <c r="A12" s="1052"/>
      <c r="B12" s="260"/>
      <c r="C12" s="255"/>
      <c r="D12" s="255"/>
      <c r="E12" s="255"/>
      <c r="F12" s="255"/>
      <c r="G12" s="255"/>
      <c r="H12" s="622"/>
    </row>
    <row r="13" spans="1:8">
      <c r="A13" s="596"/>
      <c r="C13" s="4" t="s">
        <v>19</v>
      </c>
      <c r="D13" s="4" t="s">
        <v>20</v>
      </c>
      <c r="E13" s="4" t="s">
        <v>21</v>
      </c>
      <c r="F13" s="1053" t="s">
        <v>22</v>
      </c>
      <c r="G13" s="1053" t="s">
        <v>23</v>
      </c>
      <c r="H13" s="622"/>
    </row>
    <row r="14" spans="1:8">
      <c r="A14" s="596" t="s">
        <v>9</v>
      </c>
      <c r="C14" s="622"/>
      <c r="D14" s="622"/>
      <c r="F14" s="622"/>
      <c r="G14" s="596" t="s">
        <v>10</v>
      </c>
      <c r="H14" s="622"/>
    </row>
    <row r="15" spans="1:8">
      <c r="A15" s="270" t="s">
        <v>11</v>
      </c>
      <c r="B15" s="276"/>
      <c r="C15" s="277"/>
      <c r="D15" s="277"/>
      <c r="F15" s="622"/>
      <c r="G15" s="270" t="s">
        <v>12</v>
      </c>
      <c r="H15" s="622"/>
    </row>
    <row r="16" spans="1:8">
      <c r="A16" s="778">
        <v>1</v>
      </c>
      <c r="C16" s="622" t="s">
        <v>850</v>
      </c>
      <c r="D16" s="1036" t="s">
        <v>851</v>
      </c>
      <c r="F16" s="622"/>
      <c r="G16" s="34">
        <f>DEO!J170+DEK!J170</f>
        <v>123081929</v>
      </c>
      <c r="H16" s="913"/>
    </row>
    <row r="17" spans="1:8">
      <c r="A17" s="778"/>
      <c r="C17" s="622"/>
      <c r="D17" s="1037"/>
      <c r="F17" s="622"/>
      <c r="G17" s="2"/>
      <c r="H17" s="913"/>
    </row>
    <row r="18" spans="1:8">
      <c r="A18" s="778"/>
      <c r="C18" s="622"/>
      <c r="D18" s="1037"/>
      <c r="F18" s="622"/>
      <c r="G18" s="2"/>
      <c r="H18" s="913"/>
    </row>
    <row r="19" spans="1:8">
      <c r="A19" s="778" t="s">
        <v>8</v>
      </c>
      <c r="C19" s="591" t="s">
        <v>93</v>
      </c>
      <c r="D19" s="1038"/>
      <c r="F19" s="622"/>
      <c r="G19" s="2"/>
      <c r="H19" s="913"/>
    </row>
    <row r="20" spans="1:8">
      <c r="A20" s="778">
        <v>2</v>
      </c>
      <c r="C20" s="585" t="s">
        <v>369</v>
      </c>
      <c r="D20" s="1036" t="s">
        <v>851</v>
      </c>
      <c r="F20" s="622"/>
      <c r="G20" s="671">
        <f>DEO!J19+DEK!J19</f>
        <v>225212</v>
      </c>
      <c r="H20" s="913"/>
    </row>
    <row r="21" spans="1:8" ht="17.45" customHeight="1">
      <c r="A21" s="778">
        <v>3</v>
      </c>
      <c r="C21" s="585" t="s">
        <v>394</v>
      </c>
      <c r="D21" s="1036" t="s">
        <v>851</v>
      </c>
      <c r="F21" s="622"/>
      <c r="G21" s="351">
        <f>DEO!J20+DEK!J20</f>
        <v>577641</v>
      </c>
      <c r="H21" s="913"/>
    </row>
    <row r="22" spans="1:8">
      <c r="A22" s="778" t="s">
        <v>311</v>
      </c>
      <c r="C22" s="36" t="s">
        <v>370</v>
      </c>
      <c r="D22" s="1039"/>
      <c r="F22" s="622"/>
      <c r="G22" s="914">
        <f>DEO!J21+DEK!J21</f>
        <v>0</v>
      </c>
      <c r="H22" s="913"/>
    </row>
    <row r="23" spans="1:8">
      <c r="A23" s="778" t="s">
        <v>312</v>
      </c>
      <c r="C23" s="36" t="s">
        <v>434</v>
      </c>
      <c r="D23" s="1039"/>
      <c r="F23" s="622"/>
      <c r="G23" s="914">
        <f>DEO!J22+DEK!J22</f>
        <v>0</v>
      </c>
      <c r="H23" s="913"/>
    </row>
    <row r="24" spans="1:8" ht="15.6" customHeight="1">
      <c r="A24" s="778">
        <v>5</v>
      </c>
      <c r="C24" s="36" t="s">
        <v>783</v>
      </c>
      <c r="D24" s="1036" t="s">
        <v>851</v>
      </c>
      <c r="F24" s="622"/>
      <c r="G24" s="915">
        <f>DEO!J23+DEK!J23</f>
        <v>1756859</v>
      </c>
      <c r="H24" s="913"/>
    </row>
    <row r="25" spans="1:8">
      <c r="A25" s="778"/>
      <c r="C25" s="850" t="s">
        <v>879</v>
      </c>
      <c r="D25" s="1040"/>
      <c r="F25" s="622"/>
      <c r="G25" s="851">
        <f>'P17 Prior Yr Corr'!D21</f>
        <v>50548</v>
      </c>
      <c r="H25" s="913"/>
    </row>
    <row r="26" spans="1:8">
      <c r="A26" s="778">
        <v>6</v>
      </c>
      <c r="C26" s="585" t="s">
        <v>678</v>
      </c>
      <c r="D26" s="1037"/>
      <c r="F26" s="622"/>
      <c r="G26" s="671">
        <f>SUM(G20:G25)</f>
        <v>2610260</v>
      </c>
      <c r="H26" s="913"/>
    </row>
    <row r="27" spans="1:8">
      <c r="A27" s="778"/>
      <c r="D27" s="1037"/>
      <c r="F27" s="622"/>
      <c r="H27" s="622"/>
    </row>
    <row r="28" spans="1:8">
      <c r="A28" s="778"/>
      <c r="C28" s="585"/>
      <c r="D28" s="1037"/>
      <c r="F28" s="622"/>
      <c r="G28" s="602"/>
      <c r="H28" s="622"/>
    </row>
    <row r="29" spans="1:8" ht="15.75" thickBot="1">
      <c r="A29" s="778">
        <v>7</v>
      </c>
      <c r="C29" s="585" t="s">
        <v>16</v>
      </c>
      <c r="D29" s="1041" t="s">
        <v>137</v>
      </c>
      <c r="F29" s="622"/>
      <c r="G29" s="47">
        <f>G16-G26</f>
        <v>120471669</v>
      </c>
      <c r="H29" s="622"/>
    </row>
    <row r="30" spans="1:8" ht="15.75" thickTop="1">
      <c r="A30" s="778"/>
      <c r="D30" s="954"/>
      <c r="F30" s="622"/>
      <c r="H30" s="622"/>
    </row>
    <row r="31" spans="1:8">
      <c r="A31" s="778"/>
      <c r="D31" s="760"/>
      <c r="F31" s="622"/>
      <c r="G31" s="602"/>
      <c r="H31" s="622"/>
    </row>
    <row r="32" spans="1:8">
      <c r="A32" s="778"/>
      <c r="C32" s="585" t="s">
        <v>325</v>
      </c>
      <c r="D32" s="954"/>
      <c r="F32" s="622"/>
      <c r="G32" s="2"/>
      <c r="H32" s="622"/>
    </row>
    <row r="33" spans="1:8">
      <c r="A33" s="778">
        <v>8</v>
      </c>
      <c r="C33" s="390" t="s">
        <v>870</v>
      </c>
      <c r="D33" s="1036" t="s">
        <v>851</v>
      </c>
      <c r="F33" s="622"/>
      <c r="G33" s="216">
        <f>MAX(PeakKW_DEOK)</f>
        <v>5036000</v>
      </c>
      <c r="H33" s="622"/>
    </row>
    <row r="34" spans="1:8">
      <c r="A34" s="778">
        <v>9</v>
      </c>
      <c r="C34" s="590" t="s">
        <v>871</v>
      </c>
      <c r="D34" s="1036" t="s">
        <v>851</v>
      </c>
      <c r="F34" s="622"/>
      <c r="G34" s="216">
        <f>DEO!J35+DEK!J35</f>
        <v>4253250</v>
      </c>
      <c r="H34" s="622"/>
    </row>
    <row r="35" spans="1:8">
      <c r="A35" s="778"/>
      <c r="C35" s="585"/>
      <c r="D35" s="954"/>
      <c r="E35" s="217"/>
      <c r="F35" s="622"/>
      <c r="G35" s="622"/>
      <c r="H35" s="622"/>
    </row>
    <row r="36" spans="1:8">
      <c r="A36" s="778">
        <v>10</v>
      </c>
      <c r="C36" s="585" t="s">
        <v>314</v>
      </c>
      <c r="D36" s="954"/>
      <c r="E36" s="34"/>
      <c r="F36" s="622"/>
      <c r="G36" s="622"/>
      <c r="H36" s="622"/>
    </row>
    <row r="37" spans="1:8">
      <c r="A37" s="778">
        <v>11</v>
      </c>
      <c r="C37" s="585" t="s">
        <v>314</v>
      </c>
      <c r="D37" s="954"/>
      <c r="E37" s="34"/>
      <c r="F37" s="622"/>
      <c r="G37" s="622"/>
      <c r="H37" s="622"/>
    </row>
    <row r="38" spans="1:8">
      <c r="A38" s="778">
        <v>12</v>
      </c>
      <c r="C38" s="585" t="s">
        <v>314</v>
      </c>
      <c r="D38" s="954"/>
      <c r="E38" s="34"/>
      <c r="F38" s="622"/>
      <c r="G38" s="622"/>
      <c r="H38" s="622"/>
    </row>
    <row r="39" spans="1:8">
      <c r="A39" s="778">
        <v>13</v>
      </c>
      <c r="C39" s="585" t="s">
        <v>314</v>
      </c>
      <c r="D39" s="954"/>
      <c r="E39" s="34"/>
      <c r="F39" s="622"/>
      <c r="G39" s="622"/>
      <c r="H39" s="622"/>
    </row>
    <row r="40" spans="1:8">
      <c r="A40" s="778">
        <v>14</v>
      </c>
      <c r="C40" s="585" t="s">
        <v>314</v>
      </c>
      <c r="D40" s="954"/>
      <c r="E40" s="34"/>
      <c r="F40" s="622"/>
      <c r="G40" s="622"/>
      <c r="H40" s="622"/>
    </row>
    <row r="41" spans="1:8">
      <c r="A41" s="778"/>
      <c r="C41" s="585"/>
      <c r="D41" s="954"/>
      <c r="E41" s="34"/>
      <c r="F41" s="622"/>
      <c r="G41" s="622"/>
      <c r="H41" s="622"/>
    </row>
    <row r="42" spans="1:8">
      <c r="A42" s="779">
        <v>15</v>
      </c>
      <c r="C42" s="585" t="s">
        <v>292</v>
      </c>
      <c r="D42" s="953" t="s">
        <v>326</v>
      </c>
      <c r="E42" s="24">
        <f>IF(G33&gt;0,G29/G33,0)</f>
        <v>23.922094718030184</v>
      </c>
      <c r="F42" s="622"/>
      <c r="G42" s="622"/>
      <c r="H42" s="622"/>
    </row>
    <row r="43" spans="1:8">
      <c r="A43" s="779"/>
      <c r="C43" s="585"/>
      <c r="D43" s="954"/>
      <c r="E43" s="24"/>
      <c r="F43" s="622"/>
      <c r="G43" s="622"/>
      <c r="H43" s="622"/>
    </row>
    <row r="44" spans="1:8">
      <c r="A44" s="779">
        <v>16</v>
      </c>
      <c r="C44" s="585" t="s">
        <v>401</v>
      </c>
      <c r="D44" s="953" t="s">
        <v>402</v>
      </c>
      <c r="E44" s="24">
        <f>IF(G34&gt;0,G29/G34,0)</f>
        <v>28.324615059072475</v>
      </c>
      <c r="F44" s="622"/>
      <c r="G44" s="622"/>
      <c r="H44" s="622"/>
    </row>
    <row r="45" spans="1:8">
      <c r="A45" s="779"/>
      <c r="C45" s="585"/>
      <c r="D45" s="954"/>
      <c r="E45" s="24"/>
      <c r="F45" s="622"/>
      <c r="G45" s="622"/>
      <c r="H45" s="622"/>
    </row>
    <row r="46" spans="1:8">
      <c r="A46" s="779">
        <v>17</v>
      </c>
      <c r="C46" s="585" t="s">
        <v>403</v>
      </c>
      <c r="D46" s="953" t="s">
        <v>404</v>
      </c>
      <c r="E46" s="24">
        <f>ROUND(E42/12,9)</f>
        <v>1.9935078930000001</v>
      </c>
      <c r="F46" s="622"/>
      <c r="G46" s="622"/>
      <c r="H46" s="622"/>
    </row>
    <row r="47" spans="1:8">
      <c r="A47" s="779"/>
      <c r="C47" s="585"/>
      <c r="D47" s="954"/>
      <c r="E47" s="24"/>
      <c r="F47" s="622"/>
      <c r="G47" s="622"/>
      <c r="H47" s="622"/>
    </row>
    <row r="48" spans="1:8">
      <c r="A48" s="779" t="s">
        <v>400</v>
      </c>
      <c r="C48" s="585" t="s">
        <v>405</v>
      </c>
      <c r="D48" s="953" t="s">
        <v>406</v>
      </c>
      <c r="E48" s="24">
        <f>ROUND($E$44/12,9)</f>
        <v>2.3603845880000001</v>
      </c>
      <c r="F48" s="622"/>
      <c r="G48" s="622"/>
      <c r="H48" s="622"/>
    </row>
    <row r="49" spans="1:8">
      <c r="A49" s="779"/>
      <c r="C49" s="585"/>
      <c r="D49" s="954"/>
      <c r="E49" s="671"/>
      <c r="F49" s="622"/>
      <c r="G49" s="622"/>
      <c r="H49" s="622"/>
    </row>
    <row r="50" spans="1:8">
      <c r="A50" s="779"/>
      <c r="C50" s="585"/>
      <c r="D50" s="954"/>
      <c r="E50" s="400" t="s">
        <v>413</v>
      </c>
      <c r="F50" s="622"/>
      <c r="G50" s="400" t="s">
        <v>414</v>
      </c>
      <c r="H50" s="622"/>
    </row>
    <row r="51" spans="1:8">
      <c r="A51" s="779"/>
      <c r="C51" s="585"/>
      <c r="D51" s="954"/>
      <c r="E51" s="400"/>
      <c r="F51" s="622"/>
      <c r="G51" s="622"/>
      <c r="H51" s="622"/>
    </row>
    <row r="52" spans="1:8">
      <c r="A52" s="779">
        <v>18</v>
      </c>
      <c r="C52" s="585" t="s">
        <v>407</v>
      </c>
      <c r="D52" s="953" t="s">
        <v>410</v>
      </c>
      <c r="E52" s="24">
        <f>ROUND($E$44/52,9)</f>
        <v>0.54470413600000001</v>
      </c>
      <c r="F52" s="622"/>
      <c r="G52" s="622"/>
      <c r="H52" s="622"/>
    </row>
    <row r="53" spans="1:8">
      <c r="A53" s="779"/>
      <c r="C53" s="585"/>
      <c r="D53" s="954"/>
      <c r="E53" s="671"/>
      <c r="F53" s="622"/>
      <c r="G53" s="622"/>
      <c r="H53" s="622"/>
    </row>
    <row r="54" spans="1:8">
      <c r="A54" s="779">
        <v>19</v>
      </c>
      <c r="C54" s="585" t="s">
        <v>408</v>
      </c>
      <c r="D54" s="953" t="s">
        <v>411</v>
      </c>
      <c r="E54" s="24">
        <f>ROUND($E$44/260,9)</f>
        <v>0.108940827</v>
      </c>
      <c r="F54" s="622" t="s">
        <v>415</v>
      </c>
      <c r="G54" s="24">
        <f>ROUND($E$44/365,9)</f>
        <v>7.7601685000000004E-2</v>
      </c>
      <c r="H54" s="622"/>
    </row>
    <row r="55" spans="1:8">
      <c r="A55" s="779"/>
      <c r="C55" s="585"/>
      <c r="D55" s="954"/>
      <c r="E55" s="24"/>
      <c r="F55" s="622"/>
      <c r="G55" s="622"/>
      <c r="H55" s="622"/>
    </row>
    <row r="56" spans="1:8" ht="30">
      <c r="A56" s="948">
        <v>20</v>
      </c>
      <c r="B56" s="949"/>
      <c r="C56" s="950" t="s">
        <v>409</v>
      </c>
      <c r="D56" s="957" t="s">
        <v>412</v>
      </c>
      <c r="E56" s="951">
        <f>IF(ISERR(ROUND(($G$29/$G$34)/4160,4)=TRUE),0,ROUND(($G$29/$G$34)/4160,4))</f>
        <v>6.7999999999999996E-3</v>
      </c>
      <c r="F56" s="952" t="s">
        <v>416</v>
      </c>
      <c r="G56" s="951">
        <f>IF(ISERR(ROUND(($G$29/$G$34)/8760*1000,4)=TRUE),0,ROUND(($G$29/$G$34)/8760*1000,4))</f>
        <v>3.2334000000000001</v>
      </c>
      <c r="H56" s="622"/>
    </row>
    <row r="57" spans="1:8">
      <c r="A57" s="780"/>
      <c r="C57" s="585"/>
      <c r="D57" s="622"/>
      <c r="F57" s="596"/>
      <c r="G57" s="88"/>
      <c r="H57" s="622"/>
    </row>
    <row r="58" spans="1:8">
      <c r="A58" s="780"/>
      <c r="C58" s="585"/>
      <c r="D58" s="622"/>
      <c r="F58" s="596"/>
      <c r="G58" s="88"/>
      <c r="H58" s="622"/>
    </row>
    <row r="59" spans="1:8">
      <c r="A59" s="780"/>
      <c r="C59" s="585"/>
      <c r="D59" s="622"/>
      <c r="F59" s="596"/>
      <c r="G59" s="88"/>
      <c r="H59" s="622"/>
    </row>
    <row r="60" spans="1:8">
      <c r="A60" s="780"/>
      <c r="C60" s="585"/>
      <c r="D60" s="622"/>
      <c r="F60" s="596"/>
      <c r="G60" s="88"/>
      <c r="H60" s="622"/>
    </row>
    <row r="61" spans="1:8">
      <c r="C61" s="76"/>
      <c r="D61" s="76"/>
      <c r="E61" s="76"/>
      <c r="F61" s="76"/>
      <c r="G61" s="76"/>
      <c r="H61" s="76"/>
    </row>
    <row r="62" spans="1:8">
      <c r="C62" s="76"/>
      <c r="D62" s="76"/>
      <c r="E62" s="76"/>
      <c r="F62" s="76"/>
      <c r="G62" s="76"/>
      <c r="H62" s="76"/>
    </row>
    <row r="63" spans="1:8">
      <c r="C63" s="76"/>
      <c r="D63" s="76"/>
      <c r="E63" s="76"/>
      <c r="F63" s="76"/>
      <c r="G63" s="76"/>
      <c r="H63" s="76"/>
    </row>
    <row r="64" spans="1:8">
      <c r="C64" s="76"/>
      <c r="D64" s="76"/>
      <c r="E64" s="76"/>
      <c r="F64" s="76"/>
      <c r="G64" s="76"/>
      <c r="H64" s="76"/>
    </row>
    <row r="65" spans="3:8">
      <c r="C65" s="76"/>
      <c r="D65" s="76"/>
      <c r="E65" s="76"/>
      <c r="F65" s="76"/>
      <c r="G65" s="76"/>
      <c r="H65" s="76"/>
    </row>
    <row r="66" spans="3:8">
      <c r="C66" s="76"/>
      <c r="D66" s="76"/>
      <c r="E66" s="76"/>
      <c r="F66" s="76"/>
      <c r="G66" s="76"/>
      <c r="H66" s="76"/>
    </row>
    <row r="67" spans="3:8">
      <c r="C67" s="76"/>
      <c r="D67" s="76"/>
      <c r="E67" s="76"/>
      <c r="F67" s="76"/>
      <c r="G67" s="76"/>
      <c r="H67" s="76"/>
    </row>
    <row r="68" spans="3:8">
      <c r="C68" s="76"/>
      <c r="D68" s="76"/>
      <c r="E68" s="76"/>
      <c r="F68" s="76"/>
      <c r="G68" s="76"/>
      <c r="H68" s="76"/>
    </row>
    <row r="69" spans="3:8">
      <c r="C69" s="76"/>
      <c r="D69" s="76"/>
      <c r="E69" s="76"/>
      <c r="F69" s="76"/>
      <c r="G69" s="76"/>
      <c r="H69" s="76"/>
    </row>
    <row r="70" spans="3:8">
      <c r="C70" s="76"/>
      <c r="D70" s="76"/>
      <c r="E70" s="76"/>
      <c r="F70" s="76"/>
      <c r="G70" s="76"/>
      <c r="H70" s="76"/>
    </row>
    <row r="71" spans="3:8">
      <c r="C71" s="76"/>
      <c r="D71" s="76"/>
      <c r="E71" s="76"/>
      <c r="F71" s="76"/>
      <c r="G71" s="76"/>
      <c r="H71" s="76"/>
    </row>
    <row r="72" spans="3:8">
      <c r="C72" s="76"/>
      <c r="D72" s="76"/>
      <c r="E72" s="76"/>
      <c r="F72" s="76"/>
      <c r="G72" s="76"/>
      <c r="H72" s="76"/>
    </row>
    <row r="73" spans="3:8">
      <c r="C73" s="76"/>
      <c r="D73" s="76"/>
      <c r="E73" s="76"/>
      <c r="F73" s="76"/>
      <c r="G73" s="76"/>
      <c r="H73" s="76"/>
    </row>
    <row r="74" spans="3:8">
      <c r="C74" s="76"/>
      <c r="D74" s="76"/>
      <c r="E74" s="76"/>
      <c r="F74" s="76"/>
      <c r="G74" s="76"/>
      <c r="H74" s="76"/>
    </row>
    <row r="75" spans="3:8">
      <c r="C75" s="76"/>
      <c r="D75" s="76"/>
      <c r="E75" s="76"/>
      <c r="F75" s="76"/>
      <c r="G75" s="76"/>
      <c r="H75" s="76"/>
    </row>
    <row r="76" spans="3:8">
      <c r="C76" s="76"/>
      <c r="D76" s="76"/>
      <c r="E76" s="76"/>
      <c r="F76" s="76"/>
      <c r="G76" s="76"/>
      <c r="H76" s="76"/>
    </row>
    <row r="77" spans="3:8">
      <c r="C77" s="76"/>
      <c r="D77" s="76"/>
      <c r="E77" s="76"/>
      <c r="F77" s="76"/>
      <c r="G77" s="76"/>
      <c r="H77" s="76"/>
    </row>
    <row r="78" spans="3:8">
      <c r="C78" s="76"/>
      <c r="D78" s="76"/>
      <c r="E78" s="76"/>
      <c r="F78" s="76"/>
      <c r="G78" s="76"/>
      <c r="H78" s="76"/>
    </row>
    <row r="79" spans="3:8">
      <c r="C79" s="76"/>
      <c r="D79" s="76"/>
      <c r="E79" s="76"/>
      <c r="F79" s="76"/>
      <c r="G79" s="76"/>
      <c r="H79" s="76"/>
    </row>
    <row r="80" spans="3:8">
      <c r="C80" s="76"/>
      <c r="D80" s="76"/>
      <c r="E80" s="76"/>
      <c r="F80" s="76"/>
      <c r="G80" s="76"/>
      <c r="H80" s="76"/>
    </row>
    <row r="81" spans="3:8">
      <c r="C81" s="76"/>
      <c r="D81" s="76"/>
      <c r="E81" s="76"/>
      <c r="F81" s="76"/>
      <c r="G81" s="76"/>
      <c r="H81" s="76"/>
    </row>
    <row r="82" spans="3:8">
      <c r="C82" s="76"/>
      <c r="D82" s="76"/>
      <c r="E82" s="76"/>
      <c r="F82" s="76"/>
      <c r="G82" s="76"/>
      <c r="H82" s="76"/>
    </row>
    <row r="83" spans="3:8">
      <c r="C83" s="76"/>
      <c r="D83" s="76"/>
      <c r="E83" s="76"/>
      <c r="F83" s="76"/>
      <c r="G83" s="76"/>
      <c r="H83" s="76"/>
    </row>
    <row r="84" spans="3:8">
      <c r="C84" s="76"/>
      <c r="D84" s="76"/>
      <c r="E84" s="76"/>
      <c r="F84" s="76"/>
      <c r="G84" s="76"/>
      <c r="H84" s="76"/>
    </row>
    <row r="85" spans="3:8">
      <c r="C85" s="76"/>
      <c r="D85" s="76"/>
      <c r="E85" s="76"/>
      <c r="F85" s="76"/>
      <c r="G85" s="76"/>
      <c r="H85" s="76"/>
    </row>
    <row r="86" spans="3:8">
      <c r="C86" s="76"/>
      <c r="D86" s="76"/>
      <c r="E86" s="76"/>
      <c r="F86" s="76"/>
      <c r="G86" s="76"/>
      <c r="H86" s="76"/>
    </row>
    <row r="87" spans="3:8">
      <c r="C87" s="76"/>
      <c r="D87" s="76"/>
      <c r="E87" s="76"/>
      <c r="F87" s="76"/>
      <c r="G87" s="76"/>
      <c r="H87" s="76"/>
    </row>
    <row r="88" spans="3:8">
      <c r="C88" s="76"/>
      <c r="D88" s="76"/>
      <c r="E88" s="76"/>
      <c r="F88" s="76"/>
      <c r="G88" s="76"/>
      <c r="H88" s="76"/>
    </row>
    <row r="89" spans="3:8">
      <c r="C89" s="76"/>
      <c r="D89" s="76"/>
      <c r="E89" s="76"/>
      <c r="F89" s="76"/>
      <c r="G89" s="76"/>
      <c r="H89" s="76"/>
    </row>
    <row r="90" spans="3:8">
      <c r="C90" s="76"/>
      <c r="D90" s="76"/>
      <c r="E90" s="76"/>
      <c r="F90" s="76"/>
      <c r="G90" s="76"/>
      <c r="H90" s="76"/>
    </row>
    <row r="91" spans="3:8">
      <c r="C91" s="76"/>
      <c r="D91" s="76"/>
      <c r="E91" s="76"/>
      <c r="F91" s="76"/>
      <c r="G91" s="76"/>
      <c r="H91" s="76"/>
    </row>
    <row r="92" spans="3:8">
      <c r="C92" s="76"/>
      <c r="D92" s="76"/>
      <c r="E92" s="76"/>
      <c r="F92" s="76"/>
      <c r="G92" s="76"/>
      <c r="H92" s="76"/>
    </row>
    <row r="93" spans="3:8">
      <c r="C93" s="76"/>
      <c r="D93" s="76"/>
      <c r="E93" s="76"/>
      <c r="F93" s="76"/>
      <c r="G93" s="76"/>
      <c r="H93" s="76"/>
    </row>
    <row r="94" spans="3:8">
      <c r="C94" s="76"/>
      <c r="D94" s="76"/>
      <c r="E94" s="76"/>
      <c r="F94" s="76"/>
      <c r="G94" s="76"/>
      <c r="H94" s="76"/>
    </row>
    <row r="95" spans="3:8">
      <c r="C95" s="76"/>
      <c r="D95" s="76"/>
      <c r="E95" s="76"/>
      <c r="F95" s="76"/>
      <c r="G95" s="76"/>
      <c r="H95" s="76"/>
    </row>
    <row r="96" spans="3:8">
      <c r="C96" s="76"/>
      <c r="D96" s="76"/>
      <c r="E96" s="76"/>
      <c r="F96" s="76"/>
      <c r="G96" s="76"/>
      <c r="H96" s="76"/>
    </row>
    <row r="97" spans="3:8">
      <c r="C97" s="76"/>
      <c r="D97" s="76"/>
      <c r="E97" s="76"/>
      <c r="F97" s="76"/>
      <c r="G97" s="76"/>
      <c r="H97" s="76"/>
    </row>
    <row r="98" spans="3:8">
      <c r="C98" s="76"/>
      <c r="D98" s="76"/>
      <c r="E98" s="76"/>
      <c r="F98" s="76"/>
      <c r="G98" s="76"/>
      <c r="H98" s="76"/>
    </row>
    <row r="99" spans="3:8">
      <c r="C99" s="76"/>
      <c r="D99" s="76"/>
      <c r="E99" s="76"/>
      <c r="F99" s="76"/>
      <c r="G99" s="76"/>
      <c r="H99" s="76"/>
    </row>
    <row r="100" spans="3:8">
      <c r="C100" s="76"/>
      <c r="D100" s="76"/>
      <c r="E100" s="76"/>
      <c r="F100" s="76"/>
      <c r="G100" s="76"/>
      <c r="H100" s="76"/>
    </row>
    <row r="101" spans="3:8">
      <c r="C101" s="76"/>
      <c r="D101" s="76"/>
      <c r="E101" s="76"/>
      <c r="F101" s="76"/>
      <c r="G101" s="76"/>
      <c r="H101" s="76"/>
    </row>
    <row r="102" spans="3:8">
      <c r="C102" s="76"/>
      <c r="D102" s="76"/>
      <c r="E102" s="76"/>
      <c r="F102" s="76"/>
      <c r="G102" s="76"/>
      <c r="H102" s="76"/>
    </row>
    <row r="103" spans="3:8">
      <c r="C103" s="76"/>
      <c r="D103" s="76"/>
      <c r="E103" s="76"/>
      <c r="F103" s="76"/>
      <c r="G103" s="76"/>
      <c r="H103" s="76"/>
    </row>
    <row r="104" spans="3:8">
      <c r="C104" s="76"/>
      <c r="D104" s="76"/>
      <c r="E104" s="76"/>
      <c r="F104" s="76"/>
      <c r="G104" s="76"/>
      <c r="H104" s="76"/>
    </row>
    <row r="105" spans="3:8">
      <c r="C105" s="76"/>
      <c r="D105" s="76"/>
      <c r="E105" s="76"/>
      <c r="F105" s="76"/>
      <c r="G105" s="76"/>
      <c r="H105" s="76"/>
    </row>
    <row r="106" spans="3:8">
      <c r="C106" s="76"/>
      <c r="D106" s="76"/>
      <c r="E106" s="76"/>
      <c r="F106" s="76"/>
      <c r="G106" s="76"/>
      <c r="H106" s="76"/>
    </row>
    <row r="107" spans="3:8">
      <c r="C107" s="76"/>
      <c r="D107" s="76"/>
      <c r="E107" s="76"/>
      <c r="F107" s="76"/>
      <c r="G107" s="76"/>
      <c r="H107" s="76"/>
    </row>
    <row r="108" spans="3:8">
      <c r="C108" s="76"/>
      <c r="D108" s="76"/>
      <c r="E108" s="76"/>
      <c r="F108" s="76"/>
      <c r="G108" s="76"/>
      <c r="H108" s="76"/>
    </row>
    <row r="109" spans="3:8">
      <c r="C109" s="76"/>
      <c r="D109" s="76"/>
      <c r="E109" s="76"/>
      <c r="F109" s="76"/>
      <c r="G109" s="76"/>
      <c r="H109" s="76"/>
    </row>
    <row r="110" spans="3:8">
      <c r="C110" s="76"/>
      <c r="D110" s="76"/>
      <c r="E110" s="76"/>
      <c r="F110" s="76"/>
      <c r="G110" s="76"/>
      <c r="H110" s="76"/>
    </row>
    <row r="111" spans="3:8">
      <c r="C111" s="76"/>
      <c r="D111" s="76"/>
      <c r="E111" s="76"/>
      <c r="F111" s="76"/>
      <c r="G111" s="76"/>
      <c r="H111" s="76"/>
    </row>
    <row r="112" spans="3:8">
      <c r="C112" s="76"/>
      <c r="D112" s="76"/>
      <c r="E112" s="76"/>
      <c r="F112" s="76"/>
      <c r="G112" s="76"/>
      <c r="H112" s="76"/>
    </row>
    <row r="113" spans="3:8">
      <c r="C113" s="76"/>
      <c r="D113" s="76"/>
      <c r="E113" s="76"/>
      <c r="F113" s="76"/>
      <c r="G113" s="76"/>
      <c r="H113" s="76"/>
    </row>
    <row r="114" spans="3:8">
      <c r="C114" s="76"/>
      <c r="D114" s="76"/>
      <c r="E114" s="76"/>
      <c r="F114" s="76"/>
      <c r="G114" s="76"/>
      <c r="H114" s="76"/>
    </row>
    <row r="115" spans="3:8">
      <c r="C115" s="76"/>
      <c r="D115" s="76"/>
      <c r="E115" s="76"/>
      <c r="F115" s="76"/>
      <c r="G115" s="76"/>
      <c r="H115" s="76"/>
    </row>
    <row r="116" spans="3:8">
      <c r="C116" s="76"/>
      <c r="D116" s="76"/>
      <c r="E116" s="76"/>
      <c r="F116" s="76"/>
      <c r="G116" s="76"/>
      <c r="H116" s="76"/>
    </row>
    <row r="117" spans="3:8">
      <c r="C117" s="76"/>
      <c r="D117" s="76"/>
      <c r="E117" s="76"/>
      <c r="F117" s="76"/>
      <c r="G117" s="76"/>
      <c r="H117" s="76"/>
    </row>
    <row r="118" spans="3:8">
      <c r="C118" s="76"/>
      <c r="D118" s="76"/>
      <c r="E118" s="76"/>
      <c r="F118" s="76"/>
      <c r="G118" s="76"/>
      <c r="H118" s="76"/>
    </row>
    <row r="119" spans="3:8">
      <c r="C119" s="76"/>
      <c r="D119" s="76"/>
      <c r="E119" s="76"/>
      <c r="F119" s="76"/>
      <c r="G119" s="76"/>
      <c r="H119" s="76"/>
    </row>
    <row r="120" spans="3:8">
      <c r="C120" s="76"/>
      <c r="D120" s="76"/>
      <c r="E120" s="76"/>
      <c r="F120" s="76"/>
      <c r="G120" s="76"/>
      <c r="H120" s="76"/>
    </row>
    <row r="121" spans="3:8">
      <c r="C121" s="76"/>
      <c r="D121" s="76"/>
      <c r="E121" s="76"/>
      <c r="F121" s="76"/>
      <c r="G121" s="76"/>
      <c r="H121" s="76"/>
    </row>
    <row r="122" spans="3:8">
      <c r="C122" s="76"/>
      <c r="D122" s="76"/>
      <c r="E122" s="76"/>
      <c r="F122" s="76"/>
      <c r="G122" s="76"/>
      <c r="H122" s="76"/>
    </row>
    <row r="123" spans="3:8">
      <c r="C123" s="76"/>
      <c r="D123" s="76"/>
      <c r="E123" s="76"/>
      <c r="F123" s="76"/>
      <c r="G123" s="76"/>
      <c r="H123" s="76"/>
    </row>
    <row r="124" spans="3:8">
      <c r="C124" s="76"/>
      <c r="D124" s="76"/>
      <c r="E124" s="76"/>
      <c r="F124" s="76"/>
      <c r="G124" s="76"/>
      <c r="H124" s="76"/>
    </row>
    <row r="125" spans="3:8">
      <c r="C125" s="76"/>
      <c r="D125" s="76"/>
      <c r="E125" s="76"/>
      <c r="F125" s="76"/>
      <c r="G125" s="76"/>
      <c r="H125" s="76"/>
    </row>
    <row r="126" spans="3:8">
      <c r="C126" s="76"/>
      <c r="D126" s="76"/>
      <c r="E126" s="76"/>
      <c r="F126" s="76"/>
      <c r="G126" s="76"/>
      <c r="H126" s="76"/>
    </row>
    <row r="127" spans="3:8">
      <c r="C127" s="76"/>
      <c r="D127" s="76"/>
      <c r="E127" s="76"/>
      <c r="F127" s="76"/>
      <c r="G127" s="76"/>
      <c r="H127" s="76"/>
    </row>
    <row r="128" spans="3:8">
      <c r="C128" s="76"/>
      <c r="D128" s="76"/>
      <c r="E128" s="76"/>
      <c r="F128" s="76"/>
      <c r="G128" s="76"/>
      <c r="H128" s="76"/>
    </row>
    <row r="129" spans="3:8">
      <c r="C129" s="76"/>
      <c r="D129" s="76"/>
      <c r="E129" s="76"/>
      <c r="F129" s="76"/>
      <c r="G129" s="76"/>
      <c r="H129" s="76"/>
    </row>
    <row r="130" spans="3:8">
      <c r="C130" s="76"/>
      <c r="D130" s="76"/>
      <c r="E130" s="76"/>
      <c r="F130" s="76"/>
      <c r="G130" s="76"/>
      <c r="H130" s="76"/>
    </row>
    <row r="131" spans="3:8">
      <c r="C131" s="76"/>
      <c r="D131" s="76"/>
      <c r="E131" s="76"/>
      <c r="F131" s="76"/>
      <c r="G131" s="76"/>
      <c r="H131" s="76"/>
    </row>
    <row r="132" spans="3:8">
      <c r="C132" s="76"/>
      <c r="D132" s="76"/>
      <c r="E132" s="76"/>
      <c r="F132" s="76"/>
      <c r="G132" s="76"/>
      <c r="H132" s="76"/>
    </row>
    <row r="133" spans="3:8">
      <c r="C133" s="76"/>
      <c r="D133" s="76"/>
      <c r="E133" s="76"/>
      <c r="F133" s="76"/>
      <c r="G133" s="76"/>
      <c r="H133" s="76"/>
    </row>
    <row r="134" spans="3:8">
      <c r="C134" s="76"/>
      <c r="D134" s="76"/>
      <c r="E134" s="76"/>
      <c r="F134" s="76"/>
      <c r="G134" s="76"/>
      <c r="H134" s="76"/>
    </row>
    <row r="135" spans="3:8">
      <c r="C135" s="76"/>
      <c r="D135" s="76"/>
      <c r="E135" s="76"/>
      <c r="F135" s="76"/>
      <c r="G135" s="76"/>
      <c r="H135" s="76"/>
    </row>
    <row r="136" spans="3:8">
      <c r="C136" s="76"/>
      <c r="D136" s="76"/>
      <c r="E136" s="76"/>
      <c r="F136" s="76"/>
      <c r="G136" s="76"/>
      <c r="H136" s="76"/>
    </row>
    <row r="137" spans="3:8">
      <c r="C137" s="76"/>
      <c r="D137" s="76"/>
      <c r="E137" s="76"/>
      <c r="F137" s="76"/>
      <c r="G137" s="76"/>
      <c r="H137" s="76"/>
    </row>
    <row r="138" spans="3:8">
      <c r="C138" s="76"/>
      <c r="D138" s="76"/>
      <c r="E138" s="76"/>
      <c r="F138" s="76"/>
      <c r="G138" s="76"/>
      <c r="H138" s="76"/>
    </row>
    <row r="139" spans="3:8">
      <c r="C139" s="76"/>
      <c r="D139" s="76"/>
      <c r="E139" s="76"/>
      <c r="F139" s="76"/>
      <c r="G139" s="76"/>
      <c r="H139" s="76"/>
    </row>
    <row r="140" spans="3:8">
      <c r="C140" s="76"/>
      <c r="D140" s="76"/>
      <c r="E140" s="76"/>
      <c r="F140" s="76"/>
      <c r="G140" s="76"/>
      <c r="H140" s="76"/>
    </row>
    <row r="141" spans="3:8">
      <c r="C141" s="76"/>
      <c r="D141" s="76"/>
      <c r="E141" s="76"/>
      <c r="F141" s="76"/>
      <c r="G141" s="76"/>
      <c r="H141" s="76"/>
    </row>
    <row r="142" spans="3:8">
      <c r="C142" s="76"/>
      <c r="D142" s="76"/>
      <c r="E142" s="76"/>
      <c r="F142" s="76"/>
      <c r="G142" s="76"/>
      <c r="H142" s="76"/>
    </row>
    <row r="143" spans="3:8">
      <c r="C143" s="76"/>
      <c r="D143" s="76"/>
      <c r="E143" s="76"/>
      <c r="F143" s="76"/>
      <c r="G143" s="76"/>
      <c r="H143" s="76"/>
    </row>
    <row r="144" spans="3:8">
      <c r="C144" s="76"/>
      <c r="D144" s="76"/>
      <c r="E144" s="76"/>
      <c r="F144" s="76"/>
      <c r="G144" s="76"/>
      <c r="H144" s="76"/>
    </row>
    <row r="145" spans="3:8">
      <c r="C145" s="76"/>
      <c r="D145" s="76"/>
      <c r="E145" s="76"/>
      <c r="F145" s="76"/>
      <c r="G145" s="76"/>
      <c r="H145" s="76"/>
    </row>
    <row r="146" spans="3:8">
      <c r="C146" s="76"/>
      <c r="D146" s="76"/>
      <c r="E146" s="76"/>
      <c r="F146" s="76"/>
      <c r="G146" s="76"/>
      <c r="H146" s="76"/>
    </row>
    <row r="147" spans="3:8">
      <c r="C147" s="76"/>
      <c r="D147" s="76"/>
      <c r="E147" s="76"/>
      <c r="F147" s="76"/>
      <c r="G147" s="76"/>
      <c r="H147" s="76"/>
    </row>
    <row r="148" spans="3:8">
      <c r="C148" s="76"/>
      <c r="D148" s="76"/>
      <c r="E148" s="76"/>
      <c r="F148" s="76"/>
      <c r="G148" s="76"/>
      <c r="H148" s="76"/>
    </row>
    <row r="149" spans="3:8">
      <c r="C149" s="76"/>
      <c r="D149" s="76"/>
      <c r="E149" s="76"/>
      <c r="F149" s="76"/>
      <c r="G149" s="76"/>
      <c r="H149" s="76"/>
    </row>
    <row r="150" spans="3:8">
      <c r="C150" s="76"/>
      <c r="D150" s="76"/>
      <c r="E150" s="76"/>
      <c r="F150" s="76"/>
      <c r="G150" s="76"/>
      <c r="H150" s="76"/>
    </row>
    <row r="151" spans="3:8">
      <c r="C151" s="76"/>
      <c r="D151" s="76"/>
      <c r="E151" s="76"/>
      <c r="F151" s="76"/>
      <c r="G151" s="76"/>
      <c r="H151" s="76"/>
    </row>
    <row r="152" spans="3:8">
      <c r="C152" s="76"/>
      <c r="D152" s="76"/>
      <c r="E152" s="76"/>
      <c r="F152" s="76"/>
      <c r="G152" s="76"/>
      <c r="H152" s="76"/>
    </row>
    <row r="153" spans="3:8">
      <c r="C153" s="76"/>
      <c r="D153" s="76"/>
      <c r="E153" s="76"/>
      <c r="F153" s="76"/>
      <c r="G153" s="76"/>
      <c r="H153" s="76"/>
    </row>
    <row r="154" spans="3:8">
      <c r="C154" s="76"/>
      <c r="D154" s="76"/>
      <c r="E154" s="76"/>
      <c r="F154" s="76"/>
      <c r="G154" s="76"/>
      <c r="H154" s="76"/>
    </row>
    <row r="155" spans="3:8">
      <c r="C155" s="76"/>
      <c r="D155" s="76"/>
      <c r="E155" s="76"/>
      <c r="F155" s="76"/>
      <c r="G155" s="76"/>
      <c r="H155" s="76"/>
    </row>
    <row r="156" spans="3:8">
      <c r="C156" s="76"/>
      <c r="D156" s="76"/>
      <c r="E156" s="76"/>
      <c r="F156" s="76"/>
      <c r="G156" s="76"/>
      <c r="H156" s="76"/>
    </row>
    <row r="157" spans="3:8">
      <c r="C157" s="76"/>
      <c r="D157" s="76"/>
      <c r="E157" s="76"/>
      <c r="F157" s="76"/>
      <c r="G157" s="76"/>
      <c r="H157" s="76"/>
    </row>
    <row r="158" spans="3:8">
      <c r="C158" s="76"/>
      <c r="D158" s="76"/>
      <c r="E158" s="76"/>
      <c r="F158" s="76"/>
      <c r="G158" s="76"/>
      <c r="H158" s="76"/>
    </row>
    <row r="159" spans="3:8">
      <c r="C159" s="76"/>
      <c r="D159" s="76"/>
      <c r="E159" s="76"/>
      <c r="F159" s="76"/>
      <c r="G159" s="76"/>
      <c r="H159" s="76"/>
    </row>
    <row r="160" spans="3:8">
      <c r="C160" s="76"/>
      <c r="D160" s="76"/>
      <c r="E160" s="76"/>
      <c r="F160" s="76"/>
      <c r="G160" s="76"/>
      <c r="H160" s="76"/>
    </row>
    <row r="161" spans="3:8">
      <c r="C161" s="76"/>
      <c r="D161" s="76"/>
      <c r="E161" s="76"/>
      <c r="F161" s="76"/>
      <c r="G161" s="76"/>
      <c r="H161" s="76"/>
    </row>
    <row r="162" spans="3:8">
      <c r="C162" s="76"/>
      <c r="D162" s="76"/>
      <c r="E162" s="76"/>
      <c r="F162" s="76"/>
      <c r="G162" s="76"/>
      <c r="H162" s="76"/>
    </row>
    <row r="163" spans="3:8">
      <c r="C163" s="76"/>
      <c r="D163" s="76"/>
      <c r="E163" s="76"/>
      <c r="F163" s="76"/>
      <c r="G163" s="76"/>
      <c r="H163" s="76"/>
    </row>
    <row r="164" spans="3:8">
      <c r="C164" s="76"/>
      <c r="D164" s="76"/>
      <c r="E164" s="76"/>
      <c r="F164" s="76"/>
      <c r="G164" s="76"/>
      <c r="H164" s="76"/>
    </row>
    <row r="165" spans="3:8">
      <c r="C165" s="76"/>
      <c r="D165" s="76"/>
      <c r="E165" s="76"/>
      <c r="F165" s="76"/>
      <c r="G165" s="76"/>
      <c r="H165" s="76"/>
    </row>
    <row r="166" spans="3:8">
      <c r="C166" s="76"/>
      <c r="D166" s="76"/>
      <c r="E166" s="76"/>
      <c r="F166" s="76"/>
      <c r="G166" s="76"/>
      <c r="H166" s="76"/>
    </row>
    <row r="167" spans="3:8">
      <c r="C167" s="76"/>
      <c r="D167" s="76"/>
      <c r="E167" s="76"/>
      <c r="F167" s="76"/>
      <c r="G167" s="76"/>
      <c r="H167" s="76"/>
    </row>
    <row r="168" spans="3:8">
      <c r="C168" s="76"/>
      <c r="D168" s="76"/>
      <c r="E168" s="76"/>
      <c r="F168" s="76"/>
      <c r="G168" s="76"/>
      <c r="H168" s="76"/>
    </row>
    <row r="169" spans="3:8">
      <c r="C169" s="76"/>
      <c r="D169" s="76"/>
      <c r="E169" s="76"/>
      <c r="F169" s="76"/>
      <c r="G169" s="76"/>
      <c r="H169" s="76"/>
    </row>
    <row r="170" spans="3:8">
      <c r="C170" s="76"/>
      <c r="D170" s="76"/>
      <c r="E170" s="76"/>
      <c r="F170" s="76"/>
      <c r="G170" s="76"/>
      <c r="H170" s="76"/>
    </row>
    <row r="171" spans="3:8">
      <c r="C171" s="76"/>
      <c r="D171" s="76"/>
      <c r="E171" s="76"/>
      <c r="F171" s="76"/>
      <c r="G171" s="76"/>
      <c r="H171" s="76"/>
    </row>
    <row r="172" spans="3:8">
      <c r="C172" s="76"/>
      <c r="D172" s="76"/>
      <c r="E172" s="76"/>
      <c r="F172" s="76"/>
      <c r="G172" s="76"/>
      <c r="H172" s="76"/>
    </row>
    <row r="173" spans="3:8">
      <c r="C173" s="76"/>
      <c r="D173" s="76"/>
      <c r="E173" s="76"/>
      <c r="F173" s="76"/>
      <c r="G173" s="76"/>
      <c r="H173" s="76"/>
    </row>
    <row r="174" spans="3:8">
      <c r="C174" s="76"/>
      <c r="D174" s="76"/>
      <c r="E174" s="76"/>
      <c r="F174" s="76"/>
      <c r="G174" s="76"/>
      <c r="H174" s="76"/>
    </row>
    <row r="175" spans="3:8">
      <c r="C175" s="76"/>
      <c r="D175" s="76"/>
      <c r="E175" s="76"/>
      <c r="F175" s="76"/>
      <c r="G175" s="76"/>
      <c r="H175" s="76"/>
    </row>
    <row r="176" spans="3:8">
      <c r="C176" s="76"/>
      <c r="D176" s="76"/>
      <c r="E176" s="76"/>
      <c r="F176" s="76"/>
      <c r="G176" s="76"/>
      <c r="H176" s="76"/>
    </row>
    <row r="177" spans="3:8">
      <c r="C177" s="76"/>
      <c r="D177" s="76"/>
      <c r="E177" s="76"/>
      <c r="F177" s="76"/>
      <c r="G177" s="76"/>
      <c r="H177" s="76"/>
    </row>
    <row r="178" spans="3:8">
      <c r="C178" s="76"/>
      <c r="D178" s="76"/>
      <c r="E178" s="76"/>
      <c r="F178" s="76"/>
      <c r="G178" s="76"/>
      <c r="H178" s="76"/>
    </row>
    <row r="179" spans="3:8">
      <c r="C179" s="76"/>
      <c r="D179" s="76"/>
      <c r="E179" s="76"/>
      <c r="F179" s="76"/>
      <c r="G179" s="76"/>
      <c r="H179" s="76"/>
    </row>
    <row r="180" spans="3:8">
      <c r="C180" s="76"/>
      <c r="D180" s="76"/>
      <c r="E180" s="76"/>
      <c r="F180" s="76"/>
      <c r="G180" s="76"/>
      <c r="H180" s="76"/>
    </row>
    <row r="181" spans="3:8">
      <c r="C181" s="76"/>
      <c r="D181" s="76"/>
      <c r="E181" s="76"/>
      <c r="F181" s="76"/>
      <c r="G181" s="76"/>
      <c r="H181" s="76"/>
    </row>
    <row r="182" spans="3:8">
      <c r="C182" s="76"/>
      <c r="D182" s="76"/>
      <c r="E182" s="76"/>
      <c r="F182" s="76"/>
      <c r="G182" s="76"/>
      <c r="H182" s="76"/>
    </row>
    <row r="183" spans="3:8">
      <c r="C183" s="76"/>
      <c r="D183" s="76"/>
      <c r="E183" s="76"/>
      <c r="F183" s="76"/>
      <c r="G183" s="76"/>
      <c r="H183" s="76"/>
    </row>
    <row r="184" spans="3:8">
      <c r="C184" s="76"/>
      <c r="D184" s="76"/>
      <c r="E184" s="76"/>
      <c r="F184" s="76"/>
      <c r="G184" s="76"/>
      <c r="H184" s="76"/>
    </row>
    <row r="185" spans="3:8">
      <c r="C185" s="76"/>
      <c r="D185" s="76"/>
      <c r="E185" s="76"/>
      <c r="F185" s="76"/>
      <c r="G185" s="76"/>
      <c r="H185" s="76"/>
    </row>
    <row r="186" spans="3:8">
      <c r="C186" s="76"/>
      <c r="D186" s="76"/>
      <c r="E186" s="76"/>
      <c r="F186" s="76"/>
      <c r="G186" s="76"/>
      <c r="H186" s="76"/>
    </row>
  </sheetData>
  <printOptions horizontalCentered="1"/>
  <pageMargins left="1" right="0.75" top="0.75" bottom="0.5" header="0.25" footer="0.25"/>
  <pageSetup scale="58"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M569"/>
  <sheetViews>
    <sheetView topLeftCell="A106" zoomScale="75" zoomScaleNormal="75" zoomScaleSheetLayoutView="75" workbookViewId="0"/>
  </sheetViews>
  <sheetFormatPr defaultColWidth="8.77734375" defaultRowHeight="15"/>
  <cols>
    <col min="1" max="1" width="5.77734375" style="780" customWidth="1"/>
    <col min="2" max="2" width="1.44140625" style="12" customWidth="1"/>
    <col min="3" max="3" width="59" style="12" customWidth="1"/>
    <col min="4" max="4" width="23.88671875" style="12" customWidth="1"/>
    <col min="5" max="5" width="15.5546875" style="12" customWidth="1"/>
    <col min="6" max="6" width="5.77734375" style="12" customWidth="1"/>
    <col min="7" max="7" width="5.6640625" style="12" customWidth="1"/>
    <col min="8" max="8" width="12.109375" style="12" customWidth="1"/>
    <col min="9" max="9" width="5.77734375" style="12" customWidth="1"/>
    <col min="10" max="10" width="15.5546875" style="12" customWidth="1"/>
    <col min="11" max="11" width="3.44140625" style="12" customWidth="1"/>
    <col min="12" max="12" width="13.109375" style="12" customWidth="1"/>
    <col min="13" max="13" width="1.88671875" style="12" customWidth="1"/>
    <col min="14" max="16384" width="8.77734375" style="12"/>
  </cols>
  <sheetData>
    <row r="1" spans="1:13" ht="18">
      <c r="A1" s="781"/>
      <c r="C1" s="27"/>
      <c r="D1" s="27"/>
      <c r="E1" s="28"/>
      <c r="F1" s="27"/>
      <c r="G1" s="27"/>
      <c r="H1" s="27"/>
      <c r="I1" s="29"/>
      <c r="J1" s="74" t="s">
        <v>318</v>
      </c>
      <c r="K1" s="87"/>
      <c r="M1" s="87"/>
    </row>
    <row r="2" spans="1:13">
      <c r="C2" s="27"/>
      <c r="D2" s="27"/>
      <c r="E2" s="28"/>
      <c r="F2" s="27"/>
      <c r="G2" s="27"/>
      <c r="H2" s="27"/>
      <c r="I2" s="29"/>
      <c r="J2" s="74" t="s">
        <v>440</v>
      </c>
      <c r="M2" s="74"/>
    </row>
    <row r="3" spans="1:13">
      <c r="C3" s="27"/>
      <c r="D3" s="27"/>
      <c r="E3" s="28"/>
      <c r="F3" s="27"/>
      <c r="G3" s="27"/>
      <c r="H3" s="27"/>
      <c r="I3" s="29"/>
      <c r="K3" s="1"/>
      <c r="M3" s="74"/>
    </row>
    <row r="4" spans="1:13">
      <c r="C4" s="27"/>
      <c r="D4" s="27"/>
      <c r="E4" s="28"/>
      <c r="F4" s="27"/>
      <c r="G4" s="27"/>
      <c r="H4" s="27"/>
      <c r="I4" s="29"/>
      <c r="K4" s="1"/>
      <c r="M4" s="74"/>
    </row>
    <row r="5" spans="1:13">
      <c r="C5" s="27"/>
      <c r="D5" s="27"/>
      <c r="E5" s="28"/>
      <c r="F5" s="27"/>
      <c r="G5" s="27"/>
      <c r="H5" s="27"/>
      <c r="I5" s="29"/>
      <c r="K5" s="1"/>
      <c r="M5" s="74"/>
    </row>
    <row r="6" spans="1:13">
      <c r="C6" s="27"/>
      <c r="D6" s="27"/>
      <c r="E6" s="28"/>
      <c r="F6" s="27"/>
      <c r="G6" s="27"/>
      <c r="H6" s="27"/>
      <c r="I6" s="29"/>
      <c r="J6" s="1"/>
      <c r="K6" s="1"/>
      <c r="M6" s="1"/>
    </row>
    <row r="7" spans="1:13">
      <c r="C7" s="27" t="s">
        <v>7</v>
      </c>
      <c r="D7" s="27"/>
      <c r="E7" s="28"/>
      <c r="F7" s="27"/>
      <c r="G7" s="27"/>
      <c r="H7" s="27"/>
      <c r="I7" s="29"/>
      <c r="J7" s="275" t="str">
        <f>"For the 12 months ended: "&amp;TEXT(INPUT!$B$1,"mm/dd/yyyy")</f>
        <v>For the 12 months ended: 12/31/2017</v>
      </c>
      <c r="K7" s="1"/>
      <c r="M7" s="1"/>
    </row>
    <row r="8" spans="1:13">
      <c r="A8" s="790" t="s">
        <v>275</v>
      </c>
      <c r="B8" s="260"/>
      <c r="C8" s="260"/>
      <c r="D8" s="254"/>
      <c r="E8" s="109"/>
      <c r="F8" s="254"/>
      <c r="G8" s="254"/>
      <c r="H8" s="254"/>
      <c r="I8" s="254"/>
      <c r="J8" s="109"/>
      <c r="K8" s="1"/>
      <c r="L8" s="109"/>
      <c r="M8" s="1"/>
    </row>
    <row r="9" spans="1:13">
      <c r="A9" s="783" t="s">
        <v>289</v>
      </c>
      <c r="B9" s="260"/>
      <c r="C9" s="258"/>
      <c r="D9" s="256"/>
      <c r="E9" s="109"/>
      <c r="F9" s="256"/>
      <c r="G9" s="256"/>
      <c r="H9" s="256"/>
      <c r="I9" s="254"/>
      <c r="J9" s="254"/>
      <c r="K9" s="1"/>
      <c r="L9" s="257"/>
      <c r="M9" s="1"/>
    </row>
    <row r="10" spans="1:13">
      <c r="A10" s="783"/>
      <c r="B10" s="260"/>
      <c r="C10" s="255"/>
      <c r="D10" s="257"/>
      <c r="E10" s="109"/>
      <c r="F10" s="257"/>
      <c r="G10" s="257"/>
      <c r="H10" s="257"/>
      <c r="I10" s="257"/>
      <c r="J10" s="257"/>
      <c r="K10" s="1"/>
      <c r="L10" s="257"/>
      <c r="M10" s="1"/>
    </row>
    <row r="11" spans="1:13" ht="15.75">
      <c r="A11" s="791" t="s">
        <v>847</v>
      </c>
      <c r="B11" s="410"/>
      <c r="C11" s="411"/>
      <c r="D11" s="411"/>
      <c r="E11" s="410"/>
      <c r="F11" s="411"/>
      <c r="G11" s="411"/>
      <c r="H11" s="411"/>
      <c r="I11" s="411"/>
      <c r="J11" s="411"/>
      <c r="K11" s="1"/>
      <c r="L11" s="257"/>
      <c r="M11" s="1"/>
    </row>
    <row r="12" spans="1:13">
      <c r="A12" s="778"/>
      <c r="C12" s="4" t="s">
        <v>19</v>
      </c>
      <c r="D12" s="4" t="s">
        <v>20</v>
      </c>
      <c r="E12" s="4" t="s">
        <v>21</v>
      </c>
      <c r="F12" s="602" t="s">
        <v>8</v>
      </c>
      <c r="G12" s="602"/>
      <c r="H12" s="7" t="s">
        <v>22</v>
      </c>
      <c r="I12" s="602"/>
      <c r="J12" s="8" t="s">
        <v>23</v>
      </c>
      <c r="K12" s="1"/>
      <c r="L12" s="1"/>
      <c r="M12" s="1"/>
    </row>
    <row r="13" spans="1:13">
      <c r="A13" s="778" t="s">
        <v>9</v>
      </c>
      <c r="C13" s="1"/>
      <c r="D13" s="1"/>
      <c r="E13" s="20"/>
      <c r="F13" s="1"/>
      <c r="G13" s="1"/>
      <c r="H13" s="1"/>
      <c r="I13" s="1"/>
      <c r="J13" s="30" t="s">
        <v>10</v>
      </c>
      <c r="K13" s="1"/>
      <c r="L13" s="1"/>
      <c r="M13" s="1"/>
    </row>
    <row r="14" spans="1:13">
      <c r="A14" s="787" t="s">
        <v>11</v>
      </c>
      <c r="B14" s="276"/>
      <c r="C14" s="277"/>
      <c r="D14" s="277"/>
      <c r="E14" s="277"/>
      <c r="F14" s="277"/>
      <c r="G14" s="277"/>
      <c r="H14" s="277"/>
      <c r="I14" s="277"/>
      <c r="J14" s="270" t="s">
        <v>12</v>
      </c>
      <c r="K14" s="1"/>
      <c r="L14" s="1"/>
      <c r="M14" s="1"/>
    </row>
    <row r="15" spans="1:13">
      <c r="A15" s="778">
        <v>1</v>
      </c>
      <c r="C15" s="1" t="s">
        <v>850</v>
      </c>
      <c r="D15" s="956" t="s">
        <v>849</v>
      </c>
      <c r="E15" s="2"/>
      <c r="F15" s="1"/>
      <c r="G15" s="1"/>
      <c r="H15" s="1"/>
      <c r="I15" s="1"/>
      <c r="J15" s="34">
        <f>J170</f>
        <v>118152396</v>
      </c>
      <c r="K15" s="1"/>
      <c r="L15" s="1"/>
      <c r="M15" s="1"/>
    </row>
    <row r="16" spans="1:13">
      <c r="A16" s="778"/>
      <c r="C16" s="1"/>
      <c r="D16" s="953"/>
      <c r="E16" s="1"/>
      <c r="F16" s="1"/>
      <c r="G16" s="1"/>
      <c r="H16" s="1"/>
      <c r="I16" s="1"/>
      <c r="J16" s="2"/>
      <c r="K16" s="1"/>
      <c r="L16" s="1"/>
      <c r="M16" s="1"/>
    </row>
    <row r="17" spans="1:13">
      <c r="A17" s="778"/>
      <c r="C17" s="1"/>
      <c r="D17" s="953"/>
      <c r="E17" s="1"/>
      <c r="F17" s="1"/>
      <c r="G17" s="1"/>
      <c r="H17" s="1"/>
      <c r="I17" s="1"/>
      <c r="J17" s="2"/>
      <c r="K17" s="1"/>
      <c r="L17" s="1"/>
      <c r="M17" s="1"/>
    </row>
    <row r="18" spans="1:13" ht="15.75" thickBot="1">
      <c r="A18" s="778" t="s">
        <v>8</v>
      </c>
      <c r="C18" s="622" t="s">
        <v>388</v>
      </c>
      <c r="D18" s="958"/>
      <c r="E18" s="38" t="s">
        <v>13</v>
      </c>
      <c r="F18" s="5"/>
      <c r="G18" s="46" t="s">
        <v>14</v>
      </c>
      <c r="H18" s="46"/>
      <c r="I18" s="1"/>
      <c r="J18" s="2"/>
      <c r="K18" s="1"/>
      <c r="L18" s="1"/>
      <c r="M18" s="1"/>
    </row>
    <row r="19" spans="1:13">
      <c r="A19" s="778">
        <v>2</v>
      </c>
      <c r="C19" s="622" t="s">
        <v>369</v>
      </c>
      <c r="D19" s="956" t="s">
        <v>136</v>
      </c>
      <c r="E19" s="671">
        <f>J246</f>
        <v>214747</v>
      </c>
      <c r="F19" s="338"/>
      <c r="G19" s="338" t="s">
        <v>15</v>
      </c>
      <c r="H19" s="19">
        <f>J$194</f>
        <v>1</v>
      </c>
      <c r="I19" s="338"/>
      <c r="J19" s="338">
        <f>ROUND(H19*E19,0)</f>
        <v>214747</v>
      </c>
      <c r="K19" s="1"/>
      <c r="L19" s="1"/>
      <c r="M19" s="1"/>
    </row>
    <row r="20" spans="1:13">
      <c r="A20" s="778">
        <v>3</v>
      </c>
      <c r="C20" s="622" t="s">
        <v>394</v>
      </c>
      <c r="D20" s="956" t="s">
        <v>324</v>
      </c>
      <c r="E20" s="915">
        <f>J248</f>
        <v>557900</v>
      </c>
      <c r="F20" s="338"/>
      <c r="G20" s="338" t="str">
        <f>G$19</f>
        <v>TP</v>
      </c>
      <c r="H20" s="19">
        <f>J$194</f>
        <v>1</v>
      </c>
      <c r="I20" s="338"/>
      <c r="J20" s="210">
        <f>ROUND(H20*E20,0)</f>
        <v>557900</v>
      </c>
      <c r="K20" s="1"/>
      <c r="L20" s="1"/>
      <c r="M20" s="1"/>
    </row>
    <row r="21" spans="1:13">
      <c r="A21" s="778" t="s">
        <v>311</v>
      </c>
      <c r="C21" s="622" t="s">
        <v>370</v>
      </c>
      <c r="D21" s="956"/>
      <c r="E21" s="916">
        <v>0</v>
      </c>
      <c r="F21" s="338"/>
      <c r="G21" s="338" t="str">
        <f>G$19</f>
        <v>TP</v>
      </c>
      <c r="H21" s="19">
        <f>J$194</f>
        <v>1</v>
      </c>
      <c r="I21" s="338"/>
      <c r="J21" s="210">
        <f t="shared" ref="J21:J23" si="0">ROUND(H21*E21,0)</f>
        <v>0</v>
      </c>
      <c r="K21" s="1"/>
      <c r="L21" s="1"/>
      <c r="M21" s="1"/>
    </row>
    <row r="22" spans="1:13">
      <c r="A22" s="778" t="s">
        <v>312</v>
      </c>
      <c r="C22" s="622" t="s">
        <v>434</v>
      </c>
      <c r="D22" s="956"/>
      <c r="E22" s="916">
        <v>0</v>
      </c>
      <c r="F22" s="338"/>
      <c r="G22" s="338" t="str">
        <f>G$19</f>
        <v>TP</v>
      </c>
      <c r="H22" s="19">
        <f>J$194</f>
        <v>1</v>
      </c>
      <c r="I22" s="338"/>
      <c r="J22" s="210">
        <f t="shared" si="0"/>
        <v>0</v>
      </c>
      <c r="K22" s="1"/>
      <c r="L22" s="1"/>
      <c r="M22" s="1"/>
    </row>
    <row r="23" spans="1:13">
      <c r="A23" s="778">
        <v>5</v>
      </c>
      <c r="C23" s="622" t="s">
        <v>783</v>
      </c>
      <c r="D23" s="956" t="s">
        <v>693</v>
      </c>
      <c r="E23" s="915">
        <f>ROUND(J249,0)</f>
        <v>1756859</v>
      </c>
      <c r="F23" s="481"/>
      <c r="G23" s="481"/>
      <c r="H23" s="423">
        <v>1</v>
      </c>
      <c r="I23" s="481"/>
      <c r="J23" s="210">
        <f t="shared" si="0"/>
        <v>1756859</v>
      </c>
      <c r="K23" s="1"/>
      <c r="L23" s="1"/>
      <c r="M23" s="1"/>
    </row>
    <row r="24" spans="1:13" s="670" customFormat="1">
      <c r="A24" s="778"/>
      <c r="C24" s="622"/>
      <c r="D24" s="956"/>
      <c r="E24" s="210"/>
      <c r="F24" s="671"/>
      <c r="G24" s="671"/>
      <c r="H24" s="423"/>
      <c r="I24" s="671"/>
      <c r="J24" s="210"/>
      <c r="K24" s="622"/>
      <c r="L24" s="622"/>
      <c r="M24" s="622"/>
    </row>
    <row r="25" spans="1:13" s="670" customFormat="1">
      <c r="A25" s="778"/>
      <c r="C25" s="622"/>
      <c r="D25" s="956"/>
      <c r="E25" s="210"/>
      <c r="F25" s="671"/>
      <c r="G25" s="671"/>
      <c r="H25" s="423"/>
      <c r="I25" s="671"/>
      <c r="J25" s="210"/>
      <c r="K25" s="622"/>
      <c r="L25" s="622"/>
      <c r="M25" s="622"/>
    </row>
    <row r="26" spans="1:13" s="670" customFormat="1">
      <c r="A26" s="778"/>
      <c r="C26" s="622"/>
      <c r="D26" s="956"/>
      <c r="E26" s="210"/>
      <c r="F26" s="671"/>
      <c r="G26" s="671"/>
      <c r="H26" s="423"/>
      <c r="I26" s="671"/>
      <c r="J26" s="210"/>
      <c r="K26" s="622"/>
      <c r="L26" s="622"/>
      <c r="M26" s="622"/>
    </row>
    <row r="27" spans="1:13">
      <c r="A27" s="778">
        <v>6</v>
      </c>
      <c r="C27" s="622" t="s">
        <v>678</v>
      </c>
      <c r="D27" s="953"/>
      <c r="E27" s="17" t="s">
        <v>8</v>
      </c>
      <c r="F27" s="5"/>
      <c r="G27" s="5"/>
      <c r="H27" s="19"/>
      <c r="I27" s="5"/>
      <c r="J27" s="758">
        <f>SUM(J19:J23)</f>
        <v>2529506</v>
      </c>
      <c r="K27" s="1"/>
      <c r="L27" s="1"/>
      <c r="M27" s="1"/>
    </row>
    <row r="28" spans="1:13">
      <c r="A28" s="778"/>
      <c r="D28" s="953"/>
      <c r="E28" s="5" t="s">
        <v>8</v>
      </c>
      <c r="F28" s="1"/>
      <c r="G28" s="1"/>
      <c r="H28" s="19"/>
      <c r="I28" s="1"/>
      <c r="K28" s="1"/>
      <c r="L28" s="1"/>
      <c r="M28" s="1"/>
    </row>
    <row r="29" spans="1:13">
      <c r="A29" s="778"/>
      <c r="C29" s="3"/>
      <c r="D29" s="953"/>
      <c r="J29" s="5"/>
      <c r="K29" s="1"/>
      <c r="L29" s="1"/>
      <c r="M29" s="1"/>
    </row>
    <row r="30" spans="1:13" ht="15.75" thickBot="1">
      <c r="A30" s="778">
        <v>7</v>
      </c>
      <c r="C30" s="622" t="s">
        <v>16</v>
      </c>
      <c r="D30" s="956" t="s">
        <v>137</v>
      </c>
      <c r="E30" s="17" t="s">
        <v>8</v>
      </c>
      <c r="F30" s="5"/>
      <c r="G30" s="5"/>
      <c r="H30" s="5"/>
      <c r="I30" s="5"/>
      <c r="J30" s="47">
        <f>J15-J27</f>
        <v>115622890</v>
      </c>
      <c r="K30" s="1"/>
      <c r="M30" s="1"/>
    </row>
    <row r="31" spans="1:13" ht="15.75" thickTop="1">
      <c r="A31" s="778"/>
      <c r="D31" s="954"/>
      <c r="E31" s="17"/>
      <c r="F31" s="5"/>
      <c r="G31" s="5"/>
      <c r="H31" s="5"/>
      <c r="I31" s="5"/>
      <c r="K31" s="1"/>
      <c r="L31" s="396"/>
      <c r="M31" s="1"/>
    </row>
    <row r="32" spans="1:13">
      <c r="A32" s="778"/>
      <c r="D32" s="760"/>
      <c r="J32" s="5"/>
      <c r="K32" s="1"/>
      <c r="L32" s="397"/>
      <c r="M32" s="1"/>
    </row>
    <row r="33" spans="1:13">
      <c r="A33" s="778"/>
      <c r="C33" s="622" t="s">
        <v>325</v>
      </c>
      <c r="D33" s="954"/>
      <c r="E33" s="2"/>
      <c r="F33" s="1"/>
      <c r="G33" s="1"/>
      <c r="H33" s="1"/>
      <c r="I33" s="1"/>
      <c r="J33" s="2"/>
      <c r="K33" s="1"/>
      <c r="L33" s="1"/>
      <c r="M33" s="1"/>
    </row>
    <row r="34" spans="1:13">
      <c r="A34" s="778">
        <v>8</v>
      </c>
      <c r="C34" s="622" t="s">
        <v>374</v>
      </c>
      <c r="D34" s="955"/>
      <c r="E34" s="2"/>
      <c r="F34" s="1"/>
      <c r="G34" s="1"/>
      <c r="H34" s="57"/>
      <c r="I34" s="1"/>
      <c r="J34" s="216">
        <f>MAX(PeakKW_DEO)</f>
        <v>4231000</v>
      </c>
      <c r="K34" s="1"/>
      <c r="L34" s="1"/>
      <c r="M34" s="1"/>
    </row>
    <row r="35" spans="1:13">
      <c r="A35" s="778">
        <v>9</v>
      </c>
      <c r="C35" s="622" t="s">
        <v>375</v>
      </c>
      <c r="D35" s="955"/>
      <c r="E35" s="35"/>
      <c r="F35" s="35"/>
      <c r="G35" s="35"/>
      <c r="H35" s="35"/>
      <c r="I35" s="5"/>
      <c r="J35" s="216">
        <f>'P10 Partner KW'!O18</f>
        <v>3569333</v>
      </c>
      <c r="K35" s="1"/>
      <c r="L35" s="1"/>
      <c r="M35" s="1"/>
    </row>
    <row r="36" spans="1:13">
      <c r="A36" s="778"/>
      <c r="C36" s="3"/>
      <c r="D36" s="954"/>
      <c r="E36" s="1"/>
      <c r="F36" s="1"/>
      <c r="G36" s="1"/>
      <c r="H36" s="1"/>
      <c r="I36" s="1"/>
      <c r="J36" s="217"/>
      <c r="K36" s="1"/>
      <c r="L36" s="1"/>
      <c r="M36" s="1"/>
    </row>
    <row r="37" spans="1:13">
      <c r="A37" s="778">
        <v>10</v>
      </c>
      <c r="C37" s="622" t="s">
        <v>314</v>
      </c>
      <c r="D37" s="954"/>
      <c r="E37" s="34"/>
      <c r="F37" s="34"/>
      <c r="G37" s="34"/>
      <c r="H37" s="34"/>
      <c r="I37" s="34"/>
      <c r="J37" s="34"/>
      <c r="K37" s="1"/>
      <c r="L37" s="1"/>
      <c r="M37" s="1"/>
    </row>
    <row r="38" spans="1:13">
      <c r="A38" s="778">
        <v>11</v>
      </c>
      <c r="C38" s="622" t="s">
        <v>314</v>
      </c>
      <c r="D38" s="954"/>
      <c r="E38" s="34"/>
      <c r="F38" s="34"/>
      <c r="G38" s="34"/>
      <c r="H38" s="34"/>
      <c r="I38" s="34"/>
      <c r="J38" s="34"/>
      <c r="K38" s="1"/>
      <c r="L38" s="1"/>
      <c r="M38" s="1"/>
    </row>
    <row r="39" spans="1:13">
      <c r="A39" s="778">
        <v>12</v>
      </c>
      <c r="C39" s="622" t="s">
        <v>314</v>
      </c>
      <c r="D39" s="954"/>
      <c r="E39" s="34"/>
      <c r="F39" s="34"/>
      <c r="G39" s="34"/>
      <c r="H39" s="34"/>
      <c r="I39" s="34"/>
      <c r="J39" s="34"/>
      <c r="K39" s="1"/>
      <c r="L39" s="1"/>
      <c r="M39" s="1"/>
    </row>
    <row r="40" spans="1:13">
      <c r="A40" s="778">
        <v>13</v>
      </c>
      <c r="C40" s="622" t="s">
        <v>314</v>
      </c>
      <c r="D40" s="954"/>
      <c r="E40" s="34"/>
      <c r="F40" s="34"/>
      <c r="G40" s="34"/>
      <c r="H40" s="34"/>
      <c r="I40" s="34"/>
      <c r="J40" s="34"/>
      <c r="K40" s="1"/>
      <c r="L40" s="1"/>
      <c r="M40" s="1"/>
    </row>
    <row r="41" spans="1:13">
      <c r="A41" s="778">
        <v>14</v>
      </c>
      <c r="C41" s="622" t="s">
        <v>314</v>
      </c>
      <c r="D41" s="954"/>
      <c r="E41" s="34"/>
      <c r="F41" s="34"/>
      <c r="G41" s="34"/>
      <c r="H41" s="34"/>
      <c r="I41" s="34"/>
      <c r="J41" s="34"/>
      <c r="K41" s="1"/>
      <c r="L41" s="1"/>
      <c r="M41" s="1"/>
    </row>
    <row r="42" spans="1:13">
      <c r="A42" s="778"/>
      <c r="C42" s="3"/>
      <c r="D42" s="954"/>
      <c r="E42" s="34"/>
      <c r="F42" s="34"/>
      <c r="G42" s="34"/>
      <c r="H42" s="34"/>
      <c r="I42" s="34"/>
      <c r="J42" s="34"/>
      <c r="K42" s="1"/>
      <c r="L42" s="1"/>
      <c r="M42" s="1"/>
    </row>
    <row r="43" spans="1:13">
      <c r="C43" s="3"/>
      <c r="D43" s="27"/>
      <c r="E43" s="28"/>
      <c r="F43" s="27"/>
      <c r="G43" s="27"/>
      <c r="H43" s="27"/>
      <c r="I43" s="29"/>
      <c r="K43" s="30"/>
      <c r="L43" s="88"/>
      <c r="M43" s="30"/>
    </row>
    <row r="44" spans="1:13" ht="18">
      <c r="A44" s="781"/>
      <c r="C44" s="27"/>
      <c r="D44" s="27"/>
      <c r="E44" s="28"/>
      <c r="F44" s="27"/>
      <c r="G44" s="27"/>
      <c r="H44" s="27"/>
      <c r="I44" s="29"/>
      <c r="J44" s="74" t="s">
        <v>318</v>
      </c>
      <c r="K44" s="87"/>
      <c r="M44" s="87"/>
    </row>
    <row r="45" spans="1:13">
      <c r="C45" s="27"/>
      <c r="D45" s="27"/>
      <c r="E45" s="28"/>
      <c r="F45" s="27"/>
      <c r="G45" s="27"/>
      <c r="H45" s="27"/>
      <c r="I45" s="29"/>
      <c r="J45" s="74" t="s">
        <v>441</v>
      </c>
      <c r="M45" s="74"/>
    </row>
    <row r="46" spans="1:13">
      <c r="C46" s="27"/>
      <c r="D46" s="27"/>
      <c r="E46" s="28"/>
      <c r="F46" s="27"/>
      <c r="G46" s="27"/>
      <c r="H46" s="27"/>
      <c r="I46" s="29"/>
      <c r="K46" s="1"/>
      <c r="M46" s="74"/>
    </row>
    <row r="47" spans="1:13">
      <c r="C47" s="27"/>
      <c r="D47" s="27"/>
      <c r="E47" s="28"/>
      <c r="F47" s="27"/>
      <c r="G47" s="27"/>
      <c r="H47" s="27"/>
      <c r="I47" s="29"/>
      <c r="K47" s="1"/>
      <c r="M47" s="74"/>
    </row>
    <row r="48" spans="1:13">
      <c r="C48" s="27"/>
      <c r="D48" s="27"/>
      <c r="E48" s="28"/>
      <c r="F48" s="27"/>
      <c r="G48" s="27"/>
      <c r="H48" s="27"/>
      <c r="I48" s="29"/>
      <c r="K48" s="5"/>
      <c r="M48" s="74"/>
    </row>
    <row r="49" spans="1:13">
      <c r="C49" s="27"/>
      <c r="D49" s="27"/>
      <c r="E49" s="28"/>
      <c r="F49" s="27"/>
      <c r="G49" s="27"/>
      <c r="H49" s="27"/>
      <c r="I49" s="29"/>
      <c r="J49" s="74"/>
      <c r="K49" s="5"/>
      <c r="M49" s="74"/>
    </row>
    <row r="50" spans="1:13">
      <c r="C50" s="27" t="s">
        <v>7</v>
      </c>
      <c r="D50" s="27"/>
      <c r="E50" s="28"/>
      <c r="F50" s="27"/>
      <c r="G50" s="27"/>
      <c r="H50" s="27"/>
      <c r="I50" s="29"/>
      <c r="J50" s="88" t="str">
        <f>J7</f>
        <v>For the 12 months ended: 12/31/2017</v>
      </c>
      <c r="K50" s="5"/>
      <c r="M50" s="74"/>
    </row>
    <row r="51" spans="1:13">
      <c r="A51" s="782" t="str">
        <f>A8</f>
        <v>Rate Formula Template</v>
      </c>
      <c r="B51" s="260"/>
      <c r="C51" s="260"/>
      <c r="D51" s="254"/>
      <c r="E51" s="109"/>
      <c r="F51" s="254"/>
      <c r="G51" s="254"/>
      <c r="H51" s="254"/>
      <c r="I51" s="254"/>
      <c r="J51" s="109"/>
      <c r="K51" s="5"/>
      <c r="L51" s="109"/>
      <c r="M51" s="1"/>
    </row>
    <row r="52" spans="1:13">
      <c r="A52" s="783" t="s">
        <v>289</v>
      </c>
      <c r="B52" s="260"/>
      <c r="C52" s="258"/>
      <c r="D52" s="256"/>
      <c r="E52" s="109"/>
      <c r="F52" s="256"/>
      <c r="G52" s="256"/>
      <c r="H52" s="256"/>
      <c r="I52" s="254"/>
      <c r="J52" s="254"/>
      <c r="K52" s="5"/>
      <c r="L52" s="257"/>
      <c r="M52" s="1"/>
    </row>
    <row r="53" spans="1:13">
      <c r="A53" s="783"/>
      <c r="B53" s="260"/>
      <c r="C53" s="255"/>
      <c r="D53" s="257"/>
      <c r="E53" s="109"/>
      <c r="F53" s="257"/>
      <c r="G53" s="257"/>
      <c r="H53" s="257"/>
      <c r="I53" s="257"/>
      <c r="J53" s="257"/>
      <c r="K53" s="5"/>
      <c r="L53" s="257"/>
      <c r="M53" s="1"/>
    </row>
    <row r="54" spans="1:13" ht="15.75">
      <c r="A54" s="967" t="str">
        <f>$A$11</f>
        <v>DUKE ENERGY OHIO (DEO)</v>
      </c>
      <c r="B54" s="260"/>
      <c r="C54" s="255"/>
      <c r="D54" s="257"/>
      <c r="E54" s="109"/>
      <c r="F54" s="257"/>
      <c r="G54" s="257"/>
      <c r="H54" s="257"/>
      <c r="I54" s="257"/>
      <c r="J54" s="257"/>
      <c r="K54" s="5"/>
      <c r="L54" s="257"/>
      <c r="M54" s="5"/>
    </row>
    <row r="55" spans="1:13">
      <c r="C55" s="3"/>
      <c r="D55" s="1"/>
      <c r="E55" s="6"/>
      <c r="F55" s="5"/>
      <c r="G55" s="5"/>
      <c r="H55" s="5"/>
      <c r="I55" s="5"/>
      <c r="J55" s="5"/>
      <c r="K55" s="5"/>
      <c r="L55" s="5"/>
      <c r="M55" s="5"/>
    </row>
    <row r="56" spans="1:13">
      <c r="C56" s="4" t="s">
        <v>19</v>
      </c>
      <c r="D56" s="4" t="s">
        <v>20</v>
      </c>
      <c r="E56" s="4" t="s">
        <v>21</v>
      </c>
      <c r="F56" s="5" t="s">
        <v>8</v>
      </c>
      <c r="G56" s="5"/>
      <c r="H56" s="7" t="s">
        <v>22</v>
      </c>
      <c r="I56" s="5"/>
      <c r="J56" s="8" t="s">
        <v>23</v>
      </c>
      <c r="K56" s="5"/>
      <c r="L56" s="4"/>
      <c r="M56" s="5"/>
    </row>
    <row r="57" spans="1:13">
      <c r="A57" s="778" t="s">
        <v>9</v>
      </c>
      <c r="B57" s="670"/>
      <c r="C57" s="585"/>
      <c r="D57" s="6" t="s">
        <v>24</v>
      </c>
      <c r="E57" s="602"/>
      <c r="F57" s="602"/>
      <c r="G57" s="602"/>
      <c r="H57" s="596"/>
      <c r="I57" s="602"/>
      <c r="J57" s="596" t="s">
        <v>25</v>
      </c>
      <c r="K57" s="5"/>
      <c r="L57" s="4"/>
      <c r="M57" s="5"/>
    </row>
    <row r="58" spans="1:13" ht="15.75" thickBot="1">
      <c r="A58" s="787" t="s">
        <v>11</v>
      </c>
      <c r="B58" s="271"/>
      <c r="C58" s="274" t="s">
        <v>28</v>
      </c>
      <c r="D58" s="968" t="s">
        <v>26</v>
      </c>
      <c r="E58" s="38" t="s">
        <v>27</v>
      </c>
      <c r="F58" s="372"/>
      <c r="G58" s="46" t="s">
        <v>14</v>
      </c>
      <c r="H58" s="46"/>
      <c r="I58" s="372"/>
      <c r="J58" s="969" t="s">
        <v>365</v>
      </c>
      <c r="K58" s="5"/>
      <c r="L58" s="4"/>
      <c r="M58" s="1"/>
    </row>
    <row r="59" spans="1:13">
      <c r="D59" s="5"/>
      <c r="E59" s="5"/>
      <c r="F59" s="5"/>
      <c r="G59" s="5"/>
      <c r="H59" s="5"/>
      <c r="I59" s="5"/>
      <c r="J59" s="5"/>
      <c r="K59" s="5"/>
      <c r="L59" s="5"/>
      <c r="M59" s="1"/>
    </row>
    <row r="60" spans="1:13">
      <c r="A60" s="778"/>
      <c r="C60" s="3"/>
      <c r="D60" s="5"/>
      <c r="E60" s="5"/>
      <c r="F60" s="5"/>
      <c r="G60" s="5"/>
      <c r="H60" s="5"/>
      <c r="I60" s="5"/>
      <c r="J60" s="5"/>
      <c r="K60" s="5"/>
      <c r="L60" s="5"/>
      <c r="M60" s="1"/>
    </row>
    <row r="61" spans="1:13">
      <c r="A61" s="778"/>
      <c r="C61" s="582" t="s">
        <v>29</v>
      </c>
      <c r="D61" s="5"/>
      <c r="E61" s="5"/>
      <c r="F61" s="5"/>
      <c r="G61" s="5"/>
      <c r="H61" s="5"/>
      <c r="I61" s="5"/>
      <c r="J61" s="5"/>
      <c r="K61" s="5"/>
      <c r="L61" s="5"/>
      <c r="M61" s="1"/>
    </row>
    <row r="62" spans="1:13">
      <c r="A62" s="778">
        <v>1</v>
      </c>
      <c r="C62" s="585" t="s">
        <v>30</v>
      </c>
      <c r="D62" s="956" t="s">
        <v>193</v>
      </c>
      <c r="E62" s="414">
        <f>INPUT!C9</f>
        <v>0</v>
      </c>
      <c r="F62" s="5"/>
      <c r="G62" s="5" t="s">
        <v>31</v>
      </c>
      <c r="H62" s="14" t="s">
        <v>8</v>
      </c>
      <c r="I62" s="5"/>
      <c r="J62" s="212"/>
      <c r="K62" s="5"/>
      <c r="L62" s="5"/>
      <c r="M62" s="1"/>
    </row>
    <row r="63" spans="1:13">
      <c r="A63" s="778">
        <v>2</v>
      </c>
      <c r="C63" s="585" t="s">
        <v>32</v>
      </c>
      <c r="D63" s="956" t="s">
        <v>181</v>
      </c>
      <c r="E63" s="340">
        <f>INPUT!C10</f>
        <v>809377209</v>
      </c>
      <c r="F63" s="5"/>
      <c r="G63" s="5" t="s">
        <v>15</v>
      </c>
      <c r="H63" s="14">
        <f>J194</f>
        <v>1</v>
      </c>
      <c r="I63" s="5"/>
      <c r="J63" s="80">
        <f>ROUND(H63*E63,0)</f>
        <v>809377209</v>
      </c>
      <c r="K63" s="5"/>
      <c r="L63" s="5"/>
      <c r="M63" s="1"/>
    </row>
    <row r="64" spans="1:13">
      <c r="A64" s="778">
        <v>3</v>
      </c>
      <c r="C64" s="585" t="s">
        <v>33</v>
      </c>
      <c r="D64" s="956" t="s">
        <v>182</v>
      </c>
      <c r="E64" s="340">
        <f>INPUT!C11</f>
        <v>2553244981</v>
      </c>
      <c r="F64" s="5"/>
      <c r="G64" s="5" t="s">
        <v>31</v>
      </c>
      <c r="H64" s="14" t="s">
        <v>8</v>
      </c>
      <c r="I64" s="5"/>
      <c r="J64" s="212"/>
      <c r="K64" s="5"/>
      <c r="L64" s="5"/>
      <c r="M64" s="1"/>
    </row>
    <row r="65" spans="1:13" ht="16.899999999999999" customHeight="1">
      <c r="A65" s="778">
        <v>4</v>
      </c>
      <c r="C65" s="585" t="s">
        <v>34</v>
      </c>
      <c r="D65" s="956" t="s">
        <v>0</v>
      </c>
      <c r="E65" s="340">
        <f>INPUT!C12</f>
        <v>279669057</v>
      </c>
      <c r="F65" s="5"/>
      <c r="G65" s="5" t="s">
        <v>152</v>
      </c>
      <c r="H65" s="14">
        <f>DEOWagesAllocator</f>
        <v>0.15110999999999999</v>
      </c>
      <c r="I65" s="5"/>
      <c r="J65" s="212">
        <f>ROUND(H65*E65,0)</f>
        <v>42260791</v>
      </c>
      <c r="K65" s="5"/>
      <c r="L65" s="5"/>
      <c r="M65" s="5"/>
    </row>
    <row r="66" spans="1:13" ht="15.75" thickBot="1">
      <c r="A66" s="778">
        <v>5</v>
      </c>
      <c r="C66" s="585" t="s">
        <v>35</v>
      </c>
      <c r="D66" s="956" t="s">
        <v>577</v>
      </c>
      <c r="E66" s="412">
        <f>INPUT!C13</f>
        <v>231150112</v>
      </c>
      <c r="F66" s="5"/>
      <c r="G66" s="5" t="s">
        <v>80</v>
      </c>
      <c r="H66" s="14">
        <f>L217</f>
        <v>0.10142</v>
      </c>
      <c r="I66" s="5"/>
      <c r="J66" s="213">
        <f>ROUND(H66*E66,0)</f>
        <v>23443244</v>
      </c>
      <c r="K66" s="5"/>
      <c r="L66" s="5"/>
      <c r="M66" s="5"/>
    </row>
    <row r="67" spans="1:13">
      <c r="A67" s="778">
        <v>6</v>
      </c>
      <c r="C67" s="585" t="s">
        <v>36</v>
      </c>
      <c r="D67" s="956"/>
      <c r="E67" s="80">
        <f>SUM(E62:E66)</f>
        <v>3873441359</v>
      </c>
      <c r="F67" s="5"/>
      <c r="G67" s="5" t="s">
        <v>37</v>
      </c>
      <c r="H67" s="14">
        <f>IF(J67&gt;0,ROUND(J67/E67,5),0)</f>
        <v>0.22592000000000001</v>
      </c>
      <c r="I67" s="5"/>
      <c r="J67" s="80">
        <f>SUM(J62:J66)</f>
        <v>875081244</v>
      </c>
      <c r="K67" s="5"/>
      <c r="L67" s="18"/>
      <c r="M67" s="1"/>
    </row>
    <row r="68" spans="1:13">
      <c r="C68" s="582"/>
      <c r="D68" s="956"/>
      <c r="E68" s="210"/>
      <c r="F68" s="5"/>
      <c r="G68" s="5"/>
      <c r="H68" s="18"/>
      <c r="I68" s="5"/>
      <c r="J68" s="212"/>
      <c r="K68" s="5"/>
      <c r="L68" s="18"/>
      <c r="M68" s="1"/>
    </row>
    <row r="69" spans="1:13">
      <c r="C69" s="585" t="s">
        <v>645</v>
      </c>
      <c r="D69" s="956"/>
      <c r="E69" s="210"/>
      <c r="F69" s="5"/>
      <c r="G69" s="5"/>
      <c r="H69" s="5"/>
      <c r="I69" s="5"/>
      <c r="J69" s="212"/>
      <c r="K69" s="5"/>
      <c r="L69" s="5"/>
      <c r="M69" s="1"/>
    </row>
    <row r="70" spans="1:13">
      <c r="A70" s="778">
        <v>7</v>
      </c>
      <c r="C70" s="585" t="s">
        <v>30</v>
      </c>
      <c r="D70" s="956" t="s">
        <v>694</v>
      </c>
      <c r="E70" s="414">
        <f>INPUT!C17</f>
        <v>0</v>
      </c>
      <c r="F70" s="5"/>
      <c r="G70" s="5" t="str">
        <f t="shared" ref="G70:H74" si="1">G62</f>
        <v>NA</v>
      </c>
      <c r="H70" s="14" t="str">
        <f t="shared" si="1"/>
        <v xml:space="preserve"> </v>
      </c>
      <c r="I70" s="5"/>
      <c r="J70" s="212"/>
      <c r="K70" s="5"/>
      <c r="L70" s="5"/>
      <c r="M70" s="1"/>
    </row>
    <row r="71" spans="1:13">
      <c r="A71" s="778">
        <v>8</v>
      </c>
      <c r="C71" s="585" t="s">
        <v>32</v>
      </c>
      <c r="D71" s="956" t="s">
        <v>164</v>
      </c>
      <c r="E71" s="340">
        <f>INPUT!C18</f>
        <v>238222237</v>
      </c>
      <c r="F71" s="5"/>
      <c r="G71" s="5" t="str">
        <f t="shared" si="1"/>
        <v>TP</v>
      </c>
      <c r="H71" s="14">
        <f t="shared" si="1"/>
        <v>1</v>
      </c>
      <c r="I71" s="5"/>
      <c r="J71" s="80">
        <f>ROUND(H71*E71,0)</f>
        <v>238222237</v>
      </c>
      <c r="K71" s="5"/>
      <c r="L71" s="5"/>
      <c r="M71" s="1"/>
    </row>
    <row r="72" spans="1:13">
      <c r="A72" s="778">
        <v>9</v>
      </c>
      <c r="C72" s="585" t="s">
        <v>33</v>
      </c>
      <c r="D72" s="956" t="s">
        <v>165</v>
      </c>
      <c r="E72" s="340">
        <f>INPUT!C19</f>
        <v>756200700</v>
      </c>
      <c r="F72" s="5"/>
      <c r="G72" s="5" t="str">
        <f t="shared" si="1"/>
        <v>NA</v>
      </c>
      <c r="H72" s="14" t="str">
        <f t="shared" si="1"/>
        <v xml:space="preserve"> </v>
      </c>
      <c r="I72" s="5"/>
      <c r="J72" s="212"/>
      <c r="K72" s="5"/>
      <c r="L72" s="5"/>
      <c r="M72" s="1"/>
    </row>
    <row r="73" spans="1:13">
      <c r="A73" s="778">
        <v>10</v>
      </c>
      <c r="C73" s="585" t="s">
        <v>34</v>
      </c>
      <c r="D73" s="956" t="s">
        <v>532</v>
      </c>
      <c r="E73" s="340">
        <f>INPUT!C20</f>
        <v>112219175</v>
      </c>
      <c r="F73" s="5"/>
      <c r="G73" s="602" t="str">
        <f>G65</f>
        <v>WS</v>
      </c>
      <c r="H73" s="14">
        <f>DEOWagesAllocator</f>
        <v>0.15110999999999999</v>
      </c>
      <c r="I73" s="5"/>
      <c r="J73" s="212">
        <f>ROUND(H73*E73,0)</f>
        <v>16957440</v>
      </c>
      <c r="K73" s="5"/>
      <c r="L73" s="5"/>
      <c r="M73" s="1"/>
    </row>
    <row r="74" spans="1:13" ht="15.75" thickBot="1">
      <c r="A74" s="778">
        <v>11</v>
      </c>
      <c r="C74" s="585" t="s">
        <v>35</v>
      </c>
      <c r="D74" s="956" t="s">
        <v>577</v>
      </c>
      <c r="E74" s="412">
        <f>INPUT!C21</f>
        <v>86909331</v>
      </c>
      <c r="F74" s="5"/>
      <c r="G74" s="5" t="str">
        <f t="shared" si="1"/>
        <v>CE</v>
      </c>
      <c r="H74" s="14">
        <f t="shared" si="1"/>
        <v>0.10142</v>
      </c>
      <c r="I74" s="5"/>
      <c r="J74" s="213">
        <f>ROUND(H74*E74,0)</f>
        <v>8814344</v>
      </c>
      <c r="K74" s="5"/>
      <c r="L74" s="5"/>
      <c r="M74" s="1"/>
    </row>
    <row r="75" spans="1:13">
      <c r="A75" s="778">
        <v>12</v>
      </c>
      <c r="C75" s="585" t="s">
        <v>646</v>
      </c>
      <c r="D75" s="956"/>
      <c r="E75" s="80">
        <f>SUM(E70:E74)</f>
        <v>1193551443</v>
      </c>
      <c r="F75" s="5"/>
      <c r="G75" s="5"/>
      <c r="H75" s="5"/>
      <c r="I75" s="5"/>
      <c r="J75" s="80">
        <f>SUM(J70:J74)</f>
        <v>263994021</v>
      </c>
      <c r="K75" s="5"/>
      <c r="L75" s="5"/>
      <c r="M75" s="1"/>
    </row>
    <row r="76" spans="1:13">
      <c r="A76" s="778"/>
      <c r="C76" s="581"/>
      <c r="D76" s="956" t="s">
        <v>8</v>
      </c>
      <c r="E76" s="210"/>
      <c r="F76" s="5"/>
      <c r="G76" s="5"/>
      <c r="H76" s="18"/>
      <c r="I76" s="5"/>
      <c r="J76" s="212"/>
      <c r="K76" s="5"/>
      <c r="L76" s="18"/>
      <c r="M76" s="1"/>
    </row>
    <row r="77" spans="1:13">
      <c r="A77" s="778"/>
      <c r="C77" s="585" t="s">
        <v>39</v>
      </c>
      <c r="D77" s="956"/>
      <c r="E77" s="210"/>
      <c r="F77" s="5"/>
      <c r="G77" s="5"/>
      <c r="H77" s="5"/>
      <c r="I77" s="5"/>
      <c r="J77" s="212"/>
      <c r="K77" s="5"/>
      <c r="L77" s="5"/>
      <c r="M77" s="1"/>
    </row>
    <row r="78" spans="1:13">
      <c r="A78" s="778">
        <v>13</v>
      </c>
      <c r="C78" s="585" t="s">
        <v>30</v>
      </c>
      <c r="D78" s="956" t="s">
        <v>363</v>
      </c>
      <c r="E78" s="80">
        <f>E62-E70</f>
        <v>0</v>
      </c>
      <c r="F78" s="5"/>
      <c r="G78" s="5"/>
      <c r="H78" s="18"/>
      <c r="I78" s="5"/>
      <c r="J78" s="212" t="s">
        <v>8</v>
      </c>
      <c r="K78" s="5"/>
      <c r="L78" s="18"/>
      <c r="M78" s="1"/>
    </row>
    <row r="79" spans="1:13">
      <c r="A79" s="778">
        <v>14</v>
      </c>
      <c r="C79" s="585" t="s">
        <v>32</v>
      </c>
      <c r="D79" s="956" t="s">
        <v>364</v>
      </c>
      <c r="E79" s="210">
        <f>E63-E71</f>
        <v>571154972</v>
      </c>
      <c r="F79" s="5"/>
      <c r="G79" s="5"/>
      <c r="H79" s="14"/>
      <c r="I79" s="5"/>
      <c r="J79" s="80">
        <f>J63-J71</f>
        <v>571154972</v>
      </c>
      <c r="K79" s="5"/>
      <c r="L79" s="18"/>
      <c r="M79" s="1"/>
    </row>
    <row r="80" spans="1:13">
      <c r="A80" s="778">
        <v>15</v>
      </c>
      <c r="C80" s="585" t="s">
        <v>33</v>
      </c>
      <c r="D80" s="956" t="s">
        <v>40</v>
      </c>
      <c r="E80" s="210">
        <f>E64-E72</f>
        <v>1797044281</v>
      </c>
      <c r="F80" s="5"/>
      <c r="G80" s="5"/>
      <c r="H80" s="18"/>
      <c r="I80" s="5"/>
      <c r="J80" s="212" t="s">
        <v>8</v>
      </c>
      <c r="K80" s="5"/>
      <c r="L80" s="18"/>
      <c r="M80" s="1"/>
    </row>
    <row r="81" spans="1:13">
      <c r="A81" s="778">
        <v>16</v>
      </c>
      <c r="C81" s="585" t="s">
        <v>34</v>
      </c>
      <c r="D81" s="956" t="s">
        <v>41</v>
      </c>
      <c r="E81" s="210">
        <f>E65-E73</f>
        <v>167449882</v>
      </c>
      <c r="F81" s="5"/>
      <c r="G81" s="5"/>
      <c r="H81" s="18"/>
      <c r="I81" s="5"/>
      <c r="J81" s="212">
        <f>J65-J73</f>
        <v>25303351</v>
      </c>
      <c r="K81" s="5"/>
      <c r="L81" s="18"/>
      <c r="M81" s="1"/>
    </row>
    <row r="82" spans="1:13" ht="15.75" thickBot="1">
      <c r="A82" s="778">
        <v>17</v>
      </c>
      <c r="C82" s="585" t="s">
        <v>35</v>
      </c>
      <c r="D82" s="956" t="s">
        <v>42</v>
      </c>
      <c r="E82" s="211">
        <f>E66-E74</f>
        <v>144240781</v>
      </c>
      <c r="F82" s="5"/>
      <c r="G82" s="5"/>
      <c r="H82" s="18"/>
      <c r="I82" s="5"/>
      <c r="J82" s="213">
        <f>J66-J74</f>
        <v>14628900</v>
      </c>
      <c r="K82" s="5"/>
      <c r="L82" s="18"/>
      <c r="M82" s="1"/>
    </row>
    <row r="83" spans="1:13">
      <c r="A83" s="778">
        <v>18</v>
      </c>
      <c r="C83" s="585" t="s">
        <v>43</v>
      </c>
      <c r="D83" s="956"/>
      <c r="E83" s="80">
        <f>SUM(E78:E82)</f>
        <v>2679889916</v>
      </c>
      <c r="F83" s="5"/>
      <c r="G83" s="5" t="s">
        <v>44</v>
      </c>
      <c r="H83" s="14">
        <f>IF(J83&gt;0,ROUND(J83/E83,5),0)</f>
        <v>0.22803000000000001</v>
      </c>
      <c r="I83" s="5"/>
      <c r="J83" s="80">
        <f>SUM(J78:J82)</f>
        <v>611087223</v>
      </c>
      <c r="K83" s="5"/>
      <c r="L83" s="5"/>
      <c r="M83" s="1"/>
    </row>
    <row r="84" spans="1:13">
      <c r="A84" s="778"/>
      <c r="C84" s="581"/>
      <c r="D84" s="956"/>
      <c r="E84" s="210"/>
      <c r="F84" s="5"/>
      <c r="I84" s="5"/>
      <c r="J84" s="212"/>
      <c r="K84" s="5"/>
      <c r="L84" s="18"/>
      <c r="M84" s="1"/>
    </row>
    <row r="85" spans="1:13">
      <c r="A85" s="778"/>
      <c r="C85" s="584" t="s">
        <v>684</v>
      </c>
      <c r="D85" s="956"/>
      <c r="E85" s="210"/>
      <c r="F85" s="5"/>
      <c r="G85" s="5"/>
      <c r="H85" s="5"/>
      <c r="I85" s="5"/>
      <c r="J85" s="212"/>
      <c r="K85" s="5"/>
      <c r="L85" s="5"/>
      <c r="M85" s="1"/>
    </row>
    <row r="86" spans="1:13">
      <c r="A86" s="778">
        <v>19</v>
      </c>
      <c r="C86" s="585" t="s">
        <v>126</v>
      </c>
      <c r="D86" s="956" t="s">
        <v>45</v>
      </c>
      <c r="E86" s="414">
        <f>INPUT!C33</f>
        <v>0</v>
      </c>
      <c r="F86" s="35"/>
      <c r="G86" s="35" t="str">
        <f>G70</f>
        <v>NA</v>
      </c>
      <c r="H86" s="77" t="s">
        <v>158</v>
      </c>
      <c r="I86" s="5"/>
      <c r="J86" s="80">
        <v>0</v>
      </c>
      <c r="K86" s="5"/>
      <c r="L86" s="18"/>
      <c r="M86" s="1"/>
    </row>
    <row r="87" spans="1:13">
      <c r="A87" s="778">
        <v>20</v>
      </c>
      <c r="B87" s="12" t="s">
        <v>163</v>
      </c>
      <c r="C87" s="585" t="s">
        <v>127</v>
      </c>
      <c r="D87" s="956" t="s">
        <v>647</v>
      </c>
      <c r="E87" s="489">
        <f>INPUT!C34</f>
        <v>-736239876</v>
      </c>
      <c r="F87" s="5"/>
      <c r="G87" s="5" t="s">
        <v>46</v>
      </c>
      <c r="H87" s="14">
        <f>H83</f>
        <v>0.22803000000000001</v>
      </c>
      <c r="I87" s="5"/>
      <c r="J87" s="212">
        <f>ROUND(H87*E87,0)</f>
        <v>-167884779</v>
      </c>
      <c r="K87" s="5"/>
      <c r="L87" s="18"/>
      <c r="M87" s="1"/>
    </row>
    <row r="88" spans="1:13">
      <c r="A88" s="778">
        <v>21</v>
      </c>
      <c r="C88" s="585" t="s">
        <v>128</v>
      </c>
      <c r="D88" s="956" t="s">
        <v>648</v>
      </c>
      <c r="E88" s="489">
        <f>INPUT!C35</f>
        <v>-38535859</v>
      </c>
      <c r="F88" s="5"/>
      <c r="G88" s="5" t="s">
        <v>46</v>
      </c>
      <c r="H88" s="14">
        <f>H87</f>
        <v>0.22803000000000001</v>
      </c>
      <c r="I88" s="5"/>
      <c r="J88" s="212">
        <f>ROUND(H88*E88,0)</f>
        <v>-8787332</v>
      </c>
      <c r="K88" s="5"/>
      <c r="L88" s="18"/>
      <c r="M88" s="1"/>
    </row>
    <row r="89" spans="1:13">
      <c r="A89" s="778">
        <v>22</v>
      </c>
      <c r="C89" s="585" t="s">
        <v>130</v>
      </c>
      <c r="D89" s="956" t="s">
        <v>649</v>
      </c>
      <c r="E89" s="489">
        <f>INPUT!C36</f>
        <v>35926835</v>
      </c>
      <c r="F89" s="5"/>
      <c r="G89" s="5" t="str">
        <f>G88</f>
        <v>NP</v>
      </c>
      <c r="H89" s="14">
        <f>H88</f>
        <v>0.22803000000000001</v>
      </c>
      <c r="I89" s="5"/>
      <c r="J89" s="212">
        <f>ROUND(H89*E89,0)</f>
        <v>8192396</v>
      </c>
      <c r="K89" s="5"/>
      <c r="L89" s="18"/>
      <c r="M89" s="1"/>
    </row>
    <row r="90" spans="1:13" ht="15.75" thickBot="1">
      <c r="A90" s="778">
        <v>23</v>
      </c>
      <c r="C90" s="670" t="s">
        <v>650</v>
      </c>
      <c r="D90" s="956" t="s">
        <v>175</v>
      </c>
      <c r="E90" s="761">
        <f>INPUT!C37</f>
        <v>0</v>
      </c>
      <c r="F90" s="5"/>
      <c r="G90" s="5" t="s">
        <v>46</v>
      </c>
      <c r="H90" s="14">
        <f>H88</f>
        <v>0.22803000000000001</v>
      </c>
      <c r="I90" s="5"/>
      <c r="J90" s="215">
        <f>ROUND(H90*E90,0)</f>
        <v>0</v>
      </c>
      <c r="K90" s="5"/>
      <c r="L90" s="18"/>
      <c r="M90" s="1"/>
    </row>
    <row r="91" spans="1:13">
      <c r="A91" s="778">
        <v>24</v>
      </c>
      <c r="C91" s="585" t="s">
        <v>685</v>
      </c>
      <c r="D91" s="956"/>
      <c r="E91" s="762">
        <f>SUM(E86:E90)</f>
        <v>-738848900</v>
      </c>
      <c r="F91" s="5"/>
      <c r="G91" s="5"/>
      <c r="H91" s="5"/>
      <c r="I91" s="5"/>
      <c r="J91" s="762">
        <f>SUM(J86:J90)</f>
        <v>-168479715</v>
      </c>
      <c r="K91" s="5"/>
      <c r="L91" s="5"/>
      <c r="M91" s="1"/>
    </row>
    <row r="92" spans="1:13">
      <c r="A92" s="778"/>
      <c r="C92" s="615"/>
      <c r="D92" s="956"/>
      <c r="E92" s="210"/>
      <c r="F92" s="5"/>
      <c r="G92" s="5"/>
      <c r="H92" s="18"/>
      <c r="I92" s="5"/>
      <c r="J92" s="212"/>
      <c r="K92" s="5"/>
      <c r="L92" s="18"/>
      <c r="M92" s="1"/>
    </row>
    <row r="93" spans="1:13">
      <c r="A93" s="778">
        <v>25</v>
      </c>
      <c r="C93" s="584" t="s">
        <v>376</v>
      </c>
      <c r="D93" s="956" t="s">
        <v>351</v>
      </c>
      <c r="E93" s="414">
        <f>INPUT!C40</f>
        <v>285810</v>
      </c>
      <c r="F93" s="35"/>
      <c r="G93" s="35"/>
      <c r="H93" s="413">
        <v>1</v>
      </c>
      <c r="I93" s="5"/>
      <c r="J93" s="80">
        <f>ROUND(H93*E93,0)</f>
        <v>285810</v>
      </c>
      <c r="K93" s="5"/>
      <c r="L93" s="5"/>
      <c r="M93" s="1"/>
    </row>
    <row r="94" spans="1:13">
      <c r="A94" s="778"/>
      <c r="C94" s="585"/>
      <c r="D94" s="956"/>
      <c r="E94" s="210"/>
      <c r="F94" s="5"/>
      <c r="G94" s="5"/>
      <c r="H94" s="5"/>
      <c r="I94" s="5"/>
      <c r="J94" s="212"/>
      <c r="K94" s="5"/>
      <c r="L94" s="5"/>
      <c r="M94" s="1"/>
    </row>
    <row r="95" spans="1:13">
      <c r="A95" s="778"/>
      <c r="C95" s="591" t="s">
        <v>389</v>
      </c>
      <c r="D95" s="956" t="s">
        <v>8</v>
      </c>
      <c r="E95" s="210"/>
      <c r="F95" s="5"/>
      <c r="G95" s="5"/>
      <c r="H95" s="5"/>
      <c r="I95" s="5"/>
      <c r="J95" s="212"/>
      <c r="K95" s="5"/>
      <c r="L95" s="5"/>
      <c r="M95" s="1"/>
    </row>
    <row r="96" spans="1:13">
      <c r="A96" s="778">
        <v>26</v>
      </c>
      <c r="C96" s="585" t="s">
        <v>153</v>
      </c>
      <c r="D96" s="956" t="s">
        <v>151</v>
      </c>
      <c r="E96" s="80">
        <f>ROUND(E135/8,0)</f>
        <v>8701280</v>
      </c>
      <c r="F96" s="5"/>
      <c r="G96" s="5"/>
      <c r="H96" s="18"/>
      <c r="I96" s="5"/>
      <c r="J96" s="481">
        <f>ROUND(J135/8,0)</f>
        <v>2834901</v>
      </c>
      <c r="K96" s="1"/>
      <c r="L96" s="18"/>
      <c r="M96" s="1"/>
    </row>
    <row r="97" spans="1:13">
      <c r="A97" s="778">
        <v>27</v>
      </c>
      <c r="C97" s="591" t="s">
        <v>390</v>
      </c>
      <c r="D97" s="956" t="s">
        <v>538</v>
      </c>
      <c r="E97" s="340">
        <f>INPUT!C44</f>
        <v>20806236</v>
      </c>
      <c r="F97" s="5"/>
      <c r="G97" s="5" t="s">
        <v>47</v>
      </c>
      <c r="H97" s="14">
        <f>J204</f>
        <v>0.91705000000000003</v>
      </c>
      <c r="I97" s="5"/>
      <c r="J97" s="212">
        <f>ROUND(H97*E97,0)</f>
        <v>19080359</v>
      </c>
      <c r="K97" s="5" t="s">
        <v>8</v>
      </c>
      <c r="L97" s="18"/>
      <c r="M97" s="1"/>
    </row>
    <row r="98" spans="1:13" ht="15.75" thickBot="1">
      <c r="A98" s="778">
        <v>28</v>
      </c>
      <c r="C98" s="585" t="s">
        <v>131</v>
      </c>
      <c r="D98" s="956" t="s">
        <v>179</v>
      </c>
      <c r="E98" s="412">
        <f>INPUT!C45</f>
        <v>344934</v>
      </c>
      <c r="F98" s="5"/>
      <c r="G98" s="5" t="s">
        <v>48</v>
      </c>
      <c r="H98" s="14">
        <f>H67</f>
        <v>0.22592000000000001</v>
      </c>
      <c r="I98" s="5"/>
      <c r="J98" s="213">
        <f>ROUND(H98*E98,0)</f>
        <v>77927</v>
      </c>
      <c r="K98" s="5"/>
      <c r="L98" s="18"/>
      <c r="M98" s="1"/>
    </row>
    <row r="99" spans="1:13">
      <c r="A99" s="778">
        <v>29</v>
      </c>
      <c r="C99" s="585" t="s">
        <v>686</v>
      </c>
      <c r="D99" s="953"/>
      <c r="E99" s="338">
        <f>E96+E97+E98</f>
        <v>29852450</v>
      </c>
      <c r="F99" s="1"/>
      <c r="G99" s="1"/>
      <c r="H99" s="1"/>
      <c r="I99" s="1"/>
      <c r="J99" s="338">
        <f>J96+J97+J98</f>
        <v>21993187</v>
      </c>
      <c r="K99" s="1"/>
      <c r="L99" s="1"/>
      <c r="M99" s="1"/>
    </row>
    <row r="100" spans="1:13" ht="15.75" thickBot="1">
      <c r="C100" s="615"/>
      <c r="D100" s="956"/>
      <c r="E100" s="213"/>
      <c r="F100" s="5"/>
      <c r="G100" s="5"/>
      <c r="H100" s="5"/>
      <c r="I100" s="5"/>
      <c r="J100" s="213"/>
      <c r="K100" s="5"/>
      <c r="L100" s="5"/>
      <c r="M100" s="1"/>
    </row>
    <row r="101" spans="1:13" ht="15.75" thickBot="1">
      <c r="A101" s="778">
        <v>30</v>
      </c>
      <c r="C101" s="585" t="s">
        <v>687</v>
      </c>
      <c r="D101" s="760"/>
      <c r="E101" s="339">
        <f>E99+E93+E91+E83</f>
        <v>1971179276</v>
      </c>
      <c r="F101" s="5"/>
      <c r="G101" s="5"/>
      <c r="H101" s="18"/>
      <c r="I101" s="5"/>
      <c r="J101" s="339">
        <f>J99+J93+J91+J83</f>
        <v>464886505</v>
      </c>
      <c r="K101" s="5"/>
      <c r="L101" s="18"/>
      <c r="M101" s="5"/>
    </row>
    <row r="102" spans="1:13" ht="15.75" thickTop="1">
      <c r="A102" s="778"/>
      <c r="C102" s="3"/>
      <c r="D102" s="5"/>
      <c r="E102" s="5"/>
      <c r="F102" s="5"/>
      <c r="G102" s="5"/>
      <c r="H102" s="5"/>
      <c r="I102" s="5"/>
      <c r="J102" s="5"/>
      <c r="K102" s="5"/>
      <c r="L102" s="5"/>
      <c r="M102" s="5"/>
    </row>
    <row r="103" spans="1:13">
      <c r="A103" s="778"/>
      <c r="C103" s="3"/>
      <c r="D103" s="27"/>
      <c r="E103" s="28"/>
      <c r="F103" s="27"/>
      <c r="G103" s="27"/>
      <c r="H103" s="27"/>
      <c r="I103" s="29"/>
      <c r="K103" s="30"/>
      <c r="L103" s="88"/>
      <c r="M103" s="30"/>
    </row>
    <row r="104" spans="1:13" ht="18">
      <c r="A104" s="781"/>
      <c r="C104" s="27"/>
      <c r="D104" s="27"/>
      <c r="E104" s="28"/>
      <c r="F104" s="27"/>
      <c r="G104" s="27"/>
      <c r="H104" s="27"/>
      <c r="I104" s="29"/>
      <c r="J104" s="74" t="s">
        <v>318</v>
      </c>
      <c r="K104" s="87"/>
      <c r="M104" s="87"/>
    </row>
    <row r="105" spans="1:13">
      <c r="C105" s="27"/>
      <c r="D105" s="27"/>
      <c r="E105" s="28"/>
      <c r="F105" s="27"/>
      <c r="G105" s="27"/>
      <c r="H105" s="27"/>
      <c r="I105" s="29"/>
      <c r="J105" s="74" t="s">
        <v>442</v>
      </c>
      <c r="M105" s="74"/>
    </row>
    <row r="106" spans="1:13">
      <c r="C106" s="27"/>
      <c r="D106" s="27"/>
      <c r="E106" s="28"/>
      <c r="F106" s="27"/>
      <c r="G106" s="27"/>
      <c r="H106" s="27"/>
      <c r="I106" s="29"/>
      <c r="J106" s="74"/>
      <c r="M106" s="74"/>
    </row>
    <row r="107" spans="1:13">
      <c r="C107" s="27"/>
      <c r="D107" s="27"/>
      <c r="E107" s="28"/>
      <c r="F107" s="27"/>
      <c r="G107" s="27"/>
      <c r="H107" s="27"/>
      <c r="I107" s="29"/>
      <c r="M107" s="74"/>
    </row>
    <row r="108" spans="1:13">
      <c r="C108" s="27"/>
      <c r="D108" s="27"/>
      <c r="E108" s="28"/>
      <c r="F108" s="27"/>
      <c r="G108" s="27"/>
      <c r="H108" s="27"/>
      <c r="I108" s="29"/>
      <c r="K108" s="1"/>
      <c r="M108" s="74"/>
    </row>
    <row r="109" spans="1:13">
      <c r="C109" s="27"/>
      <c r="D109" s="27"/>
      <c r="E109" s="28"/>
      <c r="F109" s="27"/>
      <c r="G109" s="27"/>
      <c r="H109" s="27"/>
      <c r="I109" s="29"/>
      <c r="J109" s="74"/>
      <c r="K109" s="1"/>
      <c r="M109" s="74"/>
    </row>
    <row r="110" spans="1:13">
      <c r="C110" s="27" t="s">
        <v>7</v>
      </c>
      <c r="D110" s="27"/>
      <c r="E110" s="28"/>
      <c r="F110" s="27"/>
      <c r="G110" s="27"/>
      <c r="H110" s="27"/>
      <c r="I110" s="29"/>
      <c r="J110" s="88" t="str">
        <f>J7</f>
        <v>For the 12 months ended: 12/31/2017</v>
      </c>
      <c r="K110" s="1"/>
      <c r="M110" s="74"/>
    </row>
    <row r="111" spans="1:13">
      <c r="A111" s="782" t="str">
        <f>A8</f>
        <v>Rate Formula Template</v>
      </c>
      <c r="B111" s="260"/>
      <c r="C111" s="260"/>
      <c r="D111" s="254"/>
      <c r="E111" s="109"/>
      <c r="F111" s="254"/>
      <c r="G111" s="254"/>
      <c r="H111" s="254"/>
      <c r="I111" s="254"/>
      <c r="J111" s="109"/>
      <c r="K111" s="5"/>
      <c r="L111" s="109"/>
      <c r="M111" s="1"/>
    </row>
    <row r="112" spans="1:13">
      <c r="A112" s="783" t="s">
        <v>289</v>
      </c>
      <c r="B112" s="260"/>
      <c r="C112" s="258"/>
      <c r="D112" s="256"/>
      <c r="E112" s="109"/>
      <c r="F112" s="256"/>
      <c r="G112" s="256"/>
      <c r="H112" s="256"/>
      <c r="I112" s="254"/>
      <c r="J112" s="254"/>
      <c r="K112" s="5"/>
      <c r="L112" s="257"/>
      <c r="M112" s="1"/>
    </row>
    <row r="113" spans="1:13">
      <c r="A113" s="783"/>
      <c r="B113" s="260"/>
      <c r="C113" s="255"/>
      <c r="D113" s="257"/>
      <c r="E113" s="109"/>
      <c r="F113" s="257"/>
      <c r="G113" s="257"/>
      <c r="H113" s="257"/>
      <c r="I113" s="257"/>
      <c r="J113" s="257"/>
      <c r="K113" s="5"/>
      <c r="L113" s="257"/>
      <c r="M113" s="1"/>
    </row>
    <row r="114" spans="1:13" ht="15.75">
      <c r="A114" s="967" t="str">
        <f>$A$11</f>
        <v>DUKE ENERGY OHIO (DEO)</v>
      </c>
      <c r="B114" s="260"/>
      <c r="C114" s="255"/>
      <c r="D114" s="257"/>
      <c r="E114" s="109"/>
      <c r="F114" s="257"/>
      <c r="G114" s="257"/>
      <c r="H114" s="257"/>
      <c r="I114" s="257"/>
      <c r="J114" s="257"/>
      <c r="K114" s="5"/>
      <c r="L114" s="257"/>
      <c r="M114" s="5"/>
    </row>
    <row r="115" spans="1:13">
      <c r="A115" s="778"/>
      <c r="K115" s="5"/>
      <c r="L115" s="5"/>
      <c r="M115" s="5"/>
    </row>
    <row r="116" spans="1:13" ht="15.75">
      <c r="A116" s="778"/>
      <c r="C116" s="4" t="s">
        <v>19</v>
      </c>
      <c r="D116" s="4" t="s">
        <v>20</v>
      </c>
      <c r="E116" s="4" t="s">
        <v>21</v>
      </c>
      <c r="F116" s="5" t="s">
        <v>8</v>
      </c>
      <c r="G116" s="5"/>
      <c r="H116" s="7" t="s">
        <v>22</v>
      </c>
      <c r="I116" s="5"/>
      <c r="J116" s="8" t="s">
        <v>23</v>
      </c>
      <c r="K116" s="5"/>
      <c r="L116" s="31"/>
      <c r="M116" s="29"/>
    </row>
    <row r="117" spans="1:13" ht="15.75">
      <c r="A117" s="786" t="s">
        <v>9</v>
      </c>
      <c r="B117" s="276"/>
      <c r="C117" s="278"/>
      <c r="D117" s="6" t="s">
        <v>24</v>
      </c>
      <c r="E117" s="602"/>
      <c r="F117" s="602"/>
      <c r="G117" s="602"/>
      <c r="H117" s="596"/>
      <c r="I117" s="602"/>
      <c r="J117" s="596" t="s">
        <v>25</v>
      </c>
      <c r="K117" s="5"/>
      <c r="L117" s="31"/>
      <c r="M117" s="5"/>
    </row>
    <row r="118" spans="1:13" ht="15.75">
      <c r="A118" s="787" t="s">
        <v>11</v>
      </c>
      <c r="B118" s="276"/>
      <c r="C118" s="278"/>
      <c r="D118" s="374" t="s">
        <v>26</v>
      </c>
      <c r="E118" s="270" t="s">
        <v>27</v>
      </c>
      <c r="F118" s="970"/>
      <c r="G118" s="971" t="s">
        <v>14</v>
      </c>
      <c r="H118" s="279"/>
      <c r="I118" s="970"/>
      <c r="J118" s="272" t="s">
        <v>365</v>
      </c>
      <c r="K118" s="5"/>
      <c r="L118" s="31"/>
      <c r="M118" s="48"/>
    </row>
    <row r="119" spans="1:13" ht="15.75">
      <c r="C119" s="3"/>
      <c r="D119" s="5"/>
      <c r="E119" s="9"/>
      <c r="F119" s="10"/>
      <c r="G119" s="11"/>
      <c r="I119" s="10"/>
      <c r="J119" s="9"/>
      <c r="K119" s="5"/>
      <c r="L119" s="5"/>
      <c r="M119" s="5"/>
    </row>
    <row r="120" spans="1:13">
      <c r="A120" s="778"/>
      <c r="C120" s="585" t="s">
        <v>49</v>
      </c>
      <c r="D120" s="5"/>
      <c r="E120" s="5"/>
      <c r="F120" s="5"/>
      <c r="G120" s="5"/>
      <c r="H120" s="5"/>
      <c r="I120" s="5"/>
      <c r="J120" s="5"/>
      <c r="K120" s="5"/>
      <c r="L120" s="5"/>
      <c r="M120" s="5"/>
    </row>
    <row r="121" spans="1:13">
      <c r="A121" s="778">
        <v>1</v>
      </c>
      <c r="C121" s="585" t="s">
        <v>50</v>
      </c>
      <c r="D121" s="956" t="s">
        <v>194</v>
      </c>
      <c r="E121" s="80">
        <f>INPUT!C51</f>
        <v>48077226</v>
      </c>
      <c r="F121" s="5"/>
      <c r="G121" s="5" t="s">
        <v>47</v>
      </c>
      <c r="H121" s="14">
        <f>J204</f>
        <v>0.91705000000000003</v>
      </c>
      <c r="I121" s="5"/>
      <c r="J121" s="338">
        <f>ROUND(H121*E121,0)</f>
        <v>44089220</v>
      </c>
      <c r="K121" s="1"/>
      <c r="L121" s="5"/>
      <c r="M121" s="5"/>
    </row>
    <row r="122" spans="1:13">
      <c r="A122" s="779" t="s">
        <v>1</v>
      </c>
      <c r="B122" s="64"/>
      <c r="C122" s="590" t="s">
        <v>383</v>
      </c>
      <c r="D122" s="956" t="s">
        <v>651</v>
      </c>
      <c r="E122" s="340">
        <f>'P18 LSE Expenses'!G21</f>
        <v>28798177</v>
      </c>
      <c r="F122" s="5"/>
      <c r="G122" s="35"/>
      <c r="H122" s="61">
        <v>1</v>
      </c>
      <c r="I122" s="35"/>
      <c r="J122" s="212">
        <f>ROUND(H122*E122,0)</f>
        <v>28798177</v>
      </c>
      <c r="K122" s="1"/>
      <c r="L122" s="5"/>
      <c r="M122" s="5"/>
    </row>
    <row r="123" spans="1:13">
      <c r="A123" s="779" t="s">
        <v>262</v>
      </c>
      <c r="B123" s="64"/>
      <c r="C123" s="588" t="s">
        <v>592</v>
      </c>
      <c r="D123" s="956" t="s">
        <v>505</v>
      </c>
      <c r="E123" s="340">
        <f>INPUT!C53</f>
        <v>0</v>
      </c>
      <c r="F123" s="35"/>
      <c r="G123" s="5" t="s">
        <v>47</v>
      </c>
      <c r="H123" s="14">
        <f>J$204</f>
        <v>0.91705000000000003</v>
      </c>
      <c r="I123" s="35"/>
      <c r="J123" s="212">
        <f>ROUND(H123*E123,0)</f>
        <v>0</v>
      </c>
      <c r="K123" s="1"/>
      <c r="L123" s="5"/>
      <c r="M123" s="5"/>
    </row>
    <row r="124" spans="1:13" s="670" customFormat="1">
      <c r="A124" s="779" t="s">
        <v>265</v>
      </c>
      <c r="B124" s="604"/>
      <c r="C124" s="588" t="s">
        <v>629</v>
      </c>
      <c r="D124" s="956" t="s">
        <v>627</v>
      </c>
      <c r="E124" s="489">
        <f>INPUT!C54</f>
        <v>274665</v>
      </c>
      <c r="F124" s="597"/>
      <c r="G124" s="602" t="s">
        <v>47</v>
      </c>
      <c r="H124" s="14">
        <f>J$204</f>
        <v>0.91705000000000003</v>
      </c>
      <c r="I124" s="597"/>
      <c r="J124" s="487">
        <f>ROUND(H124*E124,0)</f>
        <v>251882</v>
      </c>
      <c r="K124" s="622"/>
      <c r="L124" s="602"/>
      <c r="M124" s="602"/>
    </row>
    <row r="125" spans="1:13">
      <c r="A125" s="778">
        <v>2</v>
      </c>
      <c r="C125" s="588" t="s">
        <v>2</v>
      </c>
      <c r="D125" s="956" t="s">
        <v>195</v>
      </c>
      <c r="E125" s="340">
        <f>INPUT!C55</f>
        <v>9146</v>
      </c>
      <c r="F125" s="5"/>
      <c r="G125" s="5" t="s">
        <v>47</v>
      </c>
      <c r="H125" s="14">
        <f>J$204</f>
        <v>0.91705000000000003</v>
      </c>
      <c r="I125" s="5"/>
      <c r="J125" s="212">
        <f t="shared" ref="J125:J134" si="2">ROUND(H125*E125,0)</f>
        <v>8387</v>
      </c>
      <c r="K125" s="1"/>
      <c r="L125" s="5"/>
      <c r="M125" s="5"/>
    </row>
    <row r="126" spans="1:13">
      <c r="A126" s="779">
        <v>3</v>
      </c>
      <c r="B126" s="64"/>
      <c r="C126" s="593" t="s">
        <v>51</v>
      </c>
      <c r="D126" s="956" t="s">
        <v>196</v>
      </c>
      <c r="E126" s="210">
        <f>'P5 Schedule 1 Charges acct 561'!C21</f>
        <v>52460881</v>
      </c>
      <c r="F126" s="35"/>
      <c r="G126" s="35" t="s">
        <v>152</v>
      </c>
      <c r="H126" s="14">
        <f>DEOWagesAllocator</f>
        <v>0.15110999999999999</v>
      </c>
      <c r="I126" s="35"/>
      <c r="J126" s="212">
        <f t="shared" si="2"/>
        <v>7927364</v>
      </c>
      <c r="K126" s="5"/>
      <c r="L126" s="5" t="s">
        <v>8</v>
      </c>
      <c r="M126" s="5"/>
    </row>
    <row r="127" spans="1:13" s="670" customFormat="1" ht="30">
      <c r="A127" s="788" t="s">
        <v>396</v>
      </c>
      <c r="B127" s="604"/>
      <c r="C127" s="759" t="s">
        <v>666</v>
      </c>
      <c r="D127" s="956" t="s">
        <v>257</v>
      </c>
      <c r="E127" s="719">
        <f>INPUT!C57</f>
        <v>-398986.98</v>
      </c>
      <c r="F127" s="631"/>
      <c r="G127" s="631" t="s">
        <v>152</v>
      </c>
      <c r="H127" s="765">
        <f>DEOWagesAllocator</f>
        <v>0.15110999999999999</v>
      </c>
      <c r="I127" s="631"/>
      <c r="J127" s="720">
        <f t="shared" si="2"/>
        <v>-60291</v>
      </c>
      <c r="K127" s="602"/>
      <c r="L127" s="602"/>
      <c r="M127" s="602"/>
    </row>
    <row r="128" spans="1:13">
      <c r="A128" s="779" t="s">
        <v>397</v>
      </c>
      <c r="B128" s="64"/>
      <c r="C128" s="588" t="s">
        <v>595</v>
      </c>
      <c r="D128" s="956" t="s">
        <v>507</v>
      </c>
      <c r="E128" s="340">
        <f>INPUT!C58</f>
        <v>0</v>
      </c>
      <c r="F128" s="35"/>
      <c r="G128" s="35" t="s">
        <v>152</v>
      </c>
      <c r="H128" s="14">
        <f>DEOWagesAllocator</f>
        <v>0.15110999999999999</v>
      </c>
      <c r="I128" s="35"/>
      <c r="J128" s="212">
        <f t="shared" si="2"/>
        <v>0</v>
      </c>
      <c r="K128" s="5"/>
      <c r="L128" s="5"/>
      <c r="M128" s="5"/>
    </row>
    <row r="129" spans="1:13" s="604" customFormat="1">
      <c r="A129" s="779"/>
      <c r="C129" s="592" t="s">
        <v>603</v>
      </c>
      <c r="D129" s="718"/>
      <c r="E129" s="210"/>
      <c r="F129" s="597"/>
      <c r="G129" s="597"/>
      <c r="H129" s="61"/>
      <c r="I129" s="597"/>
      <c r="J129" s="210"/>
      <c r="K129" s="597"/>
      <c r="L129" s="597"/>
      <c r="M129" s="597"/>
    </row>
    <row r="130" spans="1:13">
      <c r="A130" s="779">
        <v>4</v>
      </c>
      <c r="B130" s="64"/>
      <c r="C130" s="592" t="s">
        <v>371</v>
      </c>
      <c r="D130" s="956" t="s">
        <v>652</v>
      </c>
      <c r="E130" s="340">
        <f>INPUT!C60</f>
        <v>0</v>
      </c>
      <c r="F130" s="35"/>
      <c r="G130" s="35" t="str">
        <f>G126</f>
        <v>WS</v>
      </c>
      <c r="H130" s="14">
        <f>DEOWagesAllocator</f>
        <v>0.15110999999999999</v>
      </c>
      <c r="I130" s="35"/>
      <c r="J130" s="212">
        <f t="shared" si="2"/>
        <v>0</v>
      </c>
      <c r="K130" s="5"/>
      <c r="L130" s="5"/>
      <c r="M130" s="5"/>
    </row>
    <row r="131" spans="1:13">
      <c r="A131" s="779">
        <v>5</v>
      </c>
      <c r="B131" s="64"/>
      <c r="C131" s="590" t="s">
        <v>384</v>
      </c>
      <c r="D131" s="718"/>
      <c r="E131" s="340">
        <f>INPUT!C61</f>
        <v>1845879</v>
      </c>
      <c r="F131" s="35"/>
      <c r="G131" s="35" t="str">
        <f>G130</f>
        <v>WS</v>
      </c>
      <c r="H131" s="14">
        <f>DEOWagesAllocator</f>
        <v>0.15110999999999999</v>
      </c>
      <c r="I131" s="35"/>
      <c r="J131" s="212">
        <f t="shared" si="2"/>
        <v>278931</v>
      </c>
      <c r="K131" s="5"/>
      <c r="L131" s="5"/>
      <c r="M131" s="5"/>
    </row>
    <row r="132" spans="1:13">
      <c r="A132" s="789" t="s">
        <v>157</v>
      </c>
      <c r="B132" s="64"/>
      <c r="C132" s="590" t="s">
        <v>385</v>
      </c>
      <c r="D132" s="718"/>
      <c r="E132" s="340">
        <f>INPUT!C62</f>
        <v>0</v>
      </c>
      <c r="F132" s="35"/>
      <c r="G132" s="60" t="str">
        <f>G121</f>
        <v>TE</v>
      </c>
      <c r="H132" s="61">
        <f>H121</f>
        <v>0.91705000000000003</v>
      </c>
      <c r="I132" s="35"/>
      <c r="J132" s="212">
        <f t="shared" si="2"/>
        <v>0</v>
      </c>
      <c r="K132" s="5"/>
      <c r="L132" s="5"/>
      <c r="M132" s="5"/>
    </row>
    <row r="133" spans="1:13">
      <c r="A133" s="779">
        <v>6</v>
      </c>
      <c r="B133" s="64"/>
      <c r="C133" s="593" t="s">
        <v>35</v>
      </c>
      <c r="D133" s="956" t="s">
        <v>577</v>
      </c>
      <c r="E133" s="340">
        <f>INPUT!C63</f>
        <v>0</v>
      </c>
      <c r="F133" s="35"/>
      <c r="G133" s="35" t="s">
        <v>80</v>
      </c>
      <c r="H133" s="61">
        <f>H74</f>
        <v>0.10142</v>
      </c>
      <c r="I133" s="35"/>
      <c r="J133" s="212">
        <f t="shared" si="2"/>
        <v>0</v>
      </c>
      <c r="K133" s="5"/>
      <c r="L133" s="5"/>
      <c r="M133" s="5"/>
    </row>
    <row r="134" spans="1:13" ht="15.75" thickBot="1">
      <c r="A134" s="779">
        <v>7</v>
      </c>
      <c r="B134" s="64"/>
      <c r="C134" s="593" t="s">
        <v>52</v>
      </c>
      <c r="D134" s="718"/>
      <c r="E134" s="412">
        <f>INPUT!C64</f>
        <v>0</v>
      </c>
      <c r="F134" s="35"/>
      <c r="G134" s="35" t="s">
        <v>8</v>
      </c>
      <c r="H134" s="413">
        <v>1</v>
      </c>
      <c r="I134" s="35"/>
      <c r="J134" s="213">
        <f t="shared" si="2"/>
        <v>0</v>
      </c>
      <c r="K134" s="5"/>
      <c r="L134" s="5"/>
      <c r="M134" s="5"/>
    </row>
    <row r="135" spans="1:13" s="604" customFormat="1">
      <c r="A135" s="779">
        <v>8</v>
      </c>
      <c r="C135" s="593" t="s">
        <v>653</v>
      </c>
      <c r="D135" s="718"/>
      <c r="E135" s="481">
        <f>E121-E122-E123-E124-E125+E126-E128-E130-E131+E132+E133+E134</f>
        <v>69610240</v>
      </c>
      <c r="F135" s="597"/>
      <c r="G135" s="597"/>
      <c r="H135" s="597"/>
      <c r="I135" s="597"/>
      <c r="J135" s="481">
        <f>J121-J122-J123-J124-J125+J126-J128-J130-J131+J132+J133+J134</f>
        <v>22679207</v>
      </c>
      <c r="K135" s="597"/>
      <c r="L135" s="597"/>
      <c r="M135" s="597"/>
    </row>
    <row r="136" spans="1:13">
      <c r="A136" s="779"/>
      <c r="B136" s="64"/>
      <c r="C136" s="604"/>
      <c r="D136" s="718"/>
      <c r="E136" s="210"/>
      <c r="F136" s="35"/>
      <c r="G136" s="35"/>
      <c r="H136" s="35"/>
      <c r="I136" s="35"/>
      <c r="J136" s="210"/>
      <c r="K136" s="5"/>
      <c r="L136" s="5"/>
      <c r="M136" s="5"/>
    </row>
    <row r="137" spans="1:13">
      <c r="A137" s="778"/>
      <c r="C137" s="585" t="s">
        <v>654</v>
      </c>
      <c r="D137" s="956"/>
      <c r="E137" s="212"/>
      <c r="F137" s="5"/>
      <c r="G137" s="5"/>
      <c r="H137" s="5"/>
      <c r="I137" s="5"/>
      <c r="J137" s="212"/>
      <c r="K137" s="5"/>
      <c r="L137" s="5"/>
      <c r="M137" s="5"/>
    </row>
    <row r="138" spans="1:13">
      <c r="A138" s="778">
        <v>9</v>
      </c>
      <c r="C138" s="585" t="s">
        <v>50</v>
      </c>
      <c r="D138" s="956" t="s">
        <v>545</v>
      </c>
      <c r="E138" s="414">
        <f>INPUT!C68</f>
        <v>14359856</v>
      </c>
      <c r="F138" s="5"/>
      <c r="G138" s="5" t="s">
        <v>15</v>
      </c>
      <c r="H138" s="14">
        <f>J194</f>
        <v>1</v>
      </c>
      <c r="I138" s="5"/>
      <c r="J138" s="338">
        <f>ROUND(H138*E138,0)</f>
        <v>14359856</v>
      </c>
      <c r="K138" s="5"/>
      <c r="L138" s="18"/>
      <c r="M138" s="5"/>
    </row>
    <row r="139" spans="1:13" ht="15.6" customHeight="1">
      <c r="A139" s="778">
        <v>10</v>
      </c>
      <c r="C139" s="585" t="s">
        <v>34</v>
      </c>
      <c r="D139" s="956" t="s">
        <v>534</v>
      </c>
      <c r="E139" s="340">
        <f>INPUT!C69</f>
        <v>17936822</v>
      </c>
      <c r="F139" s="5"/>
      <c r="G139" s="5" t="s">
        <v>152</v>
      </c>
      <c r="H139" s="14">
        <f>DEOWagesAllocator</f>
        <v>0.15110999999999999</v>
      </c>
      <c r="I139" s="5"/>
      <c r="J139" s="212">
        <f>ROUND(H139*E139,0)</f>
        <v>2710433</v>
      </c>
      <c r="K139" s="5"/>
      <c r="L139" s="18"/>
      <c r="M139" s="5"/>
    </row>
    <row r="140" spans="1:13" ht="15.75" thickBot="1">
      <c r="A140" s="778">
        <v>11</v>
      </c>
      <c r="C140" s="585" t="s">
        <v>35</v>
      </c>
      <c r="D140" s="956" t="s">
        <v>544</v>
      </c>
      <c r="E140" s="412">
        <f>INPUT!C70</f>
        <v>8928735</v>
      </c>
      <c r="F140" s="5"/>
      <c r="G140" s="5" t="s">
        <v>80</v>
      </c>
      <c r="H140" s="14">
        <f>H133</f>
        <v>0.10142</v>
      </c>
      <c r="I140" s="5"/>
      <c r="J140" s="213">
        <f>ROUND(H140*E140,0)</f>
        <v>905552</v>
      </c>
      <c r="K140" s="5"/>
      <c r="L140" s="18"/>
      <c r="M140" s="5"/>
    </row>
    <row r="141" spans="1:13">
      <c r="A141" s="778">
        <v>12</v>
      </c>
      <c r="C141" s="585" t="s">
        <v>655</v>
      </c>
      <c r="D141" s="956"/>
      <c r="E141" s="338">
        <f>SUM(E138:E140)</f>
        <v>41225413</v>
      </c>
      <c r="F141" s="5"/>
      <c r="G141" s="5"/>
      <c r="H141" s="5"/>
      <c r="I141" s="5"/>
      <c r="J141" s="338">
        <f>SUM(J138:J140)</f>
        <v>17975841</v>
      </c>
      <c r="K141" s="5"/>
      <c r="L141" s="5"/>
      <c r="M141" s="5"/>
    </row>
    <row r="142" spans="1:13">
      <c r="A142" s="778"/>
      <c r="C142" s="585"/>
      <c r="D142" s="956"/>
      <c r="E142" s="212"/>
      <c r="F142" s="5"/>
      <c r="G142" s="5"/>
      <c r="H142" s="5"/>
      <c r="I142" s="5"/>
      <c r="J142" s="212"/>
      <c r="K142" s="5"/>
      <c r="L142" s="5"/>
      <c r="M142" s="5"/>
    </row>
    <row r="143" spans="1:13">
      <c r="A143" s="778" t="s">
        <v>8</v>
      </c>
      <c r="C143" s="591" t="s">
        <v>386</v>
      </c>
      <c r="D143" s="958"/>
      <c r="E143" s="212"/>
      <c r="F143" s="5"/>
      <c r="G143" s="5"/>
      <c r="H143" s="5"/>
      <c r="I143" s="5"/>
      <c r="J143" s="212"/>
      <c r="K143" s="5"/>
      <c r="L143" s="5"/>
      <c r="M143" s="5"/>
    </row>
    <row r="144" spans="1:13">
      <c r="A144" s="778"/>
      <c r="C144" s="585" t="s">
        <v>55</v>
      </c>
      <c r="D144" s="958"/>
      <c r="E144" s="212"/>
      <c r="F144" s="5"/>
      <c r="G144" s="5"/>
      <c r="I144" s="5"/>
      <c r="J144" s="212"/>
      <c r="K144" s="5"/>
      <c r="L144" s="18"/>
      <c r="M144" s="5"/>
    </row>
    <row r="145" spans="1:13">
      <c r="A145" s="778">
        <v>13</v>
      </c>
      <c r="C145" s="589" t="s">
        <v>372</v>
      </c>
      <c r="D145" s="956" t="s">
        <v>176</v>
      </c>
      <c r="E145" s="414">
        <f>INPUT!C75</f>
        <v>4284716</v>
      </c>
      <c r="F145" s="5"/>
      <c r="G145" s="5" t="s">
        <v>152</v>
      </c>
      <c r="H145" s="14">
        <f>DEOWagesAllocator</f>
        <v>0.15110999999999999</v>
      </c>
      <c r="I145" s="5"/>
      <c r="J145" s="338">
        <f>ROUND(H145*E145,0)</f>
        <v>647463</v>
      </c>
      <c r="K145" s="5"/>
      <c r="L145" s="18"/>
      <c r="M145" s="5"/>
    </row>
    <row r="146" spans="1:13">
      <c r="A146" s="778">
        <v>14</v>
      </c>
      <c r="C146" s="589" t="s">
        <v>373</v>
      </c>
      <c r="D146" s="956" t="s">
        <v>176</v>
      </c>
      <c r="E146" s="340">
        <f>INPUT!C76</f>
        <v>1820</v>
      </c>
      <c r="F146" s="5"/>
      <c r="G146" s="5" t="str">
        <f>G145</f>
        <v>WS</v>
      </c>
      <c r="H146" s="14">
        <f>DEOWagesAllocator</f>
        <v>0.15110999999999999</v>
      </c>
      <c r="I146" s="5"/>
      <c r="J146" s="212">
        <f>ROUND(H146*E146,0)</f>
        <v>275</v>
      </c>
      <c r="K146" s="5"/>
      <c r="L146" s="18"/>
      <c r="M146" s="5"/>
    </row>
    <row r="147" spans="1:13">
      <c r="A147" s="778">
        <v>15</v>
      </c>
      <c r="C147" s="585" t="s">
        <v>56</v>
      </c>
      <c r="D147" s="956" t="s">
        <v>8</v>
      </c>
      <c r="E147" s="340"/>
      <c r="F147" s="5"/>
      <c r="G147" s="5"/>
      <c r="I147" s="5"/>
      <c r="J147" s="212"/>
      <c r="K147" s="5"/>
      <c r="L147" s="18"/>
      <c r="M147" s="5"/>
    </row>
    <row r="148" spans="1:13">
      <c r="A148" s="778">
        <v>16</v>
      </c>
      <c r="C148" s="589" t="s">
        <v>681</v>
      </c>
      <c r="D148" s="956" t="s">
        <v>176</v>
      </c>
      <c r="E148" s="340">
        <f>INPUT!C78</f>
        <v>135623868</v>
      </c>
      <c r="F148" s="5"/>
      <c r="G148" s="5" t="s">
        <v>48</v>
      </c>
      <c r="H148" s="19">
        <f>H67</f>
        <v>0.22592000000000001</v>
      </c>
      <c r="I148" s="5"/>
      <c r="J148" s="212">
        <f>ROUND(H148*E148,0)</f>
        <v>30640144</v>
      </c>
      <c r="K148" s="5"/>
      <c r="L148" s="18"/>
      <c r="M148" s="5"/>
    </row>
    <row r="149" spans="1:13">
      <c r="A149" s="778">
        <v>17</v>
      </c>
      <c r="C149" s="589" t="s">
        <v>682</v>
      </c>
      <c r="D149" s="956" t="s">
        <v>176</v>
      </c>
      <c r="E149" s="340">
        <f>INPUT!C79</f>
        <v>2405210</v>
      </c>
      <c r="F149" s="5"/>
      <c r="G149" s="35" t="str">
        <f>G86</f>
        <v>NA</v>
      </c>
      <c r="H149" s="78" t="s">
        <v>158</v>
      </c>
      <c r="I149" s="5"/>
      <c r="J149" s="214">
        <v>0</v>
      </c>
      <c r="K149" s="5"/>
      <c r="L149" s="25" t="s">
        <v>8</v>
      </c>
      <c r="M149" s="5"/>
    </row>
    <row r="150" spans="1:13">
      <c r="A150" s="778">
        <v>18</v>
      </c>
      <c r="C150" s="589" t="s">
        <v>672</v>
      </c>
      <c r="D150" s="956" t="s">
        <v>176</v>
      </c>
      <c r="E150" s="340">
        <f>INPUT!C80</f>
        <v>0</v>
      </c>
      <c r="F150" s="5"/>
      <c r="G150" s="5" t="str">
        <f>G148</f>
        <v>GP</v>
      </c>
      <c r="H150" s="19">
        <f>H148</f>
        <v>0.22592000000000001</v>
      </c>
      <c r="I150" s="5"/>
      <c r="J150" s="212">
        <f>ROUND(H150*E150,0)</f>
        <v>0</v>
      </c>
      <c r="K150" s="5"/>
      <c r="L150" s="25" t="s">
        <v>8</v>
      </c>
      <c r="M150" s="5"/>
    </row>
    <row r="151" spans="1:13" ht="15.75" thickBot="1">
      <c r="A151" s="778">
        <v>19</v>
      </c>
      <c r="C151" s="589" t="s">
        <v>683</v>
      </c>
      <c r="D151" s="956"/>
      <c r="E151" s="412">
        <f>INPUT!C81</f>
        <v>0</v>
      </c>
      <c r="F151" s="5"/>
      <c r="G151" s="5" t="s">
        <v>48</v>
      </c>
      <c r="H151" s="19">
        <f>H148</f>
        <v>0.22592000000000001</v>
      </c>
      <c r="I151" s="5"/>
      <c r="J151" s="213">
        <f>ROUND(H151*E151,0)</f>
        <v>0</v>
      </c>
      <c r="K151" s="5"/>
      <c r="L151" s="18"/>
      <c r="M151" s="5"/>
    </row>
    <row r="152" spans="1:13">
      <c r="A152" s="778">
        <v>20</v>
      </c>
      <c r="C152" s="585" t="s">
        <v>61</v>
      </c>
      <c r="D152" s="956"/>
      <c r="E152" s="338">
        <f>E145+E146+E148+E149+E150+E151</f>
        <v>142315614</v>
      </c>
      <c r="F152" s="5"/>
      <c r="G152" s="5"/>
      <c r="H152" s="19"/>
      <c r="I152" s="5"/>
      <c r="J152" s="338">
        <f>J145+J146+J148+J149+J150+J151</f>
        <v>31287882</v>
      </c>
      <c r="K152" s="5"/>
      <c r="L152" s="5"/>
      <c r="M152" s="5"/>
    </row>
    <row r="153" spans="1:13">
      <c r="A153" s="778"/>
      <c r="C153" s="585"/>
      <c r="D153" s="956"/>
      <c r="E153" s="212"/>
      <c r="F153" s="5"/>
      <c r="G153" s="5"/>
      <c r="H153" s="19"/>
      <c r="I153" s="5"/>
      <c r="J153" s="5"/>
      <c r="K153" s="5"/>
      <c r="L153" s="5"/>
      <c r="M153" s="5"/>
    </row>
    <row r="154" spans="1:13">
      <c r="A154" s="778" t="s">
        <v>62</v>
      </c>
      <c r="C154" s="585"/>
      <c r="D154" s="956"/>
      <c r="E154" s="5"/>
      <c r="F154" s="5"/>
      <c r="G154" s="5"/>
      <c r="H154" s="19"/>
      <c r="I154" s="5"/>
      <c r="J154" s="5"/>
      <c r="K154" s="5"/>
      <c r="L154" s="5"/>
      <c r="M154" s="5"/>
    </row>
    <row r="155" spans="1:13">
      <c r="A155" s="778" t="s">
        <v>8</v>
      </c>
      <c r="C155" s="591" t="s">
        <v>391</v>
      </c>
      <c r="D155" s="956"/>
      <c r="E155" s="5"/>
      <c r="F155" s="5"/>
      <c r="H155" s="16"/>
      <c r="I155" s="5"/>
      <c r="K155" s="5"/>
      <c r="M155" s="5"/>
    </row>
    <row r="156" spans="1:13">
      <c r="A156" s="778">
        <v>21</v>
      </c>
      <c r="C156" s="586" t="s">
        <v>143</v>
      </c>
      <c r="D156" s="956"/>
      <c r="E156" s="479">
        <f>IF(FIT&gt;0,1-(((1-SIT_DEO)*(1-FIT))/(1-SIT_DEO*FIT*E293)),0)</f>
        <v>0.20999999999999996</v>
      </c>
      <c r="F156" s="5"/>
      <c r="H156" s="16"/>
      <c r="I156" s="5"/>
      <c r="K156" s="5"/>
      <c r="M156" s="5"/>
    </row>
    <row r="157" spans="1:13">
      <c r="A157" s="778">
        <v>22</v>
      </c>
      <c r="C157" s="670" t="s">
        <v>144</v>
      </c>
      <c r="D157" s="956"/>
      <c r="E157" s="375">
        <f>IF(J236&gt;0,(E156/(1-E156))*(1-J233/J236),0)</f>
        <v>0.18928360782178658</v>
      </c>
      <c r="F157" s="5"/>
      <c r="H157" s="16"/>
      <c r="I157" s="5"/>
      <c r="K157" s="5"/>
      <c r="M157" s="5"/>
    </row>
    <row r="158" spans="1:13">
      <c r="A158" s="778"/>
      <c r="C158" s="585" t="s">
        <v>350</v>
      </c>
      <c r="D158" s="956"/>
      <c r="E158" s="5"/>
      <c r="F158" s="5"/>
      <c r="H158" s="16"/>
      <c r="I158" s="5"/>
      <c r="K158" s="5"/>
      <c r="M158" s="5"/>
    </row>
    <row r="159" spans="1:13">
      <c r="A159" s="778"/>
      <c r="C159" s="585" t="s">
        <v>146</v>
      </c>
      <c r="D159" s="956"/>
      <c r="E159" s="5"/>
      <c r="F159" s="5"/>
      <c r="H159" s="16"/>
      <c r="I159" s="5"/>
      <c r="K159" s="5"/>
      <c r="M159" s="5"/>
    </row>
    <row r="160" spans="1:13">
      <c r="A160" s="778">
        <v>23</v>
      </c>
      <c r="C160" s="586" t="s">
        <v>145</v>
      </c>
      <c r="D160" s="956"/>
      <c r="E160" s="576">
        <f>IF(E156&gt;0,1/(1-E156),0)</f>
        <v>1.2658227848101264</v>
      </c>
      <c r="F160" s="5"/>
      <c r="H160" s="16"/>
      <c r="I160" s="5"/>
      <c r="J160" s="212"/>
      <c r="K160" s="5"/>
      <c r="M160" s="5"/>
    </row>
    <row r="161" spans="1:13">
      <c r="A161" s="778">
        <v>24</v>
      </c>
      <c r="C161" s="585" t="s">
        <v>354</v>
      </c>
      <c r="D161" s="956" t="s">
        <v>353</v>
      </c>
      <c r="E161" s="340">
        <f>INPUT!C91</f>
        <v>-231244</v>
      </c>
      <c r="F161" s="5"/>
      <c r="H161" s="16"/>
      <c r="I161" s="5"/>
      <c r="J161" s="212"/>
      <c r="K161" s="5"/>
      <c r="M161" s="5"/>
    </row>
    <row r="162" spans="1:13">
      <c r="A162" s="778"/>
      <c r="C162" s="585"/>
      <c r="D162" s="956"/>
      <c r="E162" s="212"/>
      <c r="F162" s="5"/>
      <c r="H162" s="16"/>
      <c r="I162" s="5"/>
      <c r="J162" s="212"/>
      <c r="K162" s="5"/>
      <c r="M162" s="5"/>
    </row>
    <row r="163" spans="1:13">
      <c r="A163" s="778">
        <v>25</v>
      </c>
      <c r="C163" s="586" t="s">
        <v>355</v>
      </c>
      <c r="D163" s="1059"/>
      <c r="E163" s="338">
        <f>ROUND(E157*E167,0)</f>
        <v>31229468</v>
      </c>
      <c r="F163" s="5"/>
      <c r="G163" s="5" t="s">
        <v>31</v>
      </c>
      <c r="H163" s="19"/>
      <c r="I163" s="5"/>
      <c r="J163" s="338">
        <f>ROUND(E157*J167,0)</f>
        <v>7365214</v>
      </c>
      <c r="K163" s="5"/>
      <c r="L163" s="15" t="s">
        <v>8</v>
      </c>
      <c r="M163" s="5"/>
    </row>
    <row r="164" spans="1:13" ht="15.75" thickBot="1">
      <c r="A164" s="778">
        <v>26</v>
      </c>
      <c r="C164" s="670" t="s">
        <v>149</v>
      </c>
      <c r="D164" s="1059"/>
      <c r="E164" s="213">
        <f>ROUND(E160*E161,0)</f>
        <v>-292714</v>
      </c>
      <c r="F164" s="5"/>
      <c r="G164" s="12" t="s">
        <v>46</v>
      </c>
      <c r="H164" s="19">
        <f>H83</f>
        <v>0.22803000000000001</v>
      </c>
      <c r="I164" s="5"/>
      <c r="J164" s="213">
        <f>ROUND(H164*E164,0)</f>
        <v>-66748</v>
      </c>
      <c r="K164" s="5"/>
      <c r="L164" s="15"/>
      <c r="M164" s="5"/>
    </row>
    <row r="165" spans="1:13">
      <c r="A165" s="778">
        <v>27</v>
      </c>
      <c r="C165" s="587" t="s">
        <v>133</v>
      </c>
      <c r="D165" s="956" t="s">
        <v>150</v>
      </c>
      <c r="E165" s="341">
        <f>E163+E164</f>
        <v>30936754</v>
      </c>
      <c r="F165" s="5"/>
      <c r="G165" s="5" t="s">
        <v>8</v>
      </c>
      <c r="H165" s="19" t="s">
        <v>8</v>
      </c>
      <c r="I165" s="5"/>
      <c r="J165" s="341">
        <f>J163+J164</f>
        <v>7298466</v>
      </c>
      <c r="K165" s="5"/>
      <c r="L165" s="5"/>
      <c r="M165" s="5"/>
    </row>
    <row r="166" spans="1:13">
      <c r="A166" s="778" t="s">
        <v>8</v>
      </c>
      <c r="C166" s="615"/>
      <c r="D166" s="960"/>
      <c r="E166" s="212"/>
      <c r="F166" s="5"/>
      <c r="G166" s="5"/>
      <c r="H166" s="19"/>
      <c r="I166" s="5"/>
      <c r="J166" s="212"/>
      <c r="K166" s="5"/>
      <c r="L166" s="5"/>
      <c r="M166" s="5"/>
    </row>
    <row r="167" spans="1:13">
      <c r="A167" s="778">
        <v>28</v>
      </c>
      <c r="C167" s="585" t="s">
        <v>63</v>
      </c>
      <c r="D167" s="961"/>
      <c r="E167" s="338">
        <f>ROUND($J236*E101,0)</f>
        <v>164987705</v>
      </c>
      <c r="F167" s="5"/>
      <c r="G167" s="5" t="s">
        <v>31</v>
      </c>
      <c r="H167" s="16"/>
      <c r="I167" s="5"/>
      <c r="J167" s="338">
        <f>ROUND($J236*J101,0)</f>
        <v>38911000</v>
      </c>
      <c r="K167" s="5"/>
      <c r="M167" s="5"/>
    </row>
    <row r="168" spans="1:13">
      <c r="A168" s="778"/>
      <c r="C168" s="852" t="s">
        <v>809</v>
      </c>
      <c r="D168" s="955"/>
      <c r="E168" s="212"/>
      <c r="F168" s="5"/>
      <c r="G168" s="5"/>
      <c r="H168" s="16"/>
      <c r="I168" s="5"/>
      <c r="J168" s="212"/>
      <c r="K168" s="5"/>
      <c r="L168" s="18"/>
      <c r="M168" s="5"/>
    </row>
    <row r="169" spans="1:13">
      <c r="A169" s="778"/>
      <c r="C169" s="585"/>
      <c r="D169" s="955"/>
      <c r="E169" s="215"/>
      <c r="F169" s="5"/>
      <c r="G169" s="5"/>
      <c r="H169" s="16"/>
      <c r="I169" s="5"/>
      <c r="J169" s="215"/>
      <c r="K169" s="5"/>
      <c r="L169" s="18"/>
      <c r="M169" s="5"/>
    </row>
    <row r="170" spans="1:13" ht="15.75" thickBot="1">
      <c r="A170" s="778">
        <v>29</v>
      </c>
      <c r="C170" s="585" t="s">
        <v>147</v>
      </c>
      <c r="D170" s="760"/>
      <c r="E170" s="342">
        <f>E167+E165+E152+E141+E135</f>
        <v>449075726</v>
      </c>
      <c r="F170" s="89"/>
      <c r="G170" s="89"/>
      <c r="H170" s="89"/>
      <c r="I170" s="89"/>
      <c r="J170" s="342">
        <f>J167+J165+J152+J141+J135</f>
        <v>118152396</v>
      </c>
      <c r="K170" s="1"/>
      <c r="L170" s="1"/>
      <c r="M170" s="1"/>
    </row>
    <row r="171" spans="1:13" ht="15.75" thickTop="1">
      <c r="A171" s="778"/>
      <c r="C171" s="3"/>
      <c r="D171" s="5"/>
      <c r="E171" s="89"/>
      <c r="F171" s="5"/>
      <c r="G171" s="5"/>
      <c r="H171" s="5"/>
      <c r="I171" s="5"/>
      <c r="J171" s="89"/>
      <c r="K171" s="1"/>
      <c r="L171" s="1"/>
      <c r="M171" s="1"/>
    </row>
    <row r="172" spans="1:13">
      <c r="A172" s="778"/>
      <c r="C172" s="3"/>
      <c r="D172" s="5"/>
      <c r="E172" s="89"/>
      <c r="F172" s="5"/>
      <c r="G172" s="5"/>
      <c r="H172" s="5"/>
      <c r="I172" s="5"/>
      <c r="J172" s="89"/>
      <c r="K172" s="1"/>
      <c r="L172" s="1"/>
      <c r="M172" s="1"/>
    </row>
    <row r="173" spans="1:13">
      <c r="A173" s="778"/>
      <c r="C173" s="3"/>
      <c r="D173" s="27"/>
      <c r="E173" s="28"/>
      <c r="F173" s="27"/>
      <c r="G173" s="27"/>
      <c r="H173" s="27"/>
      <c r="I173" s="29"/>
      <c r="K173" s="30"/>
      <c r="L173" s="88"/>
      <c r="M173" s="30"/>
    </row>
    <row r="174" spans="1:13" ht="18">
      <c r="A174" s="781"/>
      <c r="C174" s="27"/>
      <c r="D174" s="27"/>
      <c r="E174" s="28"/>
      <c r="F174" s="27"/>
      <c r="I174" s="87"/>
      <c r="J174" s="74" t="s">
        <v>318</v>
      </c>
      <c r="M174" s="87"/>
    </row>
    <row r="175" spans="1:13">
      <c r="C175" s="27"/>
      <c r="D175" s="27"/>
      <c r="E175" s="28"/>
      <c r="F175" s="27"/>
      <c r="H175" s="29"/>
      <c r="J175" s="74" t="s">
        <v>444</v>
      </c>
      <c r="M175" s="74"/>
    </row>
    <row r="176" spans="1:13">
      <c r="C176" s="27"/>
      <c r="D176" s="27"/>
      <c r="E176" s="28"/>
      <c r="F176" s="27"/>
      <c r="H176" s="29"/>
      <c r="I176" s="1"/>
      <c r="M176" s="74"/>
    </row>
    <row r="177" spans="1:13">
      <c r="C177" s="27"/>
      <c r="D177" s="27"/>
      <c r="E177" s="28"/>
      <c r="F177" s="27"/>
      <c r="H177" s="29"/>
      <c r="I177" s="1"/>
      <c r="M177" s="74"/>
    </row>
    <row r="178" spans="1:13">
      <c r="C178" s="27"/>
      <c r="D178" s="27"/>
      <c r="E178" s="28"/>
      <c r="F178" s="27"/>
      <c r="H178" s="29"/>
      <c r="I178" s="1"/>
      <c r="M178" s="74"/>
    </row>
    <row r="179" spans="1:13">
      <c r="C179" s="27"/>
      <c r="D179" s="27"/>
      <c r="E179" s="28"/>
      <c r="F179" s="27"/>
      <c r="H179" s="29"/>
      <c r="I179" s="1"/>
      <c r="J179" s="74"/>
      <c r="M179" s="74"/>
    </row>
    <row r="180" spans="1:13">
      <c r="C180" s="27" t="s">
        <v>7</v>
      </c>
      <c r="D180" s="27"/>
      <c r="E180" s="28"/>
      <c r="F180" s="27"/>
      <c r="H180" s="29"/>
      <c r="I180" s="1"/>
      <c r="J180" s="88" t="str">
        <f>J7</f>
        <v>For the 12 months ended: 12/31/2017</v>
      </c>
      <c r="M180" s="74"/>
    </row>
    <row r="181" spans="1:13">
      <c r="A181" s="782" t="str">
        <f>A8</f>
        <v>Rate Formula Template</v>
      </c>
      <c r="B181" s="260"/>
      <c r="C181" s="260"/>
      <c r="D181" s="254"/>
      <c r="E181" s="109"/>
      <c r="F181" s="254"/>
      <c r="G181" s="254"/>
      <c r="H181" s="254"/>
      <c r="I181" s="254"/>
      <c r="J181" s="109"/>
      <c r="K181" s="255"/>
      <c r="L181" s="109"/>
      <c r="M181" s="1"/>
    </row>
    <row r="182" spans="1:13">
      <c r="A182" s="783" t="s">
        <v>289</v>
      </c>
      <c r="B182" s="260"/>
      <c r="C182" s="258"/>
      <c r="D182" s="256"/>
      <c r="E182" s="109"/>
      <c r="F182" s="256"/>
      <c r="G182" s="256"/>
      <c r="H182" s="256"/>
      <c r="I182" s="254"/>
      <c r="J182" s="254"/>
      <c r="K182" s="257"/>
      <c r="L182" s="257"/>
      <c r="M182" s="1"/>
    </row>
    <row r="183" spans="1:13">
      <c r="A183" s="783"/>
      <c r="B183" s="260"/>
      <c r="C183" s="255"/>
      <c r="D183" s="257"/>
      <c r="E183" s="109"/>
      <c r="F183" s="257"/>
      <c r="G183" s="257"/>
      <c r="H183" s="257"/>
      <c r="I183" s="257"/>
      <c r="J183" s="257"/>
      <c r="K183" s="257"/>
      <c r="L183" s="257"/>
      <c r="M183" s="5"/>
    </row>
    <row r="184" spans="1:13" ht="15.75">
      <c r="A184" s="967" t="str">
        <f>$A$11</f>
        <v>DUKE ENERGY OHIO (DEO)</v>
      </c>
      <c r="B184" s="260"/>
      <c r="C184" s="255"/>
      <c r="D184" s="257"/>
      <c r="E184" s="109"/>
      <c r="F184" s="257"/>
      <c r="G184" s="257"/>
      <c r="H184" s="257"/>
      <c r="I184" s="257"/>
      <c r="J184" s="257"/>
      <c r="K184" s="257"/>
      <c r="L184" s="257"/>
      <c r="M184" s="5"/>
    </row>
    <row r="185" spans="1:13" ht="15.75">
      <c r="A185" s="784" t="s">
        <v>290</v>
      </c>
      <c r="B185" s="109"/>
      <c r="C185" s="109"/>
      <c r="D185" s="109"/>
      <c r="E185" s="109"/>
      <c r="F185" s="257"/>
      <c r="G185" s="257"/>
      <c r="H185" s="257"/>
      <c r="I185" s="257"/>
      <c r="J185" s="257"/>
      <c r="K185" s="256"/>
      <c r="L185" s="256"/>
      <c r="M185" s="5"/>
    </row>
    <row r="186" spans="1:13" ht="15.75">
      <c r="A186" s="778" t="s">
        <v>9</v>
      </c>
      <c r="C186" s="13"/>
      <c r="D186" s="1"/>
      <c r="E186" s="1"/>
      <c r="F186" s="1"/>
      <c r="G186" s="1"/>
      <c r="H186" s="1"/>
      <c r="I186" s="1"/>
      <c r="J186" s="1"/>
      <c r="K186" s="5"/>
      <c r="L186" s="5"/>
      <c r="M186" s="5"/>
    </row>
    <row r="187" spans="1:13" ht="15.75">
      <c r="A187" s="787" t="s">
        <v>11</v>
      </c>
      <c r="B187" s="276"/>
      <c r="C187" s="361" t="s">
        <v>328</v>
      </c>
      <c r="D187" s="63"/>
      <c r="E187" s="63"/>
      <c r="F187" s="63"/>
      <c r="G187" s="63"/>
      <c r="H187" s="63"/>
      <c r="I187" s="64"/>
      <c r="J187" s="64"/>
      <c r="K187" s="35"/>
      <c r="L187" s="5"/>
      <c r="M187" s="5"/>
    </row>
    <row r="188" spans="1:13">
      <c r="A188" s="778"/>
      <c r="C188" s="62"/>
      <c r="D188" s="63"/>
      <c r="E188" s="63"/>
      <c r="F188" s="63"/>
      <c r="G188" s="63"/>
      <c r="H188" s="63"/>
      <c r="I188" s="63"/>
      <c r="J188" s="63"/>
      <c r="K188" s="35"/>
      <c r="L188" s="5"/>
      <c r="M188" s="5"/>
    </row>
    <row r="189" spans="1:13">
      <c r="A189" s="778">
        <v>1</v>
      </c>
      <c r="C189" s="57" t="s">
        <v>329</v>
      </c>
      <c r="D189" s="63"/>
      <c r="E189" s="35"/>
      <c r="F189" s="35"/>
      <c r="G189" s="35"/>
      <c r="H189" s="35"/>
      <c r="I189" s="35"/>
      <c r="J189" s="481">
        <f>E63</f>
        <v>809377209</v>
      </c>
      <c r="K189" s="35"/>
      <c r="L189" s="5"/>
      <c r="M189" s="5"/>
    </row>
    <row r="190" spans="1:13">
      <c r="A190" s="778">
        <v>2</v>
      </c>
      <c r="C190" s="392" t="s">
        <v>378</v>
      </c>
      <c r="D190" s="64"/>
      <c r="E190" s="64"/>
      <c r="F190" s="64"/>
      <c r="G190" s="64"/>
      <c r="H190" s="64"/>
      <c r="I190" s="64"/>
      <c r="J190" s="267">
        <f>INPUT!C95</f>
        <v>0</v>
      </c>
      <c r="K190" s="35"/>
      <c r="L190" s="5"/>
      <c r="M190" s="5"/>
    </row>
    <row r="191" spans="1:13" ht="15.75" thickBot="1">
      <c r="A191" s="778">
        <v>3</v>
      </c>
      <c r="C191" s="393" t="s">
        <v>379</v>
      </c>
      <c r="D191" s="65"/>
      <c r="E191" s="66"/>
      <c r="F191" s="35"/>
      <c r="G191" s="35"/>
      <c r="H191" s="67"/>
      <c r="I191" s="35"/>
      <c r="J191" s="219">
        <f>INPUT!C96</f>
        <v>0</v>
      </c>
      <c r="K191" s="35"/>
      <c r="M191" s="5"/>
    </row>
    <row r="192" spans="1:13">
      <c r="A192" s="778">
        <v>4</v>
      </c>
      <c r="C192" s="57" t="s">
        <v>330</v>
      </c>
      <c r="D192" s="63"/>
      <c r="E192" s="35"/>
      <c r="F192" s="35"/>
      <c r="G192" s="35"/>
      <c r="H192" s="67"/>
      <c r="I192" s="35"/>
      <c r="J192" s="481">
        <f>J189-J190-J191</f>
        <v>809377209</v>
      </c>
      <c r="K192" s="35"/>
      <c r="L192" s="5"/>
      <c r="M192" s="5"/>
    </row>
    <row r="193" spans="1:13">
      <c r="A193" s="778"/>
      <c r="C193" s="64"/>
      <c r="D193" s="63"/>
      <c r="E193" s="35"/>
      <c r="F193" s="35"/>
      <c r="G193" s="35"/>
      <c r="H193" s="67"/>
      <c r="I193" s="35"/>
      <c r="J193" s="64"/>
      <c r="K193" s="35"/>
      <c r="L193" s="5"/>
      <c r="M193" s="5"/>
    </row>
    <row r="194" spans="1:13">
      <c r="A194" s="778">
        <v>5</v>
      </c>
      <c r="C194" s="57" t="s">
        <v>331</v>
      </c>
      <c r="D194" s="68"/>
      <c r="E194" s="69"/>
      <c r="F194" s="69"/>
      <c r="G194" s="69"/>
      <c r="H194" s="70"/>
      <c r="I194" s="35" t="s">
        <v>67</v>
      </c>
      <c r="J194" s="59">
        <f>IF(J189&gt;0,ROUND(J192/J189,5),0)</f>
        <v>1</v>
      </c>
      <c r="K194" s="35"/>
      <c r="L194" s="5"/>
      <c r="M194" s="5"/>
    </row>
    <row r="195" spans="1:13">
      <c r="A195" s="778"/>
      <c r="C195" s="64"/>
      <c r="D195" s="64"/>
      <c r="E195" s="64"/>
      <c r="F195" s="64"/>
      <c r="G195" s="64"/>
      <c r="H195" s="64"/>
      <c r="I195" s="64"/>
      <c r="J195" s="64"/>
      <c r="K195" s="35"/>
      <c r="L195" s="5"/>
      <c r="M195" s="5"/>
    </row>
    <row r="196" spans="1:13" ht="15.75">
      <c r="A196" s="778"/>
      <c r="C196" s="360" t="s">
        <v>64</v>
      </c>
      <c r="D196" s="64"/>
      <c r="E196" s="64"/>
      <c r="F196" s="64"/>
      <c r="G196" s="64"/>
      <c r="H196" s="64"/>
      <c r="I196" s="64"/>
      <c r="J196" s="64"/>
      <c r="K196" s="35"/>
      <c r="L196" s="5"/>
      <c r="M196" s="5"/>
    </row>
    <row r="197" spans="1:13">
      <c r="A197" s="778"/>
      <c r="C197" s="64"/>
      <c r="D197" s="64"/>
      <c r="E197" s="64"/>
      <c r="F197" s="64"/>
      <c r="G197" s="64"/>
      <c r="H197" s="64"/>
      <c r="I197" s="64"/>
      <c r="J197" s="64"/>
      <c r="K197" s="35"/>
      <c r="L197" s="5"/>
      <c r="M197" s="5"/>
    </row>
    <row r="198" spans="1:13">
      <c r="A198" s="778">
        <v>6</v>
      </c>
      <c r="C198" s="64" t="s">
        <v>65</v>
      </c>
      <c r="D198" s="64"/>
      <c r="E198" s="63"/>
      <c r="F198" s="63"/>
      <c r="G198" s="63"/>
      <c r="H198" s="71"/>
      <c r="I198" s="63"/>
      <c r="J198" s="481">
        <f>E121</f>
        <v>48077226</v>
      </c>
      <c r="K198" s="35"/>
      <c r="L198" s="5"/>
      <c r="M198" s="5"/>
    </row>
    <row r="199" spans="1:13" ht="15.75" thickBot="1">
      <c r="A199" s="778">
        <v>7</v>
      </c>
      <c r="C199" s="393" t="s">
        <v>380</v>
      </c>
      <c r="D199" s="65"/>
      <c r="E199" s="66"/>
      <c r="F199" s="66"/>
      <c r="G199" s="35"/>
      <c r="H199" s="35"/>
      <c r="I199" s="35"/>
      <c r="J199" s="211">
        <f>INPUT!C100</f>
        <v>3987915</v>
      </c>
      <c r="K199" s="35"/>
      <c r="L199" s="5"/>
      <c r="M199" s="5"/>
    </row>
    <row r="200" spans="1:13">
      <c r="A200" s="778">
        <v>8</v>
      </c>
      <c r="C200" s="57" t="s">
        <v>162</v>
      </c>
      <c r="D200" s="68"/>
      <c r="E200" s="69"/>
      <c r="F200" s="69"/>
      <c r="G200" s="69"/>
      <c r="H200" s="70"/>
      <c r="I200" s="69"/>
      <c r="J200" s="481">
        <f>J198-J199</f>
        <v>44089311</v>
      </c>
      <c r="K200" s="64"/>
      <c r="M200" s="5"/>
    </row>
    <row r="201" spans="1:13">
      <c r="A201" s="778"/>
      <c r="C201" s="57"/>
      <c r="D201" s="63"/>
      <c r="E201" s="35"/>
      <c r="F201" s="35"/>
      <c r="G201" s="35"/>
      <c r="H201" s="35"/>
      <c r="I201" s="64"/>
      <c r="J201" s="64"/>
      <c r="K201" s="64"/>
      <c r="M201" s="5"/>
    </row>
    <row r="202" spans="1:13">
      <c r="A202" s="778">
        <v>9</v>
      </c>
      <c r="C202" s="57" t="s">
        <v>161</v>
      </c>
      <c r="D202" s="63"/>
      <c r="E202" s="35"/>
      <c r="F202" s="35"/>
      <c r="G202" s="35"/>
      <c r="H202" s="35"/>
      <c r="I202" s="35"/>
      <c r="J202" s="61">
        <f>IF(J198&gt;0,ROUND(J200/J198,5),0)</f>
        <v>0.91705000000000003</v>
      </c>
      <c r="K202" s="64"/>
      <c r="M202" s="5"/>
    </row>
    <row r="203" spans="1:13">
      <c r="A203" s="778">
        <v>10</v>
      </c>
      <c r="C203" s="57" t="s">
        <v>332</v>
      </c>
      <c r="D203" s="63"/>
      <c r="E203" s="35"/>
      <c r="F203" s="35"/>
      <c r="G203" s="35"/>
      <c r="H203" s="35"/>
      <c r="I203" s="63" t="s">
        <v>15</v>
      </c>
      <c r="J203" s="72">
        <f>J194</f>
        <v>1</v>
      </c>
      <c r="K203" s="64"/>
      <c r="M203" s="5"/>
    </row>
    <row r="204" spans="1:13">
      <c r="A204" s="778">
        <v>11</v>
      </c>
      <c r="C204" s="57" t="s">
        <v>333</v>
      </c>
      <c r="D204" s="63"/>
      <c r="E204" s="63"/>
      <c r="F204" s="63"/>
      <c r="G204" s="63"/>
      <c r="H204" s="63"/>
      <c r="I204" s="63" t="s">
        <v>66</v>
      </c>
      <c r="J204" s="73">
        <f>ROUND(J203*J202,5)</f>
        <v>0.91705000000000003</v>
      </c>
      <c r="K204" s="64"/>
      <c r="M204" s="5"/>
    </row>
    <row r="205" spans="1:13">
      <c r="A205" s="778"/>
      <c r="D205" s="1"/>
      <c r="E205" s="5"/>
      <c r="F205" s="5"/>
      <c r="G205" s="5"/>
      <c r="H205" s="6"/>
      <c r="I205" s="5"/>
      <c r="M205" s="5"/>
    </row>
    <row r="206" spans="1:13" ht="15.75">
      <c r="A206" s="778" t="s">
        <v>8</v>
      </c>
      <c r="C206" s="13" t="s">
        <v>673</v>
      </c>
      <c r="D206" s="5"/>
      <c r="E206" s="5"/>
      <c r="F206" s="5"/>
      <c r="G206" s="5"/>
      <c r="H206" s="5"/>
      <c r="I206" s="5"/>
      <c r="J206" s="5"/>
      <c r="K206" s="5"/>
      <c r="L206" s="5"/>
      <c r="M206" s="5"/>
    </row>
    <row r="207" spans="1:13" ht="15.75" thickBot="1">
      <c r="A207" s="778" t="s">
        <v>8</v>
      </c>
      <c r="C207" s="3"/>
      <c r="D207" s="42" t="s">
        <v>69</v>
      </c>
      <c r="E207" s="43" t="s">
        <v>70</v>
      </c>
      <c r="F207" s="43" t="s">
        <v>15</v>
      </c>
      <c r="G207" s="5"/>
      <c r="H207" s="43" t="s">
        <v>71</v>
      </c>
      <c r="I207" s="5"/>
      <c r="J207" s="5"/>
      <c r="K207" s="5"/>
      <c r="L207" s="5"/>
      <c r="M207" s="5"/>
    </row>
    <row r="208" spans="1:13">
      <c r="A208" s="778">
        <v>12</v>
      </c>
      <c r="C208" s="3" t="s">
        <v>30</v>
      </c>
      <c r="D208" s="577" t="s">
        <v>72</v>
      </c>
      <c r="E208" s="340">
        <f>INPUT!C105</f>
        <v>2513393</v>
      </c>
      <c r="F208" s="79">
        <v>0</v>
      </c>
      <c r="G208" s="21"/>
      <c r="H208" s="5">
        <f>E208*F208</f>
        <v>0</v>
      </c>
      <c r="I208" s="5"/>
      <c r="J208" s="5"/>
      <c r="K208" s="5"/>
      <c r="L208" s="5"/>
      <c r="M208" s="5"/>
    </row>
    <row r="209" spans="1:13">
      <c r="A209" s="778">
        <v>13</v>
      </c>
      <c r="C209" s="3" t="s">
        <v>32</v>
      </c>
      <c r="D209" s="577" t="s">
        <v>197</v>
      </c>
      <c r="E209" s="340">
        <f>INPUT!C106</f>
        <v>7181338</v>
      </c>
      <c r="F209" s="21">
        <f>J194</f>
        <v>1</v>
      </c>
      <c r="G209" s="21"/>
      <c r="H209" s="5">
        <f>E209*F209</f>
        <v>7181338</v>
      </c>
      <c r="I209" s="5"/>
      <c r="J209" s="5"/>
      <c r="K209" s="5"/>
      <c r="L209" s="5"/>
      <c r="M209" s="1"/>
    </row>
    <row r="210" spans="1:13">
      <c r="A210" s="778">
        <v>14</v>
      </c>
      <c r="C210" s="3" t="s">
        <v>33</v>
      </c>
      <c r="D210" s="577" t="s">
        <v>198</v>
      </c>
      <c r="E210" s="340">
        <f>INPUT!C107</f>
        <v>26872703</v>
      </c>
      <c r="F210" s="79">
        <v>0</v>
      </c>
      <c r="G210" s="21"/>
      <c r="H210" s="5">
        <f>E210*F210</f>
        <v>0</v>
      </c>
      <c r="I210" s="5"/>
      <c r="J210" s="45" t="s">
        <v>695</v>
      </c>
      <c r="K210" s="5"/>
      <c r="L210" s="5"/>
      <c r="M210" s="5"/>
    </row>
    <row r="211" spans="1:13" ht="15.75" thickBot="1">
      <c r="A211" s="778">
        <v>15</v>
      </c>
      <c r="C211" s="3" t="s">
        <v>73</v>
      </c>
      <c r="D211" s="577" t="s">
        <v>199</v>
      </c>
      <c r="E211" s="219">
        <f>INPUT!C108</f>
        <v>10957862</v>
      </c>
      <c r="F211" s="79">
        <v>0</v>
      </c>
      <c r="G211" s="21"/>
      <c r="H211" s="42">
        <f>E211*F211</f>
        <v>0</v>
      </c>
      <c r="I211" s="5"/>
      <c r="J211" s="38" t="s">
        <v>74</v>
      </c>
      <c r="K211" s="5"/>
      <c r="L211" s="5"/>
      <c r="M211" s="5"/>
    </row>
    <row r="212" spans="1:13">
      <c r="A212" s="778">
        <v>16</v>
      </c>
      <c r="C212" s="3" t="s">
        <v>679</v>
      </c>
      <c r="D212" s="577"/>
      <c r="E212" s="212">
        <f>SUM(E208:E211)</f>
        <v>47525296</v>
      </c>
      <c r="F212" s="5"/>
      <c r="G212" s="5"/>
      <c r="H212" s="5">
        <f>SUM(H208:H211)</f>
        <v>7181338</v>
      </c>
      <c r="I212" s="4" t="s">
        <v>75</v>
      </c>
      <c r="J212" s="14">
        <f>IF(H212&gt;0,ROUND(H212/E212,5),0)</f>
        <v>0.15110999999999999</v>
      </c>
      <c r="K212" s="6" t="s">
        <v>75</v>
      </c>
      <c r="L212" s="5" t="s">
        <v>152</v>
      </c>
      <c r="M212" s="5"/>
    </row>
    <row r="213" spans="1:13">
      <c r="A213" s="778"/>
      <c r="C213" s="3"/>
      <c r="D213" s="577"/>
      <c r="E213" s="5"/>
      <c r="F213" s="5"/>
      <c r="G213" s="5"/>
      <c r="H213" s="5"/>
      <c r="I213" s="5"/>
      <c r="J213" s="5"/>
      <c r="K213" s="5"/>
      <c r="L213" s="5"/>
      <c r="M213" s="5" t="s">
        <v>8</v>
      </c>
    </row>
    <row r="214" spans="1:13" ht="15.75">
      <c r="A214" s="778"/>
      <c r="C214" s="394" t="s">
        <v>352</v>
      </c>
      <c r="D214" s="577"/>
      <c r="E214" s="5"/>
      <c r="F214" s="5"/>
      <c r="G214" s="5"/>
      <c r="M214" s="5"/>
    </row>
    <row r="215" spans="1:13" ht="15.75" thickBot="1">
      <c r="A215" s="778"/>
      <c r="C215" s="3"/>
      <c r="D215" s="577"/>
      <c r="E215" s="480" t="s">
        <v>70</v>
      </c>
      <c r="F215" s="5"/>
      <c r="G215" s="5"/>
      <c r="H215" s="6" t="s">
        <v>76</v>
      </c>
      <c r="I215" s="16" t="s">
        <v>8</v>
      </c>
      <c r="J215" s="18" t="str">
        <f>J210</f>
        <v>WS Allocator</v>
      </c>
      <c r="M215" s="5"/>
    </row>
    <row r="216" spans="1:13">
      <c r="A216" s="778">
        <v>17</v>
      </c>
      <c r="C216" s="3" t="s">
        <v>77</v>
      </c>
      <c r="D216" s="577" t="s">
        <v>78</v>
      </c>
      <c r="E216" s="340">
        <f>INPUT!C113</f>
        <v>3146864058</v>
      </c>
      <c r="F216" s="5"/>
      <c r="H216" s="853" t="s">
        <v>690</v>
      </c>
      <c r="I216" s="854"/>
      <c r="J216" s="853" t="s">
        <v>79</v>
      </c>
      <c r="K216" s="5"/>
      <c r="L216" s="425" t="s">
        <v>80</v>
      </c>
      <c r="M216" s="5"/>
    </row>
    <row r="217" spans="1:13">
      <c r="A217" s="778">
        <v>18</v>
      </c>
      <c r="C217" s="3" t="s">
        <v>81</v>
      </c>
      <c r="D217" s="577" t="s">
        <v>177</v>
      </c>
      <c r="E217" s="340">
        <f>INPUT!C114</f>
        <v>1541712982</v>
      </c>
      <c r="F217" s="5"/>
      <c r="H217" s="19">
        <f>IF(E219&gt;0,ROUND(E216/E219,5),0)</f>
        <v>0.67118</v>
      </c>
      <c r="I217" s="6" t="s">
        <v>82</v>
      </c>
      <c r="J217" s="19">
        <f>J212</f>
        <v>0.15110999999999999</v>
      </c>
      <c r="K217" s="16" t="s">
        <v>75</v>
      </c>
      <c r="L217" s="426">
        <f>ROUND(J217*H217,5)</f>
        <v>0.10142</v>
      </c>
      <c r="M217" s="5"/>
    </row>
    <row r="218" spans="1:13" ht="15.75" thickBot="1">
      <c r="A218" s="778">
        <v>19</v>
      </c>
      <c r="C218" s="51" t="s">
        <v>83</v>
      </c>
      <c r="D218" s="757" t="s">
        <v>178</v>
      </c>
      <c r="E218" s="219">
        <f>INPUT!C115</f>
        <v>0</v>
      </c>
      <c r="F218" s="5"/>
      <c r="G218" s="5"/>
      <c r="H218" s="5" t="s">
        <v>8</v>
      </c>
      <c r="I218" s="5"/>
      <c r="J218" s="5"/>
      <c r="K218" s="5"/>
      <c r="L218" s="5"/>
      <c r="M218" s="5"/>
    </row>
    <row r="219" spans="1:13">
      <c r="A219" s="778">
        <v>20</v>
      </c>
      <c r="C219" s="3" t="s">
        <v>134</v>
      </c>
      <c r="D219" s="5"/>
      <c r="E219" s="212">
        <f>E216+E217+E218</f>
        <v>4688577040</v>
      </c>
      <c r="F219" s="5"/>
      <c r="G219" s="5"/>
      <c r="H219" s="5"/>
      <c r="I219" s="5"/>
      <c r="J219" s="5"/>
      <c r="K219" s="5"/>
      <c r="L219" s="5"/>
      <c r="M219" s="5"/>
    </row>
    <row r="220" spans="1:13">
      <c r="A220" s="778"/>
      <c r="C220" s="3"/>
      <c r="D220" s="5"/>
      <c r="F220" s="5"/>
      <c r="G220" s="5"/>
      <c r="H220" s="5"/>
      <c r="I220" s="5"/>
      <c r="J220" s="5"/>
      <c r="K220" s="5"/>
      <c r="L220" s="5"/>
      <c r="M220" s="5"/>
    </row>
    <row r="221" spans="1:13" ht="16.5" thickBot="1">
      <c r="A221" s="778"/>
      <c r="B221" s="29"/>
      <c r="C221" s="359" t="s">
        <v>84</v>
      </c>
      <c r="D221" s="5"/>
      <c r="E221" s="5"/>
      <c r="F221" s="5"/>
      <c r="G221" s="5"/>
      <c r="H221" s="5"/>
      <c r="I221" s="5"/>
      <c r="J221" s="43" t="s">
        <v>70</v>
      </c>
      <c r="K221" s="5"/>
      <c r="L221" s="5"/>
      <c r="M221" s="5"/>
    </row>
    <row r="222" spans="1:13">
      <c r="A222" s="778">
        <v>21</v>
      </c>
      <c r="B222" s="29"/>
      <c r="C222" s="29"/>
      <c r="D222" s="577" t="s">
        <v>189</v>
      </c>
      <c r="E222" s="5"/>
      <c r="F222" s="5"/>
      <c r="G222" s="5"/>
      <c r="H222" s="5"/>
      <c r="I222" s="5"/>
      <c r="J222" s="478">
        <f>INPUT!C119</f>
        <v>83595777</v>
      </c>
      <c r="K222" s="5"/>
      <c r="L222" s="5"/>
      <c r="M222" s="5"/>
    </row>
    <row r="223" spans="1:13">
      <c r="A223" s="778"/>
      <c r="C223" s="3"/>
      <c r="D223" s="577"/>
      <c r="E223" s="5"/>
      <c r="F223" s="5"/>
      <c r="G223" s="5"/>
      <c r="H223" s="5"/>
      <c r="I223" s="5"/>
      <c r="J223" s="212"/>
      <c r="K223" s="5"/>
      <c r="L223" s="5"/>
      <c r="M223" s="5"/>
    </row>
    <row r="224" spans="1:13">
      <c r="A224" s="778">
        <v>22</v>
      </c>
      <c r="B224" s="29"/>
      <c r="C224" s="27"/>
      <c r="D224" s="577" t="s">
        <v>190</v>
      </c>
      <c r="E224" s="5"/>
      <c r="F224" s="5"/>
      <c r="G224" s="5"/>
      <c r="H224" s="5"/>
      <c r="I224" s="35"/>
      <c r="J224" s="477">
        <f>INPUT!C121</f>
        <v>0</v>
      </c>
      <c r="K224" s="5"/>
      <c r="L224" s="5"/>
      <c r="M224" s="5"/>
    </row>
    <row r="225" spans="1:13">
      <c r="A225" s="778"/>
      <c r="B225" s="29"/>
      <c r="C225" s="27"/>
      <c r="D225" s="577"/>
      <c r="E225" s="5"/>
      <c r="F225" s="5"/>
      <c r="G225" s="5"/>
      <c r="H225" s="5"/>
      <c r="I225" s="5"/>
      <c r="J225" s="212"/>
      <c r="K225" s="5"/>
      <c r="L225" s="5"/>
      <c r="M225" s="5"/>
    </row>
    <row r="226" spans="1:13">
      <c r="A226" s="778"/>
      <c r="B226" s="29"/>
      <c r="C226" s="27" t="s">
        <v>85</v>
      </c>
      <c r="D226" s="577"/>
      <c r="E226" s="5"/>
      <c r="F226" s="5"/>
      <c r="G226" s="5"/>
      <c r="H226" s="5"/>
      <c r="I226" s="5"/>
      <c r="J226" s="212"/>
      <c r="K226" s="5"/>
      <c r="L226" s="5"/>
      <c r="M226" s="5"/>
    </row>
    <row r="227" spans="1:13">
      <c r="A227" s="778">
        <v>23</v>
      </c>
      <c r="B227" s="29"/>
      <c r="C227" s="27"/>
      <c r="D227" s="577" t="s">
        <v>183</v>
      </c>
      <c r="E227" s="29"/>
      <c r="F227" s="5"/>
      <c r="G227" s="5"/>
      <c r="H227" s="5"/>
      <c r="I227" s="5"/>
      <c r="J227" s="340">
        <f>INPUT!C124</f>
        <v>2427320014</v>
      </c>
      <c r="K227" s="5"/>
      <c r="L227" s="5"/>
      <c r="M227" s="5"/>
    </row>
    <row r="228" spans="1:13">
      <c r="A228" s="778">
        <v>24</v>
      </c>
      <c r="B228" s="29"/>
      <c r="C228" s="27"/>
      <c r="D228" s="579" t="s">
        <v>688</v>
      </c>
      <c r="E228" s="597"/>
      <c r="F228" s="5"/>
      <c r="G228" s="5"/>
      <c r="H228" s="5"/>
      <c r="I228" s="5"/>
      <c r="J228" s="340">
        <f>INPUT!C125</f>
        <v>0</v>
      </c>
      <c r="K228" s="5"/>
      <c r="L228" s="5"/>
      <c r="M228" s="5"/>
    </row>
    <row r="229" spans="1:13" ht="15.75" thickBot="1">
      <c r="A229" s="778">
        <v>25</v>
      </c>
      <c r="B229" s="29"/>
      <c r="C229" s="27"/>
      <c r="D229" s="579" t="s">
        <v>184</v>
      </c>
      <c r="E229" s="597"/>
      <c r="F229" s="5"/>
      <c r="G229" s="5"/>
      <c r="H229" s="5"/>
      <c r="I229" s="5"/>
      <c r="J229" s="219">
        <f>INPUT!C126</f>
        <v>-613729189</v>
      </c>
      <c r="K229" s="5"/>
      <c r="L229" s="5"/>
      <c r="M229" s="5"/>
    </row>
    <row r="230" spans="1:13">
      <c r="A230" s="778">
        <v>26</v>
      </c>
      <c r="B230" s="29"/>
      <c r="C230" s="29"/>
      <c r="D230" s="579" t="s">
        <v>689</v>
      </c>
      <c r="E230" s="601"/>
      <c r="F230" s="29"/>
      <c r="G230" s="29"/>
      <c r="H230" s="29"/>
      <c r="I230" s="29"/>
      <c r="J230" s="212">
        <f>J227+J228+J229</f>
        <v>1813590825</v>
      </c>
      <c r="K230" s="5"/>
      <c r="L230" s="5"/>
      <c r="M230" s="5"/>
    </row>
    <row r="231" spans="1:13">
      <c r="A231" s="778"/>
      <c r="C231" s="3"/>
      <c r="D231" s="5"/>
      <c r="E231" s="5"/>
      <c r="F231" s="5"/>
      <c r="G231" s="5"/>
      <c r="H231" s="6"/>
      <c r="I231" s="5"/>
      <c r="J231" s="5"/>
      <c r="K231" s="5"/>
      <c r="L231" s="5"/>
      <c r="M231" s="5"/>
    </row>
    <row r="232" spans="1:13" ht="15.75" thickBot="1">
      <c r="A232" s="778"/>
      <c r="C232" s="3"/>
      <c r="D232" s="55" t="s">
        <v>367</v>
      </c>
      <c r="E232" s="38" t="s">
        <v>70</v>
      </c>
      <c r="F232" s="38" t="s">
        <v>88</v>
      </c>
      <c r="G232" s="5"/>
      <c r="H232" s="38" t="s">
        <v>87</v>
      </c>
      <c r="I232" s="5"/>
      <c r="J232" s="38" t="s">
        <v>89</v>
      </c>
      <c r="K232" s="5"/>
      <c r="L232" s="5"/>
      <c r="M232" s="5"/>
    </row>
    <row r="233" spans="1:13">
      <c r="A233" s="778">
        <v>27</v>
      </c>
      <c r="C233" s="62" t="s">
        <v>185</v>
      </c>
      <c r="E233" s="340">
        <f>INPUT!C130</f>
        <v>1650000000</v>
      </c>
      <c r="F233" s="52">
        <f>IF($E$236&gt;0,E233/$E$236,0)</f>
        <v>0.47638421608302994</v>
      </c>
      <c r="G233" s="22"/>
      <c r="H233" s="22">
        <f>IF(E233&gt;0,J222/E233,0)</f>
        <v>5.0664107272727271E-2</v>
      </c>
      <c r="J233" s="22">
        <f>ROUND(H233*F233,4)</f>
        <v>2.41E-2</v>
      </c>
      <c r="K233" s="23" t="s">
        <v>90</v>
      </c>
      <c r="M233" s="5"/>
    </row>
    <row r="234" spans="1:13">
      <c r="A234" s="778">
        <v>28</v>
      </c>
      <c r="C234" s="62" t="s">
        <v>186</v>
      </c>
      <c r="E234" s="340">
        <f>INPUT!C131</f>
        <v>0</v>
      </c>
      <c r="F234" s="52">
        <f>IF($E$236&gt;0,E234/$E$236,0)</f>
        <v>0</v>
      </c>
      <c r="G234" s="22"/>
      <c r="H234" s="22">
        <f>IF(E234&gt;0,J224/E234,0)</f>
        <v>0</v>
      </c>
      <c r="J234" s="22">
        <f>ROUND(H234*F234,4)</f>
        <v>0</v>
      </c>
      <c r="K234" s="5"/>
      <c r="M234" s="5"/>
    </row>
    <row r="235" spans="1:13" ht="16.5" thickBot="1">
      <c r="A235" s="778">
        <v>29</v>
      </c>
      <c r="C235" s="626" t="s">
        <v>91</v>
      </c>
      <c r="E235" s="213">
        <f>J230</f>
        <v>1813590825</v>
      </c>
      <c r="F235" s="52">
        <f>IF($E$236&gt;0,E235/$E$236,0)</f>
        <v>0.52361578391697006</v>
      </c>
      <c r="G235" s="22"/>
      <c r="H235" s="486">
        <f>ROE</f>
        <v>0.1138</v>
      </c>
      <c r="J235" s="58">
        <f>ROUND(H235*F235,4)</f>
        <v>5.96E-2</v>
      </c>
      <c r="K235" s="5"/>
      <c r="M235" s="5"/>
    </row>
    <row r="236" spans="1:13">
      <c r="A236" s="778">
        <v>30</v>
      </c>
      <c r="C236" s="593" t="s">
        <v>154</v>
      </c>
      <c r="E236" s="212">
        <f>E235+E234+E233</f>
        <v>3463590825</v>
      </c>
      <c r="F236" s="5" t="s">
        <v>8</v>
      </c>
      <c r="G236" s="5"/>
      <c r="H236" s="5"/>
      <c r="I236" s="5"/>
      <c r="J236" s="22">
        <f>SUM(J233:J235)</f>
        <v>8.3699999999999997E-2</v>
      </c>
      <c r="K236" s="23" t="s">
        <v>92</v>
      </c>
      <c r="M236" s="5"/>
    </row>
    <row r="237" spans="1:13">
      <c r="F237" s="5"/>
      <c r="G237" s="5"/>
      <c r="H237" s="5"/>
      <c r="I237" s="5"/>
      <c r="M237" s="5"/>
    </row>
    <row r="238" spans="1:13">
      <c r="L238" s="5"/>
      <c r="M238" s="5"/>
    </row>
    <row r="239" spans="1:13" ht="15.75">
      <c r="A239" s="778"/>
      <c r="C239" s="359" t="s">
        <v>93</v>
      </c>
      <c r="D239" s="29"/>
      <c r="E239" s="29"/>
      <c r="F239" s="29"/>
      <c r="G239" s="29"/>
      <c r="H239" s="29"/>
      <c r="I239" s="29"/>
      <c r="J239" s="29"/>
      <c r="K239" s="29"/>
      <c r="L239" s="29"/>
      <c r="M239" s="5"/>
    </row>
    <row r="240" spans="1:13" ht="15.75" thickBot="1">
      <c r="A240" s="778"/>
      <c r="C240" s="27"/>
      <c r="D240" s="27"/>
      <c r="E240" s="27"/>
      <c r="F240" s="27"/>
      <c r="G240" s="27"/>
      <c r="H240" s="27"/>
      <c r="I240" s="27"/>
      <c r="J240" s="38" t="s">
        <v>135</v>
      </c>
      <c r="K240" s="55"/>
    </row>
    <row r="241" spans="1:13">
      <c r="A241" s="778"/>
      <c r="C241" s="391" t="s">
        <v>381</v>
      </c>
      <c r="D241" s="29"/>
      <c r="E241" s="29" t="s">
        <v>94</v>
      </c>
      <c r="F241" s="29"/>
      <c r="G241" s="29"/>
      <c r="H241" s="33" t="s">
        <v>8</v>
      </c>
      <c r="I241" s="26"/>
      <c r="J241" s="224"/>
      <c r="K241" s="224"/>
    </row>
    <row r="242" spans="1:13">
      <c r="A242" s="778">
        <v>31</v>
      </c>
      <c r="C242" s="12" t="s">
        <v>132</v>
      </c>
      <c r="D242" s="29"/>
      <c r="E242" s="29"/>
      <c r="G242" s="29"/>
      <c r="I242" s="26"/>
      <c r="J242" s="415">
        <v>0</v>
      </c>
      <c r="K242" s="225"/>
    </row>
    <row r="243" spans="1:13" ht="15.75" thickBot="1">
      <c r="A243" s="778">
        <v>32</v>
      </c>
      <c r="C243" s="53" t="s">
        <v>356</v>
      </c>
      <c r="D243" s="50"/>
      <c r="E243" s="53"/>
      <c r="F243" s="49"/>
      <c r="G243" s="49"/>
      <c r="H243" s="49"/>
      <c r="I243" s="29"/>
      <c r="J243" s="416">
        <v>0</v>
      </c>
      <c r="K243" s="226"/>
    </row>
    <row r="244" spans="1:13">
      <c r="A244" s="778">
        <v>33</v>
      </c>
      <c r="C244" s="12" t="s">
        <v>95</v>
      </c>
      <c r="D244" s="1"/>
      <c r="F244" s="29"/>
      <c r="G244" s="29"/>
      <c r="H244" s="29"/>
      <c r="I244" s="29"/>
      <c r="J244" s="56">
        <f>J242-J243</f>
        <v>0</v>
      </c>
      <c r="K244" s="225"/>
    </row>
    <row r="245" spans="1:13">
      <c r="A245" s="778"/>
      <c r="C245" s="12" t="s">
        <v>8</v>
      </c>
      <c r="D245" s="1"/>
      <c r="F245" s="29"/>
      <c r="G245" s="29"/>
      <c r="H245" s="44"/>
      <c r="I245" s="29"/>
      <c r="J245" s="39" t="s">
        <v>8</v>
      </c>
      <c r="K245" s="224"/>
      <c r="L245" s="40"/>
      <c r="M245" s="5"/>
    </row>
    <row r="246" spans="1:13">
      <c r="A246" s="778">
        <v>34</v>
      </c>
      <c r="C246" s="391" t="s">
        <v>382</v>
      </c>
      <c r="D246" s="1"/>
      <c r="E246" s="604"/>
      <c r="F246" s="29"/>
      <c r="G246" s="29"/>
      <c r="H246" s="54"/>
      <c r="I246" s="29"/>
      <c r="J246" s="107">
        <f>ROUND('P8 Rev Cred Support'!C25,0)</f>
        <v>214747</v>
      </c>
      <c r="K246" s="224"/>
      <c r="L246" s="40"/>
      <c r="M246" s="5"/>
    </row>
    <row r="247" spans="1:13">
      <c r="A247" s="778"/>
      <c r="D247" s="29"/>
      <c r="E247" s="601"/>
      <c r="F247" s="29"/>
      <c r="G247" s="29"/>
      <c r="H247" s="29"/>
      <c r="I247" s="29"/>
      <c r="J247" s="75"/>
      <c r="K247" s="224"/>
      <c r="L247" s="40"/>
      <c r="M247" s="5"/>
    </row>
    <row r="248" spans="1:13">
      <c r="A248" s="778">
        <v>35</v>
      </c>
      <c r="C248" s="391" t="s">
        <v>395</v>
      </c>
      <c r="D248" s="29"/>
      <c r="E248" s="601" t="s">
        <v>96</v>
      </c>
      <c r="F248" s="29"/>
      <c r="G248" s="29"/>
      <c r="H248" s="29"/>
      <c r="I248" s="29"/>
      <c r="J248" s="107">
        <f>'P8 Rev Cred Support'!C51</f>
        <v>557900</v>
      </c>
      <c r="L248" s="41"/>
      <c r="M248" s="5"/>
    </row>
    <row r="249" spans="1:13">
      <c r="A249" s="778">
        <v>36</v>
      </c>
      <c r="C249" s="392" t="s">
        <v>674</v>
      </c>
      <c r="D249" s="27"/>
      <c r="E249" s="601" t="s">
        <v>96</v>
      </c>
      <c r="F249" s="27"/>
      <c r="G249" s="27"/>
      <c r="H249" s="27"/>
      <c r="I249" s="29"/>
      <c r="J249" s="107">
        <f>'P8 Rev Cred Support'!C43</f>
        <v>1756859</v>
      </c>
      <c r="K249" s="30"/>
      <c r="L249" s="28"/>
      <c r="M249" s="30"/>
    </row>
    <row r="250" spans="1:13" s="670" customFormat="1">
      <c r="A250" s="778"/>
      <c r="C250" s="392"/>
      <c r="D250" s="626"/>
      <c r="E250" s="601"/>
      <c r="F250" s="626"/>
      <c r="G250" s="626"/>
      <c r="H250" s="626"/>
      <c r="I250" s="601"/>
      <c r="J250" s="766"/>
      <c r="K250" s="596"/>
      <c r="L250" s="88"/>
      <c r="M250" s="596"/>
    </row>
    <row r="251" spans="1:13" ht="18">
      <c r="A251" s="781"/>
      <c r="C251" s="27"/>
      <c r="D251" s="27"/>
      <c r="E251" s="28"/>
      <c r="F251" s="27"/>
      <c r="G251" s="27"/>
      <c r="H251" s="27"/>
      <c r="I251" s="29"/>
      <c r="J251" s="74" t="s">
        <v>318</v>
      </c>
      <c r="K251" s="87"/>
      <c r="M251" s="87"/>
    </row>
    <row r="252" spans="1:13">
      <c r="C252" s="27"/>
      <c r="D252" s="27"/>
      <c r="E252" s="28"/>
      <c r="F252" s="27"/>
      <c r="G252" s="27"/>
      <c r="H252" s="27"/>
      <c r="I252" s="29"/>
      <c r="J252" s="74" t="s">
        <v>443</v>
      </c>
      <c r="M252" s="74"/>
    </row>
    <row r="253" spans="1:13">
      <c r="C253" s="27"/>
      <c r="D253" s="27"/>
      <c r="E253" s="28"/>
      <c r="F253" s="27"/>
      <c r="G253" s="27"/>
      <c r="H253" s="27"/>
      <c r="I253" s="29"/>
      <c r="J253" s="74"/>
      <c r="M253" s="74"/>
    </row>
    <row r="254" spans="1:13">
      <c r="C254" s="27"/>
      <c r="D254" s="27"/>
      <c r="E254" s="28"/>
      <c r="F254" s="27"/>
      <c r="G254" s="27"/>
      <c r="H254" s="27"/>
      <c r="I254" s="29"/>
      <c r="M254" s="74"/>
    </row>
    <row r="255" spans="1:13">
      <c r="C255" s="27"/>
      <c r="D255" s="27"/>
      <c r="E255" s="28"/>
      <c r="F255" s="27"/>
      <c r="G255" s="27"/>
      <c r="H255" s="27"/>
      <c r="I255" s="29"/>
      <c r="K255" s="1"/>
      <c r="M255" s="74"/>
    </row>
    <row r="256" spans="1:13">
      <c r="C256" s="27"/>
      <c r="D256" s="27"/>
      <c r="E256" s="28"/>
      <c r="F256" s="27"/>
      <c r="G256" s="27"/>
      <c r="H256" s="27"/>
      <c r="I256" s="29"/>
      <c r="J256" s="74"/>
      <c r="K256" s="1"/>
      <c r="M256" s="74"/>
    </row>
    <row r="257" spans="1:13">
      <c r="C257" s="27" t="s">
        <v>7</v>
      </c>
      <c r="D257" s="27"/>
      <c r="E257" s="28"/>
      <c r="F257" s="27"/>
      <c r="G257" s="27"/>
      <c r="H257" s="27"/>
      <c r="I257" s="29"/>
      <c r="J257" s="88" t="str">
        <f>$J$7</f>
        <v>For the 12 months ended: 12/31/2017</v>
      </c>
      <c r="K257" s="1"/>
      <c r="M257" s="74"/>
    </row>
    <row r="258" spans="1:13">
      <c r="A258" s="782" t="str">
        <f>$A$8</f>
        <v>Rate Formula Template</v>
      </c>
      <c r="B258" s="109"/>
      <c r="C258" s="109"/>
      <c r="D258" s="254"/>
      <c r="E258" s="109"/>
      <c r="F258" s="254"/>
      <c r="G258" s="254"/>
      <c r="H258" s="254"/>
      <c r="I258" s="254"/>
      <c r="J258" s="109"/>
      <c r="K258" s="29"/>
      <c r="L258" s="109"/>
      <c r="M258" s="1"/>
    </row>
    <row r="259" spans="1:13">
      <c r="A259" s="783" t="s">
        <v>289</v>
      </c>
      <c r="B259" s="109"/>
      <c r="C259" s="254"/>
      <c r="D259" s="256"/>
      <c r="E259" s="109"/>
      <c r="F259" s="256"/>
      <c r="G259" s="256"/>
      <c r="H259" s="256"/>
      <c r="I259" s="254"/>
      <c r="J259" s="254"/>
      <c r="K259" s="29"/>
      <c r="L259" s="257"/>
      <c r="M259" s="1"/>
    </row>
    <row r="260" spans="1:13">
      <c r="A260" s="783"/>
      <c r="B260" s="109"/>
      <c r="C260" s="257"/>
      <c r="D260" s="257"/>
      <c r="E260" s="109"/>
      <c r="F260" s="257"/>
      <c r="G260" s="257"/>
      <c r="H260" s="257"/>
      <c r="I260" s="257"/>
      <c r="J260" s="257"/>
      <c r="K260" s="29"/>
      <c r="L260" s="257"/>
      <c r="M260" s="29"/>
    </row>
    <row r="261" spans="1:13" ht="15.75">
      <c r="A261" s="967" t="str">
        <f>$A$11</f>
        <v>DUKE ENERGY OHIO (DEO)</v>
      </c>
      <c r="B261" s="109"/>
      <c r="C261" s="257"/>
      <c r="D261" s="257"/>
      <c r="E261" s="109"/>
      <c r="F261" s="257"/>
      <c r="G261" s="257"/>
      <c r="H261" s="257"/>
      <c r="I261" s="257"/>
      <c r="J261" s="257"/>
      <c r="K261" s="29"/>
      <c r="L261" s="257"/>
      <c r="M261" s="29"/>
    </row>
    <row r="262" spans="1:13">
      <c r="A262" s="778"/>
      <c r="B262" s="29"/>
      <c r="C262" s="37"/>
      <c r="D262" s="30"/>
      <c r="E262" s="5"/>
      <c r="F262" s="5"/>
      <c r="G262" s="5"/>
      <c r="H262" s="5"/>
      <c r="I262" s="29"/>
      <c r="J262" s="228"/>
      <c r="K262" s="29"/>
      <c r="L262" s="227"/>
      <c r="M262" s="29"/>
    </row>
    <row r="263" spans="1:13" ht="20.25">
      <c r="A263" s="778"/>
      <c r="B263" s="29"/>
      <c r="C263" s="27" t="s">
        <v>97</v>
      </c>
      <c r="D263" s="30"/>
      <c r="E263" s="5"/>
      <c r="F263" s="5"/>
      <c r="G263" s="5"/>
      <c r="H263" s="5"/>
      <c r="I263" s="29"/>
      <c r="J263" s="5"/>
      <c r="K263" s="29"/>
      <c r="L263" s="5"/>
      <c r="M263" s="229"/>
    </row>
    <row r="264" spans="1:13" ht="20.25">
      <c r="A264" s="778"/>
      <c r="B264" s="29"/>
      <c r="C264" s="27" t="s">
        <v>671</v>
      </c>
      <c r="D264" s="29"/>
      <c r="E264" s="5"/>
      <c r="F264" s="5"/>
      <c r="G264" s="5"/>
      <c r="H264" s="5"/>
      <c r="I264" s="29"/>
      <c r="J264" s="5"/>
      <c r="K264" s="29"/>
      <c r="L264" s="5"/>
      <c r="M264" s="229"/>
    </row>
    <row r="265" spans="1:13" ht="20.25">
      <c r="A265" s="787" t="s">
        <v>669</v>
      </c>
      <c r="B265" s="29"/>
      <c r="C265" s="27"/>
      <c r="D265" s="29"/>
      <c r="E265" s="5"/>
      <c r="F265" s="5"/>
      <c r="G265" s="5"/>
      <c r="H265" s="5"/>
      <c r="I265" s="29"/>
      <c r="J265" s="5"/>
      <c r="K265" s="29"/>
      <c r="L265" s="5"/>
      <c r="M265" s="229"/>
    </row>
    <row r="266" spans="1:13" ht="20.25">
      <c r="A266" s="778" t="s">
        <v>100</v>
      </c>
      <c r="B266" s="595"/>
      <c r="C266" s="855" t="s">
        <v>677</v>
      </c>
      <c r="D266" s="630"/>
      <c r="E266" s="631"/>
      <c r="F266" s="631"/>
      <c r="G266" s="631"/>
      <c r="H266" s="631"/>
      <c r="I266" s="630"/>
      <c r="J266" s="631"/>
      <c r="K266" s="630"/>
      <c r="L266" s="631"/>
      <c r="M266" s="230"/>
    </row>
    <row r="267" spans="1:13" ht="20.25">
      <c r="A267" s="779" t="s">
        <v>101</v>
      </c>
      <c r="B267" s="601"/>
      <c r="C267" s="855" t="s">
        <v>784</v>
      </c>
      <c r="D267" s="601"/>
      <c r="E267" s="597"/>
      <c r="F267" s="597"/>
      <c r="G267" s="597"/>
      <c r="H267" s="597"/>
      <c r="I267" s="601"/>
      <c r="J267" s="597"/>
      <c r="K267" s="57"/>
      <c r="L267" s="35"/>
      <c r="M267" s="230"/>
    </row>
    <row r="268" spans="1:13" ht="20.25">
      <c r="A268" s="779" t="s">
        <v>102</v>
      </c>
      <c r="B268" s="601"/>
      <c r="C268" s="767" t="s">
        <v>314</v>
      </c>
      <c r="D268" s="601"/>
      <c r="E268" s="57"/>
      <c r="F268" s="57"/>
      <c r="G268" s="57"/>
      <c r="H268" s="57"/>
      <c r="I268" s="57"/>
      <c r="J268" s="35"/>
      <c r="K268" s="57"/>
      <c r="L268" s="57"/>
      <c r="M268" s="230"/>
    </row>
    <row r="269" spans="1:13" s="594" customFormat="1" ht="20.25">
      <c r="A269" s="779" t="s">
        <v>103</v>
      </c>
      <c r="B269" s="601"/>
      <c r="C269" s="767" t="s">
        <v>314</v>
      </c>
      <c r="D269" s="601"/>
      <c r="E269" s="598"/>
      <c r="F269" s="598"/>
      <c r="G269" s="598"/>
      <c r="H269" s="598"/>
      <c r="I269" s="598"/>
      <c r="J269" s="597"/>
      <c r="K269" s="598"/>
      <c r="L269" s="598"/>
      <c r="M269" s="599"/>
    </row>
    <row r="270" spans="1:13" s="594" customFormat="1" ht="20.25">
      <c r="A270" s="779" t="s">
        <v>104</v>
      </c>
      <c r="B270" s="601"/>
      <c r="C270" s="768" t="s">
        <v>656</v>
      </c>
      <c r="D270" s="601"/>
      <c r="E270" s="598"/>
      <c r="F270" s="598"/>
      <c r="G270" s="598"/>
      <c r="H270" s="598"/>
      <c r="I270" s="598"/>
      <c r="J270" s="597"/>
      <c r="K270" s="598"/>
      <c r="L270" s="598"/>
      <c r="M270" s="599"/>
    </row>
    <row r="271" spans="1:13" ht="20.25">
      <c r="A271" s="779"/>
      <c r="B271" s="601"/>
      <c r="C271" s="768" t="s">
        <v>657</v>
      </c>
      <c r="D271" s="601"/>
      <c r="E271" s="57"/>
      <c r="F271" s="57"/>
      <c r="G271" s="57"/>
      <c r="H271" s="57"/>
      <c r="I271" s="57"/>
      <c r="J271" s="35"/>
      <c r="K271" s="57"/>
      <c r="L271" s="57"/>
      <c r="M271" s="230"/>
    </row>
    <row r="272" spans="1:13" s="670" customFormat="1" ht="20.25">
      <c r="A272" s="779"/>
      <c r="B272" s="601"/>
      <c r="C272" s="768" t="s">
        <v>658</v>
      </c>
      <c r="D272" s="601"/>
      <c r="E272" s="601"/>
      <c r="F272" s="601"/>
      <c r="G272" s="601"/>
      <c r="H272" s="601"/>
      <c r="I272" s="601"/>
      <c r="J272" s="597"/>
      <c r="K272" s="601"/>
      <c r="L272" s="601"/>
      <c r="M272" s="599"/>
    </row>
    <row r="273" spans="1:13" s="670" customFormat="1" ht="20.25">
      <c r="A273" s="779"/>
      <c r="B273" s="601"/>
      <c r="C273" s="768" t="s">
        <v>659</v>
      </c>
      <c r="D273" s="601"/>
      <c r="E273" s="601"/>
      <c r="F273" s="601"/>
      <c r="G273" s="601"/>
      <c r="H273" s="601"/>
      <c r="I273" s="601"/>
      <c r="J273" s="597"/>
      <c r="K273" s="601"/>
      <c r="L273" s="601"/>
      <c r="M273" s="599"/>
    </row>
    <row r="274" spans="1:13" s="670" customFormat="1" ht="20.25">
      <c r="A274" s="779"/>
      <c r="B274" s="601"/>
      <c r="C274" s="768" t="s">
        <v>660</v>
      </c>
      <c r="D274" s="601"/>
      <c r="E274" s="601"/>
      <c r="F274" s="601"/>
      <c r="G274" s="601"/>
      <c r="H274" s="601"/>
      <c r="I274" s="601"/>
      <c r="J274" s="597"/>
      <c r="K274" s="601"/>
      <c r="L274" s="601"/>
      <c r="M274" s="599"/>
    </row>
    <row r="275" spans="1:13" ht="20.25">
      <c r="A275" s="778" t="s">
        <v>105</v>
      </c>
      <c r="B275" s="595"/>
      <c r="C275" s="768" t="s">
        <v>230</v>
      </c>
      <c r="D275" s="601"/>
      <c r="E275" s="57"/>
      <c r="F275" s="57"/>
      <c r="G275" s="57"/>
      <c r="H275" s="57"/>
      <c r="I275" s="57"/>
      <c r="J275" s="35"/>
      <c r="K275" s="57"/>
      <c r="L275" s="57"/>
      <c r="M275" s="230"/>
    </row>
    <row r="276" spans="1:13" ht="20.25">
      <c r="A276" s="778"/>
      <c r="B276" s="595"/>
      <c r="C276" s="768" t="s">
        <v>231</v>
      </c>
      <c r="D276" s="601"/>
      <c r="E276" s="57"/>
      <c r="F276" s="57"/>
      <c r="G276" s="57"/>
      <c r="H276" s="57"/>
      <c r="I276" s="57"/>
      <c r="J276" s="35"/>
      <c r="K276" s="57"/>
      <c r="L276" s="57"/>
      <c r="M276" s="230"/>
    </row>
    <row r="277" spans="1:13" ht="20.25">
      <c r="A277" s="778"/>
      <c r="B277" s="595"/>
      <c r="C277" s="768" t="s">
        <v>216</v>
      </c>
      <c r="D277" s="601"/>
      <c r="E277" s="57"/>
      <c r="F277" s="57"/>
      <c r="G277" s="57"/>
      <c r="H277" s="57"/>
      <c r="I277" s="57"/>
      <c r="J277" s="57"/>
      <c r="K277" s="57"/>
      <c r="L277" s="57"/>
      <c r="M277" s="230"/>
    </row>
    <row r="278" spans="1:13" ht="20.25">
      <c r="A278" s="778" t="s">
        <v>106</v>
      </c>
      <c r="B278" s="595"/>
      <c r="C278" s="768" t="s">
        <v>107</v>
      </c>
      <c r="D278" s="601"/>
      <c r="E278" s="57"/>
      <c r="F278" s="57"/>
      <c r="G278" s="57"/>
      <c r="H278" s="57"/>
      <c r="I278" s="57"/>
      <c r="J278" s="57"/>
      <c r="K278" s="57"/>
      <c r="L278" s="57"/>
      <c r="M278" s="230"/>
    </row>
    <row r="279" spans="1:13" ht="20.25">
      <c r="A279" s="778" t="s">
        <v>108</v>
      </c>
      <c r="B279" s="595"/>
      <c r="C279" s="768" t="s">
        <v>109</v>
      </c>
      <c r="D279" s="601"/>
      <c r="E279" s="57"/>
      <c r="F279" s="57"/>
      <c r="G279" s="57"/>
      <c r="H279" s="57"/>
      <c r="I279" s="57"/>
      <c r="J279" s="57"/>
      <c r="K279" s="57"/>
      <c r="L279" s="57"/>
      <c r="M279" s="230"/>
    </row>
    <row r="280" spans="1:13" ht="20.25">
      <c r="A280" s="778"/>
      <c r="B280" s="595"/>
      <c r="C280" s="768" t="s">
        <v>320</v>
      </c>
      <c r="D280" s="601"/>
      <c r="E280" s="57"/>
      <c r="F280" s="57"/>
      <c r="G280" s="57"/>
      <c r="H280" s="57"/>
      <c r="I280" s="57"/>
      <c r="J280" s="57"/>
      <c r="K280" s="57"/>
      <c r="L280" s="57"/>
      <c r="M280" s="230"/>
    </row>
    <row r="281" spans="1:13" ht="20.25">
      <c r="A281" s="778" t="s">
        <v>110</v>
      </c>
      <c r="B281" s="595"/>
      <c r="C281" s="768" t="s">
        <v>342</v>
      </c>
      <c r="D281" s="601"/>
      <c r="E281" s="57"/>
      <c r="F281" s="57"/>
      <c r="G281" s="57"/>
      <c r="H281" s="57"/>
      <c r="I281" s="57"/>
      <c r="J281" s="57"/>
      <c r="K281" s="57"/>
      <c r="L281" s="57"/>
      <c r="M281" s="230"/>
    </row>
    <row r="282" spans="1:13" ht="20.25">
      <c r="A282" s="778"/>
      <c r="B282" s="595"/>
      <c r="C282" s="769" t="s">
        <v>343</v>
      </c>
      <c r="D282" s="601"/>
      <c r="E282" s="57"/>
      <c r="F282" s="57"/>
      <c r="G282" s="57"/>
      <c r="H282" s="57"/>
      <c r="I282" s="57"/>
      <c r="J282" s="57"/>
      <c r="K282" s="57"/>
      <c r="L282" s="57"/>
      <c r="M282" s="230"/>
    </row>
    <row r="283" spans="1:13" ht="20.25">
      <c r="A283" s="778" t="s">
        <v>111</v>
      </c>
      <c r="B283" s="595"/>
      <c r="C283" s="768" t="s">
        <v>344</v>
      </c>
      <c r="D283" s="601"/>
      <c r="E283" s="57"/>
      <c r="F283" s="57"/>
      <c r="G283" s="57"/>
      <c r="H283" s="57"/>
      <c r="I283" s="57"/>
      <c r="J283" s="57"/>
      <c r="K283" s="57"/>
      <c r="L283" s="57"/>
      <c r="M283" s="230"/>
    </row>
    <row r="284" spans="1:13" ht="20.25">
      <c r="A284" s="778"/>
      <c r="B284" s="595"/>
      <c r="C284" s="768" t="s">
        <v>345</v>
      </c>
      <c r="D284" s="601"/>
      <c r="E284" s="57"/>
      <c r="F284" s="57"/>
      <c r="G284" s="57"/>
      <c r="H284" s="57"/>
      <c r="I284" s="57"/>
      <c r="J284" s="57"/>
      <c r="K284" s="57"/>
      <c r="L284" s="57"/>
      <c r="M284" s="230"/>
    </row>
    <row r="285" spans="1:13" ht="20.25">
      <c r="A285" s="778" t="s">
        <v>112</v>
      </c>
      <c r="B285" s="595"/>
      <c r="C285" s="768" t="s">
        <v>539</v>
      </c>
      <c r="D285" s="601"/>
      <c r="E285" s="57"/>
      <c r="F285" s="57"/>
      <c r="G285" s="57"/>
      <c r="H285" s="57"/>
      <c r="I285" s="57"/>
      <c r="J285" s="57"/>
      <c r="K285" s="57"/>
      <c r="L285" s="57"/>
      <c r="M285" s="230"/>
    </row>
    <row r="286" spans="1:13" ht="20.25">
      <c r="A286" s="778"/>
      <c r="B286" s="595"/>
      <c r="C286" s="768" t="s">
        <v>346</v>
      </c>
      <c r="D286" s="601"/>
      <c r="E286" s="57"/>
      <c r="F286" s="57"/>
      <c r="G286" s="57"/>
      <c r="H286" s="57"/>
      <c r="I286" s="57"/>
      <c r="J286" s="57"/>
      <c r="K286" s="57"/>
      <c r="L286" s="57"/>
      <c r="M286" s="230"/>
    </row>
    <row r="287" spans="1:13" ht="20.25">
      <c r="A287" s="778"/>
      <c r="B287" s="595"/>
      <c r="C287" s="768" t="s">
        <v>347</v>
      </c>
      <c r="D287" s="601"/>
      <c r="E287" s="57"/>
      <c r="F287" s="57"/>
      <c r="G287" s="57"/>
      <c r="H287" s="57"/>
      <c r="I287" s="57"/>
      <c r="J287" s="57"/>
      <c r="K287" s="57"/>
      <c r="L287" s="57"/>
      <c r="M287" s="230"/>
    </row>
    <row r="288" spans="1:13" ht="20.25">
      <c r="A288" s="778"/>
      <c r="B288" s="595"/>
      <c r="C288" s="768" t="s">
        <v>348</v>
      </c>
      <c r="D288" s="601"/>
      <c r="E288" s="57"/>
      <c r="F288" s="57"/>
      <c r="G288" s="57"/>
      <c r="H288" s="57"/>
      <c r="I288" s="57"/>
      <c r="J288" s="57"/>
      <c r="K288" s="57"/>
      <c r="L288" s="57"/>
      <c r="M288" s="230"/>
    </row>
    <row r="289" spans="1:13" ht="20.25">
      <c r="A289" s="778"/>
      <c r="B289" s="595"/>
      <c r="C289" s="768" t="s">
        <v>349</v>
      </c>
      <c r="D289" s="601"/>
      <c r="E289" s="57"/>
      <c r="F289" s="57"/>
      <c r="G289" s="57"/>
      <c r="H289" s="57"/>
      <c r="I289" s="57"/>
      <c r="J289" s="57"/>
      <c r="K289" s="57"/>
      <c r="L289" s="57"/>
      <c r="M289" s="230"/>
    </row>
    <row r="290" spans="1:13" ht="20.25">
      <c r="A290" s="778"/>
      <c r="B290" s="29"/>
      <c r="C290" s="768"/>
      <c r="D290" s="57"/>
      <c r="E290" s="57"/>
      <c r="F290" s="57"/>
      <c r="G290" s="57"/>
      <c r="H290" s="57"/>
      <c r="I290" s="57"/>
      <c r="J290" s="57"/>
      <c r="K290" s="57"/>
      <c r="L290" s="57"/>
      <c r="M290" s="230"/>
    </row>
    <row r="291" spans="1:13" ht="20.25">
      <c r="A291" s="778" t="s">
        <v>8</v>
      </c>
      <c r="B291" s="29"/>
      <c r="C291" s="768" t="s">
        <v>148</v>
      </c>
      <c r="D291" s="768" t="s">
        <v>138</v>
      </c>
      <c r="E291" s="492">
        <f>FIT</f>
        <v>0.21</v>
      </c>
      <c r="F291" s="57"/>
      <c r="G291" s="57"/>
      <c r="H291" s="57"/>
      <c r="I291" s="57"/>
      <c r="J291" s="57"/>
      <c r="K291" s="57"/>
      <c r="L291" s="57"/>
      <c r="M291" s="230"/>
    </row>
    <row r="292" spans="1:13" ht="20.25">
      <c r="A292" s="778"/>
      <c r="B292" s="29"/>
      <c r="C292" s="768"/>
      <c r="D292" s="768" t="s">
        <v>139</v>
      </c>
      <c r="E292" s="380">
        <f>INPUT!C87</f>
        <v>0</v>
      </c>
      <c r="F292" s="57" t="s">
        <v>140</v>
      </c>
      <c r="G292" s="57"/>
      <c r="H292" s="57"/>
      <c r="I292" s="57"/>
      <c r="J292" s="57"/>
      <c r="K292" s="57"/>
      <c r="L292" s="57"/>
      <c r="M292" s="230"/>
    </row>
    <row r="293" spans="1:13" ht="20.25">
      <c r="A293" s="778"/>
      <c r="B293" s="29"/>
      <c r="C293" s="768"/>
      <c r="D293" s="768" t="s">
        <v>141</v>
      </c>
      <c r="E293" s="379">
        <v>0</v>
      </c>
      <c r="F293" s="57" t="s">
        <v>142</v>
      </c>
      <c r="G293" s="57"/>
      <c r="H293" s="57"/>
      <c r="I293" s="57"/>
      <c r="J293" s="57"/>
      <c r="K293" s="57"/>
      <c r="L293" s="57"/>
      <c r="M293" s="230"/>
    </row>
    <row r="294" spans="1:13" ht="20.25">
      <c r="A294" s="778" t="s">
        <v>113</v>
      </c>
      <c r="B294" s="29"/>
      <c r="C294" s="768" t="s">
        <v>696</v>
      </c>
      <c r="D294" s="57"/>
      <c r="E294" s="57"/>
      <c r="F294" s="57"/>
      <c r="G294" s="57"/>
      <c r="H294" s="57"/>
      <c r="I294" s="57"/>
      <c r="J294" s="57"/>
      <c r="K294" s="57"/>
      <c r="L294" s="57"/>
      <c r="M294" s="230"/>
    </row>
    <row r="295" spans="1:13" ht="20.25">
      <c r="A295" s="778" t="s">
        <v>114</v>
      </c>
      <c r="B295" s="29"/>
      <c r="C295" s="768" t="s">
        <v>115</v>
      </c>
      <c r="D295" s="57"/>
      <c r="E295" s="57"/>
      <c r="F295" s="57"/>
      <c r="G295" s="57"/>
      <c r="H295" s="57"/>
      <c r="I295" s="57"/>
      <c r="J295" s="57"/>
      <c r="K295" s="57"/>
      <c r="L295" s="57"/>
      <c r="M295" s="230"/>
    </row>
    <row r="296" spans="1:13" ht="20.25">
      <c r="A296" s="778"/>
      <c r="B296" s="29"/>
      <c r="C296" s="768" t="s">
        <v>423</v>
      </c>
      <c r="D296" s="57"/>
      <c r="E296" s="57"/>
      <c r="F296" s="57"/>
      <c r="G296" s="57"/>
      <c r="H296" s="57"/>
      <c r="I296" s="57"/>
      <c r="J296" s="57"/>
      <c r="K296" s="57"/>
      <c r="L296" s="57"/>
      <c r="M296" s="230"/>
    </row>
    <row r="297" spans="1:13" ht="20.25">
      <c r="A297" s="778" t="s">
        <v>116</v>
      </c>
      <c r="B297" s="29"/>
      <c r="C297" s="768" t="s">
        <v>156</v>
      </c>
      <c r="D297" s="57"/>
      <c r="E297" s="57"/>
      <c r="F297" s="57"/>
      <c r="G297" s="57"/>
      <c r="H297" s="57"/>
      <c r="I297" s="57"/>
      <c r="J297" s="57"/>
      <c r="K297" s="57"/>
      <c r="L297" s="57"/>
      <c r="M297" s="230"/>
    </row>
    <row r="298" spans="1:13" ht="20.25">
      <c r="A298" s="778"/>
      <c r="B298" s="29"/>
      <c r="C298" s="768" t="s">
        <v>321</v>
      </c>
      <c r="D298" s="57"/>
      <c r="E298" s="57"/>
      <c r="F298" s="57"/>
      <c r="G298" s="57"/>
      <c r="H298" s="57"/>
      <c r="I298" s="57"/>
      <c r="J298" s="57"/>
      <c r="K298" s="57"/>
      <c r="L298" s="57"/>
      <c r="M298" s="230"/>
    </row>
    <row r="299" spans="1:13" ht="20.25">
      <c r="A299" s="778"/>
      <c r="B299" s="29"/>
      <c r="C299" s="768" t="s">
        <v>322</v>
      </c>
      <c r="D299" s="57"/>
      <c r="E299" s="57"/>
      <c r="F299" s="57"/>
      <c r="G299" s="57"/>
      <c r="H299" s="57"/>
      <c r="I299" s="57"/>
      <c r="J299" s="57"/>
      <c r="K299" s="57"/>
      <c r="L299" s="57"/>
      <c r="M299" s="230"/>
    </row>
    <row r="300" spans="1:13" ht="20.25">
      <c r="A300" s="778" t="s">
        <v>117</v>
      </c>
      <c r="B300" s="29"/>
      <c r="C300" s="768" t="s">
        <v>314</v>
      </c>
      <c r="D300" s="57"/>
      <c r="E300" s="57"/>
      <c r="F300" s="57"/>
      <c r="G300" s="57"/>
      <c r="H300" s="57"/>
      <c r="I300" s="57"/>
      <c r="J300" s="57"/>
      <c r="K300" s="57"/>
      <c r="L300" s="57"/>
      <c r="M300" s="230"/>
    </row>
    <row r="301" spans="1:13" ht="20.25">
      <c r="A301" s="778" t="s">
        <v>118</v>
      </c>
      <c r="B301" s="29"/>
      <c r="C301" s="768" t="s">
        <v>435</v>
      </c>
      <c r="D301" s="57"/>
      <c r="E301" s="57"/>
      <c r="F301" s="57"/>
      <c r="G301" s="57"/>
      <c r="H301" s="57"/>
      <c r="I301" s="57"/>
      <c r="J301" s="57"/>
      <c r="K301" s="57"/>
      <c r="L301" s="57"/>
      <c r="M301" s="230"/>
    </row>
    <row r="302" spans="1:13" ht="20.25">
      <c r="A302" s="778"/>
      <c r="B302" s="29"/>
      <c r="C302" s="768" t="s">
        <v>436</v>
      </c>
      <c r="D302" s="57"/>
      <c r="E302" s="57"/>
      <c r="F302" s="57"/>
      <c r="G302" s="57"/>
      <c r="H302" s="57"/>
      <c r="I302" s="57"/>
      <c r="J302" s="57"/>
      <c r="K302" s="57"/>
      <c r="L302" s="57"/>
      <c r="M302" s="230"/>
    </row>
    <row r="303" spans="1:13" ht="20.25">
      <c r="A303" s="778" t="s">
        <v>119</v>
      </c>
      <c r="B303" s="29"/>
      <c r="C303" s="768" t="s">
        <v>366</v>
      </c>
      <c r="D303" s="57"/>
      <c r="E303" s="57"/>
      <c r="F303" s="57"/>
      <c r="G303" s="57"/>
      <c r="H303" s="57"/>
      <c r="I303" s="57"/>
      <c r="J303" s="57"/>
      <c r="K303" s="57"/>
      <c r="L303" s="57"/>
      <c r="M303" s="230"/>
    </row>
    <row r="304" spans="1:13" ht="20.25">
      <c r="A304" s="778"/>
      <c r="B304" s="29"/>
      <c r="C304" s="768" t="s">
        <v>323</v>
      </c>
      <c r="D304" s="57"/>
      <c r="E304" s="57"/>
      <c r="F304" s="57"/>
      <c r="G304" s="57"/>
      <c r="H304" s="57"/>
      <c r="I304" s="57"/>
      <c r="J304" s="57"/>
      <c r="K304" s="57"/>
      <c r="L304" s="57"/>
      <c r="M304" s="230"/>
    </row>
    <row r="305" spans="1:13" ht="20.25" customHeight="1">
      <c r="A305" s="778" t="s">
        <v>120</v>
      </c>
      <c r="B305" s="29"/>
      <c r="C305" s="768" t="s">
        <v>125</v>
      </c>
      <c r="D305" s="57"/>
      <c r="E305" s="57"/>
      <c r="F305" s="57"/>
      <c r="G305" s="57"/>
      <c r="H305" s="57"/>
      <c r="I305" s="57"/>
      <c r="J305" s="57"/>
      <c r="K305" s="57"/>
      <c r="L305" s="57"/>
      <c r="M305" s="57"/>
    </row>
    <row r="306" spans="1:13" ht="20.25" customHeight="1">
      <c r="A306" s="778" t="s">
        <v>159</v>
      </c>
      <c r="C306" s="767" t="s">
        <v>314</v>
      </c>
      <c r="D306" s="63"/>
      <c r="E306" s="63"/>
      <c r="F306" s="63"/>
      <c r="G306" s="63"/>
      <c r="H306" s="63"/>
      <c r="I306" s="63"/>
      <c r="J306" s="63"/>
      <c r="K306" s="63"/>
      <c r="L306" s="63"/>
      <c r="M306" s="63"/>
    </row>
    <row r="307" spans="1:13" ht="20.25" customHeight="1">
      <c r="A307" s="793" t="s">
        <v>160</v>
      </c>
      <c r="C307" s="770" t="s">
        <v>785</v>
      </c>
      <c r="D307" s="232"/>
      <c r="E307" s="63"/>
      <c r="F307" s="63"/>
      <c r="G307" s="63"/>
      <c r="H307" s="63"/>
      <c r="I307" s="63"/>
      <c r="J307" s="63"/>
      <c r="K307" s="63"/>
      <c r="L307" s="63"/>
      <c r="M307" s="63"/>
    </row>
    <row r="308" spans="1:13" ht="20.25" customHeight="1">
      <c r="C308" s="770" t="s">
        <v>867</v>
      </c>
      <c r="D308" s="63"/>
      <c r="E308" s="63"/>
      <c r="F308" s="63"/>
      <c r="G308" s="63"/>
      <c r="H308" s="63"/>
      <c r="I308" s="63"/>
      <c r="J308" s="63"/>
      <c r="K308" s="63"/>
      <c r="L308" s="63"/>
      <c r="M308" s="233"/>
    </row>
    <row r="309" spans="1:13" ht="20.25" customHeight="1">
      <c r="C309" s="770" t="s">
        <v>393</v>
      </c>
      <c r="D309" s="63"/>
      <c r="E309" s="232"/>
      <c r="F309" s="63"/>
      <c r="G309" s="63"/>
      <c r="H309" s="63"/>
      <c r="I309" s="63"/>
      <c r="J309" s="63"/>
      <c r="K309" s="63"/>
      <c r="L309" s="63"/>
      <c r="M309" s="233"/>
    </row>
    <row r="310" spans="1:13" ht="20.25" customHeight="1">
      <c r="C310" s="770" t="s">
        <v>368</v>
      </c>
      <c r="D310" s="63"/>
      <c r="E310" s="232"/>
      <c r="F310" s="63"/>
      <c r="G310" s="63"/>
      <c r="H310" s="63"/>
      <c r="I310" s="63"/>
      <c r="J310" s="63"/>
      <c r="K310" s="63"/>
      <c r="L310" s="63"/>
      <c r="M310" s="233"/>
    </row>
    <row r="311" spans="1:13" ht="18">
      <c r="A311" s="781"/>
      <c r="C311" s="771"/>
      <c r="D311" s="27"/>
      <c r="E311" s="28"/>
      <c r="F311" s="27"/>
      <c r="G311" s="27"/>
      <c r="H311" s="27"/>
      <c r="I311" s="29"/>
      <c r="J311" s="74" t="s">
        <v>318</v>
      </c>
      <c r="K311" s="87"/>
      <c r="M311" s="87"/>
    </row>
    <row r="312" spans="1:13">
      <c r="C312" s="771"/>
      <c r="D312" s="27"/>
      <c r="E312" s="28"/>
      <c r="F312" s="27"/>
      <c r="G312" s="27"/>
      <c r="H312" s="27"/>
      <c r="I312" s="29"/>
      <c r="J312" s="74" t="s">
        <v>439</v>
      </c>
      <c r="M312" s="74"/>
    </row>
    <row r="313" spans="1:13">
      <c r="C313" s="771"/>
      <c r="D313" s="27"/>
      <c r="E313" s="28"/>
      <c r="F313" s="27"/>
      <c r="G313" s="27"/>
      <c r="H313" s="27"/>
      <c r="I313" s="29"/>
      <c r="J313" s="74"/>
      <c r="M313" s="74"/>
    </row>
    <row r="314" spans="1:13">
      <c r="C314" s="771"/>
      <c r="D314" s="27"/>
      <c r="E314" s="28"/>
      <c r="F314" s="27"/>
      <c r="G314" s="27"/>
      <c r="H314" s="27"/>
      <c r="I314" s="29"/>
      <c r="M314" s="74"/>
    </row>
    <row r="315" spans="1:13">
      <c r="C315" s="771"/>
      <c r="D315" s="27"/>
      <c r="E315" s="28"/>
      <c r="F315" s="27"/>
      <c r="G315" s="27"/>
      <c r="H315" s="27"/>
      <c r="I315" s="29"/>
      <c r="K315" s="1"/>
      <c r="M315" s="74"/>
    </row>
    <row r="316" spans="1:13">
      <c r="C316" s="771"/>
      <c r="D316" s="27"/>
      <c r="E316" s="28"/>
      <c r="F316" s="27"/>
      <c r="G316" s="27"/>
      <c r="H316" s="27"/>
      <c r="I316" s="29"/>
      <c r="J316" s="74"/>
      <c r="K316" s="1"/>
      <c r="M316" s="74"/>
    </row>
    <row r="317" spans="1:13">
      <c r="C317" s="771" t="s">
        <v>7</v>
      </c>
      <c r="D317" s="27"/>
      <c r="E317" s="28"/>
      <c r="F317" s="27"/>
      <c r="G317" s="27"/>
      <c r="H317" s="27"/>
      <c r="I317" s="29"/>
      <c r="J317" s="88" t="str">
        <f>$J$7</f>
        <v>For the 12 months ended: 12/31/2017</v>
      </c>
      <c r="K317" s="1"/>
      <c r="M317" s="74"/>
    </row>
    <row r="318" spans="1:13">
      <c r="A318" s="782" t="str">
        <f>$A$8</f>
        <v>Rate Formula Template</v>
      </c>
      <c r="B318" s="109"/>
      <c r="C318" s="772"/>
      <c r="D318" s="254"/>
      <c r="E318" s="109"/>
      <c r="F318" s="254"/>
      <c r="G318" s="254"/>
      <c r="H318" s="254"/>
      <c r="I318" s="254"/>
      <c r="J318" s="109"/>
      <c r="K318" s="29"/>
      <c r="L318" s="109"/>
      <c r="M318" s="1"/>
    </row>
    <row r="319" spans="1:13">
      <c r="A319" s="783" t="s">
        <v>289</v>
      </c>
      <c r="B319" s="109"/>
      <c r="C319" s="773"/>
      <c r="D319" s="256"/>
      <c r="E319" s="109"/>
      <c r="F319" s="256"/>
      <c r="G319" s="256"/>
      <c r="H319" s="256"/>
      <c r="I319" s="254"/>
      <c r="J319" s="254"/>
      <c r="K319" s="29"/>
      <c r="L319" s="257"/>
      <c r="M319" s="1"/>
    </row>
    <row r="320" spans="1:13">
      <c r="A320" s="783"/>
      <c r="B320" s="109"/>
      <c r="C320" s="774"/>
      <c r="D320" s="257"/>
      <c r="E320" s="109"/>
      <c r="F320" s="257"/>
      <c r="G320" s="257"/>
      <c r="H320" s="257"/>
      <c r="I320" s="257"/>
      <c r="J320" s="257"/>
      <c r="K320" s="29"/>
      <c r="L320" s="257"/>
      <c r="M320" s="29"/>
    </row>
    <row r="321" spans="1:13" ht="15.75">
      <c r="A321" s="967" t="str">
        <f>$A$11</f>
        <v>DUKE ENERGY OHIO (DEO)</v>
      </c>
      <c r="B321" s="109"/>
      <c r="C321" s="774"/>
      <c r="D321" s="257"/>
      <c r="E321" s="109"/>
      <c r="F321" s="257"/>
      <c r="G321" s="257"/>
      <c r="H321" s="257"/>
      <c r="I321" s="257"/>
      <c r="J321" s="257"/>
      <c r="K321" s="29"/>
      <c r="L321" s="257"/>
      <c r="M321" s="29"/>
    </row>
    <row r="322" spans="1:13">
      <c r="A322" s="778"/>
      <c r="B322" s="29"/>
      <c r="C322" s="775"/>
      <c r="D322" s="30"/>
      <c r="E322" s="5"/>
      <c r="F322" s="5"/>
      <c r="G322" s="5"/>
      <c r="H322" s="5"/>
      <c r="I322" s="29"/>
      <c r="J322" s="228"/>
      <c r="K322" s="29"/>
      <c r="L322" s="227"/>
      <c r="M322" s="29"/>
    </row>
    <row r="323" spans="1:13" ht="20.25">
      <c r="A323" s="778"/>
      <c r="B323" s="29"/>
      <c r="C323" s="771" t="s">
        <v>97</v>
      </c>
      <c r="D323" s="30"/>
      <c r="E323" s="5"/>
      <c r="F323" s="5"/>
      <c r="G323" s="5"/>
      <c r="H323" s="5"/>
      <c r="I323" s="29"/>
      <c r="J323" s="5"/>
      <c r="K323" s="29"/>
      <c r="L323" s="5"/>
      <c r="M323" s="229"/>
    </row>
    <row r="324" spans="1:13" ht="20.25">
      <c r="A324" s="778"/>
      <c r="B324" s="29"/>
      <c r="C324" s="771" t="s">
        <v>671</v>
      </c>
      <c r="D324" s="29"/>
      <c r="E324" s="5"/>
      <c r="F324" s="5"/>
      <c r="G324" s="5"/>
      <c r="H324" s="5"/>
      <c r="I324" s="29"/>
      <c r="J324" s="5"/>
      <c r="K324" s="29"/>
      <c r="L324" s="5"/>
      <c r="M324" s="229"/>
    </row>
    <row r="325" spans="1:13" ht="20.25">
      <c r="A325" s="787" t="s">
        <v>669</v>
      </c>
      <c r="B325" s="29"/>
      <c r="C325" s="771"/>
      <c r="D325" s="29"/>
      <c r="E325" s="5"/>
      <c r="F325" s="5"/>
      <c r="G325" s="5"/>
      <c r="H325" s="5"/>
      <c r="I325" s="29"/>
      <c r="J325" s="5"/>
      <c r="K325" s="29"/>
      <c r="L325" s="5"/>
      <c r="M325" s="229"/>
    </row>
    <row r="326" spans="1:13" ht="20.25" customHeight="1">
      <c r="A326" s="793" t="s">
        <v>180</v>
      </c>
      <c r="C326" s="770" t="s">
        <v>691</v>
      </c>
      <c r="D326" s="1"/>
      <c r="E326" s="1"/>
      <c r="F326" s="1"/>
      <c r="G326" s="1"/>
      <c r="H326" s="1"/>
      <c r="I326" s="1"/>
      <c r="J326" s="1"/>
      <c r="K326" s="1"/>
      <c r="L326" s="1"/>
      <c r="M326" s="234"/>
    </row>
    <row r="327" spans="1:13" ht="20.25" customHeight="1">
      <c r="A327" s="793"/>
      <c r="C327" s="770" t="s">
        <v>692</v>
      </c>
      <c r="D327" s="1"/>
      <c r="E327" s="1"/>
      <c r="F327" s="1"/>
      <c r="G327" s="1"/>
      <c r="H327" s="1"/>
      <c r="I327" s="1"/>
      <c r="J327" s="1"/>
      <c r="K327" s="1"/>
      <c r="L327" s="1"/>
      <c r="M327" s="234"/>
    </row>
    <row r="328" spans="1:13" ht="20.25" customHeight="1">
      <c r="A328" s="793"/>
      <c r="C328" s="770" t="s">
        <v>437</v>
      </c>
      <c r="D328" s="1"/>
      <c r="E328" s="1"/>
      <c r="F328" s="1"/>
      <c r="G328" s="1"/>
      <c r="H328" s="1"/>
      <c r="I328" s="1"/>
      <c r="J328" s="1"/>
      <c r="K328" s="1"/>
      <c r="L328" s="1"/>
      <c r="M328" s="234"/>
    </row>
    <row r="329" spans="1:13" ht="20.25" customHeight="1">
      <c r="A329" s="793" t="s">
        <v>3</v>
      </c>
      <c r="C329" s="578" t="s">
        <v>661</v>
      </c>
      <c r="D329" s="1"/>
      <c r="E329" s="1"/>
      <c r="F329" s="1"/>
      <c r="G329" s="1"/>
      <c r="H329" s="1"/>
      <c r="I329" s="1"/>
      <c r="J329" s="1"/>
      <c r="K329" s="1"/>
      <c r="L329" s="1"/>
      <c r="M329" s="234"/>
    </row>
    <row r="330" spans="1:13" ht="20.25" customHeight="1">
      <c r="A330" s="793" t="s">
        <v>392</v>
      </c>
      <c r="C330" s="578" t="s">
        <v>675</v>
      </c>
      <c r="D330" s="1"/>
      <c r="E330" s="1"/>
      <c r="F330" s="1"/>
      <c r="G330" s="1"/>
      <c r="H330" s="1"/>
      <c r="I330" s="1"/>
      <c r="J330" s="1"/>
      <c r="K330" s="1"/>
      <c r="L330" s="1"/>
      <c r="M330" s="234"/>
    </row>
    <row r="331" spans="1:13" s="670" customFormat="1" ht="20.25" customHeight="1">
      <c r="A331" s="793"/>
      <c r="C331" s="578" t="s">
        <v>676</v>
      </c>
      <c r="D331" s="622"/>
      <c r="E331" s="622"/>
      <c r="F331" s="622"/>
      <c r="G331" s="622"/>
      <c r="H331" s="622"/>
      <c r="I331" s="622"/>
      <c r="J331" s="622"/>
      <c r="K331" s="622"/>
      <c r="L331" s="622"/>
      <c r="M331" s="234"/>
    </row>
    <row r="332" spans="1:13" ht="20.25" customHeight="1">
      <c r="A332" s="793" t="s">
        <v>502</v>
      </c>
      <c r="C332" s="580" t="s">
        <v>590</v>
      </c>
      <c r="D332" s="1"/>
      <c r="E332" s="1"/>
      <c r="F332" s="1"/>
      <c r="G332" s="1"/>
      <c r="H332" s="1"/>
      <c r="I332" s="1"/>
      <c r="J332" s="1"/>
      <c r="K332" s="1"/>
      <c r="L332" s="1"/>
      <c r="M332" s="234"/>
    </row>
    <row r="333" spans="1:13" ht="20.25" customHeight="1">
      <c r="C333" s="580" t="s">
        <v>591</v>
      </c>
      <c r="D333" s="1"/>
      <c r="E333" s="1"/>
      <c r="F333" s="1"/>
      <c r="G333" s="1"/>
      <c r="H333" s="1"/>
      <c r="I333" s="1"/>
      <c r="J333" s="1"/>
      <c r="K333" s="1"/>
      <c r="L333" s="1"/>
      <c r="M333" s="234"/>
    </row>
    <row r="334" spans="1:13" s="604" customFormat="1" ht="20.25" customHeight="1">
      <c r="A334" s="794" t="s">
        <v>503</v>
      </c>
      <c r="C334" s="769" t="s">
        <v>593</v>
      </c>
      <c r="D334" s="603"/>
      <c r="E334" s="603"/>
      <c r="F334" s="603"/>
      <c r="G334" s="603"/>
      <c r="H334" s="603"/>
      <c r="I334" s="603"/>
      <c r="J334" s="603"/>
      <c r="K334" s="603"/>
      <c r="L334" s="603"/>
      <c r="M334" s="233"/>
    </row>
    <row r="335" spans="1:13" s="604" customFormat="1" ht="20.25" customHeight="1">
      <c r="A335" s="794"/>
      <c r="C335" s="769" t="s">
        <v>594</v>
      </c>
      <c r="M335" s="693"/>
    </row>
    <row r="336" spans="1:13" s="604" customFormat="1" ht="20.25" customHeight="1">
      <c r="A336" s="794" t="s">
        <v>635</v>
      </c>
      <c r="C336" s="769" t="s">
        <v>530</v>
      </c>
      <c r="M336" s="693"/>
    </row>
    <row r="337" spans="1:13" s="604" customFormat="1" ht="20.25" customHeight="1">
      <c r="A337" s="785"/>
      <c r="C337" s="770" t="s">
        <v>531</v>
      </c>
      <c r="M337" s="693"/>
    </row>
    <row r="338" spans="1:13" s="625" customFormat="1">
      <c r="A338" s="780"/>
      <c r="M338" s="76"/>
    </row>
    <row r="339" spans="1:13" ht="18">
      <c r="C339" s="604" t="s">
        <v>424</v>
      </c>
      <c r="D339" s="604"/>
      <c r="E339" s="604"/>
      <c r="F339" s="604"/>
      <c r="G339" s="604"/>
      <c r="H339" s="604"/>
      <c r="I339" s="604"/>
      <c r="J339" s="604"/>
      <c r="K339" s="604"/>
      <c r="L339" s="604"/>
      <c r="M339" s="76"/>
    </row>
    <row r="340" spans="1:13">
      <c r="C340" s="604" t="s">
        <v>758</v>
      </c>
      <c r="D340" s="604"/>
      <c r="E340" s="604"/>
      <c r="F340" s="604"/>
      <c r="G340" s="604"/>
      <c r="H340" s="604"/>
      <c r="I340" s="604"/>
      <c r="J340" s="604"/>
      <c r="K340" s="604"/>
      <c r="L340" s="604"/>
      <c r="M340" s="76"/>
    </row>
    <row r="341" spans="1:13">
      <c r="M341" s="76"/>
    </row>
    <row r="342" spans="1:13">
      <c r="M342" s="76"/>
    </row>
    <row r="343" spans="1:13">
      <c r="M343" s="76"/>
    </row>
    <row r="344" spans="1:13">
      <c r="M344" s="76"/>
    </row>
    <row r="345" spans="1:13">
      <c r="C345" s="62"/>
      <c r="M345" s="76"/>
    </row>
    <row r="346" spans="1:13">
      <c r="C346" s="62"/>
      <c r="M346" s="76"/>
    </row>
    <row r="347" spans="1:13">
      <c r="C347" s="62"/>
      <c r="M347" s="76"/>
    </row>
    <row r="348" spans="1:13">
      <c r="C348" s="62"/>
      <c r="M348" s="76"/>
    </row>
    <row r="349" spans="1:13">
      <c r="C349" s="62"/>
      <c r="M349" s="76"/>
    </row>
    <row r="350" spans="1:13">
      <c r="C350" s="62"/>
      <c r="M350" s="76"/>
    </row>
    <row r="351" spans="1:13">
      <c r="M351" s="76"/>
    </row>
    <row r="352" spans="1:13">
      <c r="M352" s="76"/>
    </row>
    <row r="353" spans="13:13">
      <c r="M353" s="76"/>
    </row>
    <row r="354" spans="13:13">
      <c r="M354" s="76"/>
    </row>
    <row r="355" spans="13:13">
      <c r="M355" s="76"/>
    </row>
    <row r="356" spans="13:13">
      <c r="M356" s="76"/>
    </row>
    <row r="357" spans="13:13">
      <c r="M357" s="76"/>
    </row>
    <row r="358" spans="13:13">
      <c r="M358" s="76"/>
    </row>
    <row r="359" spans="13:13">
      <c r="M359" s="76"/>
    </row>
    <row r="360" spans="13:13">
      <c r="M360" s="76"/>
    </row>
    <row r="361" spans="13:13">
      <c r="M361" s="76"/>
    </row>
    <row r="362" spans="13:13">
      <c r="M362" s="76"/>
    </row>
    <row r="363" spans="13:13">
      <c r="M363" s="76"/>
    </row>
    <row r="364" spans="13:13">
      <c r="M364" s="76"/>
    </row>
    <row r="365" spans="13:13">
      <c r="M365" s="76"/>
    </row>
    <row r="366" spans="13:13">
      <c r="M366" s="76"/>
    </row>
    <row r="367" spans="13:13">
      <c r="M367" s="76"/>
    </row>
    <row r="368" spans="13:13">
      <c r="M368" s="76"/>
    </row>
    <row r="369" spans="3:13">
      <c r="M369" s="76"/>
    </row>
    <row r="370" spans="3:13">
      <c r="M370" s="76"/>
    </row>
    <row r="371" spans="3:13">
      <c r="M371" s="76"/>
    </row>
    <row r="372" spans="3:13">
      <c r="M372" s="76"/>
    </row>
    <row r="373" spans="3:13">
      <c r="M373" s="76"/>
    </row>
    <row r="374" spans="3:13">
      <c r="M374" s="76"/>
    </row>
    <row r="375" spans="3:13">
      <c r="M375" s="76"/>
    </row>
    <row r="376" spans="3:13">
      <c r="M376" s="76"/>
    </row>
    <row r="377" spans="3:13">
      <c r="M377" s="76"/>
    </row>
    <row r="378" spans="3:13">
      <c r="M378" s="76"/>
    </row>
    <row r="379" spans="3:13">
      <c r="M379" s="76"/>
    </row>
    <row r="380" spans="3:13">
      <c r="M380" s="76"/>
    </row>
    <row r="381" spans="3:13">
      <c r="M381" s="76"/>
    </row>
    <row r="382" spans="3:13">
      <c r="M382" s="76"/>
    </row>
    <row r="383" spans="3:13">
      <c r="M383" s="76"/>
    </row>
    <row r="384" spans="3:13">
      <c r="C384" s="76"/>
      <c r="D384" s="76"/>
      <c r="E384" s="76"/>
      <c r="F384" s="76"/>
      <c r="G384" s="76"/>
      <c r="H384" s="76"/>
      <c r="I384" s="76"/>
      <c r="J384" s="76"/>
      <c r="K384" s="76"/>
      <c r="L384" s="76"/>
      <c r="M384" s="76"/>
    </row>
    <row r="385" spans="3:13">
      <c r="C385" s="76"/>
      <c r="D385" s="76"/>
      <c r="E385" s="76"/>
      <c r="F385" s="76"/>
      <c r="G385" s="76"/>
      <c r="H385" s="76"/>
      <c r="I385" s="76"/>
      <c r="J385" s="76"/>
      <c r="K385" s="76"/>
      <c r="L385" s="76"/>
      <c r="M385" s="76"/>
    </row>
    <row r="386" spans="3:13">
      <c r="C386" s="76"/>
      <c r="D386" s="76"/>
      <c r="E386" s="76"/>
      <c r="F386" s="76"/>
      <c r="G386" s="76"/>
      <c r="H386" s="76"/>
      <c r="I386" s="76"/>
      <c r="J386" s="76"/>
      <c r="K386" s="76"/>
      <c r="L386" s="76"/>
      <c r="M386" s="76"/>
    </row>
    <row r="387" spans="3:13">
      <c r="C387" s="76"/>
      <c r="D387" s="76"/>
      <c r="E387" s="76"/>
      <c r="F387" s="76"/>
      <c r="G387" s="76"/>
      <c r="H387" s="76"/>
      <c r="I387" s="76"/>
      <c r="J387" s="76"/>
      <c r="K387" s="76"/>
      <c r="L387" s="76"/>
      <c r="M387" s="76"/>
    </row>
    <row r="388" spans="3:13">
      <c r="C388" s="76"/>
      <c r="D388" s="76"/>
      <c r="E388" s="76"/>
      <c r="F388" s="76"/>
      <c r="G388" s="76"/>
      <c r="H388" s="76"/>
      <c r="I388" s="76"/>
      <c r="J388" s="76"/>
      <c r="K388" s="76"/>
      <c r="L388" s="76"/>
      <c r="M388" s="76"/>
    </row>
    <row r="389" spans="3:13">
      <c r="C389" s="76"/>
      <c r="D389" s="76"/>
      <c r="E389" s="76"/>
      <c r="F389" s="76"/>
      <c r="G389" s="76"/>
      <c r="H389" s="76"/>
      <c r="I389" s="76"/>
      <c r="J389" s="76"/>
      <c r="K389" s="76"/>
      <c r="L389" s="76"/>
      <c r="M389" s="76"/>
    </row>
    <row r="390" spans="3:13">
      <c r="C390" s="76"/>
      <c r="D390" s="76"/>
      <c r="E390" s="76"/>
      <c r="F390" s="76"/>
      <c r="G390" s="76"/>
      <c r="H390" s="76"/>
      <c r="I390" s="76"/>
      <c r="J390" s="76"/>
      <c r="K390" s="76"/>
      <c r="L390" s="76"/>
      <c r="M390" s="76"/>
    </row>
    <row r="391" spans="3:13">
      <c r="C391" s="76"/>
      <c r="D391" s="76"/>
      <c r="E391" s="76"/>
      <c r="F391" s="76"/>
      <c r="G391" s="76"/>
      <c r="H391" s="76"/>
      <c r="I391" s="76"/>
      <c r="J391" s="76"/>
      <c r="K391" s="76"/>
      <c r="L391" s="76"/>
      <c r="M391" s="76"/>
    </row>
    <row r="392" spans="3:13">
      <c r="C392" s="76"/>
      <c r="D392" s="76"/>
      <c r="E392" s="76"/>
      <c r="F392" s="76"/>
      <c r="G392" s="76"/>
      <c r="H392" s="76"/>
      <c r="I392" s="76"/>
      <c r="J392" s="76"/>
      <c r="K392" s="76"/>
      <c r="L392" s="76"/>
      <c r="M392" s="76"/>
    </row>
    <row r="393" spans="3:13">
      <c r="C393" s="76"/>
      <c r="D393" s="76"/>
      <c r="E393" s="76"/>
      <c r="F393" s="76"/>
      <c r="G393" s="76"/>
      <c r="H393" s="76"/>
      <c r="I393" s="76"/>
      <c r="J393" s="76"/>
      <c r="K393" s="76"/>
      <c r="L393" s="76"/>
      <c r="M393" s="76"/>
    </row>
    <row r="394" spans="3:13">
      <c r="C394" s="76"/>
      <c r="D394" s="76"/>
      <c r="E394" s="76"/>
      <c r="F394" s="76"/>
      <c r="G394" s="76"/>
      <c r="H394" s="76"/>
      <c r="I394" s="76"/>
      <c r="J394" s="76"/>
      <c r="K394" s="76"/>
      <c r="L394" s="76"/>
      <c r="M394" s="76"/>
    </row>
    <row r="395" spans="3:13">
      <c r="C395" s="76"/>
      <c r="D395" s="76"/>
      <c r="E395" s="76"/>
      <c r="F395" s="76"/>
      <c r="G395" s="76"/>
      <c r="H395" s="76"/>
      <c r="I395" s="76"/>
      <c r="J395" s="76"/>
      <c r="K395" s="76"/>
      <c r="L395" s="76"/>
      <c r="M395" s="76"/>
    </row>
    <row r="396" spans="3:13">
      <c r="C396" s="76"/>
      <c r="D396" s="76"/>
      <c r="E396" s="76"/>
      <c r="F396" s="76"/>
      <c r="G396" s="76"/>
      <c r="H396" s="76"/>
      <c r="I396" s="76"/>
      <c r="J396" s="76"/>
      <c r="K396" s="76"/>
      <c r="L396" s="76"/>
      <c r="M396" s="76"/>
    </row>
    <row r="397" spans="3:13">
      <c r="C397" s="76"/>
      <c r="D397" s="76"/>
      <c r="E397" s="76"/>
      <c r="F397" s="76"/>
      <c r="G397" s="76"/>
      <c r="H397" s="76"/>
      <c r="I397" s="76"/>
      <c r="J397" s="76"/>
      <c r="K397" s="76"/>
      <c r="L397" s="76"/>
      <c r="M397" s="76"/>
    </row>
    <row r="398" spans="3:13">
      <c r="C398" s="76"/>
      <c r="D398" s="76"/>
      <c r="E398" s="76"/>
      <c r="F398" s="76"/>
      <c r="G398" s="76"/>
      <c r="H398" s="76"/>
      <c r="I398" s="76"/>
      <c r="J398" s="76"/>
      <c r="K398" s="76"/>
      <c r="L398" s="76"/>
      <c r="M398" s="76"/>
    </row>
    <row r="399" spans="3:13">
      <c r="C399" s="76"/>
      <c r="D399" s="76"/>
      <c r="E399" s="76"/>
      <c r="F399" s="76"/>
      <c r="G399" s="76"/>
      <c r="H399" s="76"/>
      <c r="I399" s="76"/>
      <c r="J399" s="76"/>
      <c r="K399" s="76"/>
      <c r="L399" s="76"/>
      <c r="M399" s="76"/>
    </row>
    <row r="400" spans="3:13">
      <c r="C400" s="76"/>
      <c r="D400" s="76"/>
      <c r="E400" s="76"/>
      <c r="F400" s="76"/>
      <c r="G400" s="76"/>
      <c r="H400" s="76"/>
      <c r="I400" s="76"/>
      <c r="J400" s="76"/>
      <c r="K400" s="76"/>
      <c r="L400" s="76"/>
      <c r="M400" s="76"/>
    </row>
    <row r="401" spans="3:13">
      <c r="C401" s="76"/>
      <c r="D401" s="76"/>
      <c r="E401" s="76"/>
      <c r="F401" s="76"/>
      <c r="G401" s="76"/>
      <c r="H401" s="76"/>
      <c r="I401" s="76"/>
      <c r="J401" s="76"/>
      <c r="K401" s="76"/>
      <c r="L401" s="76"/>
      <c r="M401" s="76"/>
    </row>
    <row r="402" spans="3:13">
      <c r="C402" s="76"/>
      <c r="D402" s="76"/>
      <c r="E402" s="76"/>
      <c r="F402" s="76"/>
      <c r="G402" s="76"/>
      <c r="H402" s="76"/>
      <c r="I402" s="76"/>
      <c r="J402" s="76"/>
      <c r="K402" s="76"/>
      <c r="L402" s="76"/>
      <c r="M402" s="76"/>
    </row>
    <row r="403" spans="3:13">
      <c r="C403" s="76"/>
      <c r="D403" s="76"/>
      <c r="E403" s="76"/>
      <c r="F403" s="76"/>
      <c r="G403" s="76"/>
      <c r="H403" s="76"/>
      <c r="I403" s="76"/>
      <c r="J403" s="76"/>
      <c r="K403" s="76"/>
      <c r="L403" s="76"/>
      <c r="M403" s="76"/>
    </row>
    <row r="404" spans="3:13">
      <c r="C404" s="76"/>
      <c r="D404" s="76"/>
      <c r="E404" s="76"/>
      <c r="F404" s="76"/>
      <c r="G404" s="76"/>
      <c r="H404" s="76"/>
      <c r="I404" s="76"/>
      <c r="J404" s="76"/>
      <c r="K404" s="76"/>
      <c r="L404" s="76"/>
      <c r="M404" s="76"/>
    </row>
    <row r="405" spans="3:13">
      <c r="C405" s="76"/>
      <c r="D405" s="76"/>
      <c r="E405" s="76"/>
      <c r="F405" s="76"/>
      <c r="G405" s="76"/>
      <c r="H405" s="76"/>
      <c r="I405" s="76"/>
      <c r="J405" s="76"/>
      <c r="K405" s="76"/>
      <c r="L405" s="76"/>
      <c r="M405" s="76"/>
    </row>
    <row r="406" spans="3:13">
      <c r="C406" s="76"/>
      <c r="D406" s="76"/>
      <c r="E406" s="76"/>
      <c r="F406" s="76"/>
      <c r="G406" s="76"/>
      <c r="H406" s="76"/>
      <c r="I406" s="76"/>
      <c r="J406" s="76"/>
      <c r="K406" s="76"/>
      <c r="L406" s="76"/>
      <c r="M406" s="76"/>
    </row>
    <row r="407" spans="3:13">
      <c r="C407" s="76"/>
      <c r="D407" s="76"/>
      <c r="E407" s="76"/>
      <c r="F407" s="76"/>
      <c r="G407" s="76"/>
      <c r="H407" s="76"/>
      <c r="I407" s="76"/>
      <c r="J407" s="76"/>
      <c r="K407" s="76"/>
      <c r="L407" s="76"/>
      <c r="M407" s="76"/>
    </row>
    <row r="408" spans="3:13">
      <c r="C408" s="76"/>
      <c r="D408" s="76"/>
      <c r="E408" s="76"/>
      <c r="F408" s="76"/>
      <c r="G408" s="76"/>
      <c r="H408" s="76"/>
      <c r="I408" s="76"/>
      <c r="J408" s="76"/>
      <c r="K408" s="76"/>
      <c r="L408" s="76"/>
      <c r="M408" s="76"/>
    </row>
    <row r="409" spans="3:13">
      <c r="C409" s="76"/>
      <c r="D409" s="76"/>
      <c r="E409" s="76"/>
      <c r="F409" s="76"/>
      <c r="G409" s="76"/>
      <c r="H409" s="76"/>
      <c r="I409" s="76"/>
      <c r="J409" s="76"/>
      <c r="K409" s="76"/>
      <c r="L409" s="76"/>
      <c r="M409" s="76"/>
    </row>
    <row r="410" spans="3:13">
      <c r="C410" s="76"/>
      <c r="D410" s="76"/>
      <c r="E410" s="76"/>
      <c r="F410" s="76"/>
      <c r="G410" s="76"/>
      <c r="H410" s="76"/>
      <c r="I410" s="76"/>
      <c r="J410" s="76"/>
      <c r="K410" s="76"/>
      <c r="L410" s="76"/>
      <c r="M410" s="76"/>
    </row>
    <row r="411" spans="3:13">
      <c r="C411" s="76"/>
      <c r="D411" s="76"/>
      <c r="E411" s="76"/>
      <c r="F411" s="76"/>
      <c r="G411" s="76"/>
      <c r="H411" s="76"/>
      <c r="I411" s="76"/>
      <c r="J411" s="76"/>
      <c r="K411" s="76"/>
      <c r="L411" s="76"/>
      <c r="M411" s="76"/>
    </row>
    <row r="412" spans="3:13">
      <c r="C412" s="76"/>
      <c r="D412" s="76"/>
      <c r="E412" s="76"/>
      <c r="F412" s="76"/>
      <c r="G412" s="76"/>
      <c r="H412" s="76"/>
      <c r="I412" s="76"/>
      <c r="J412" s="76"/>
      <c r="K412" s="76"/>
      <c r="L412" s="76"/>
      <c r="M412" s="76"/>
    </row>
    <row r="413" spans="3:13">
      <c r="C413" s="76"/>
      <c r="D413" s="76"/>
      <c r="E413" s="76"/>
      <c r="F413" s="76"/>
      <c r="G413" s="76"/>
      <c r="H413" s="76"/>
      <c r="I413" s="76"/>
      <c r="J413" s="76"/>
      <c r="K413" s="76"/>
      <c r="L413" s="76"/>
      <c r="M413" s="76"/>
    </row>
    <row r="414" spans="3:13">
      <c r="C414" s="76"/>
      <c r="D414" s="76"/>
      <c r="E414" s="76"/>
      <c r="F414" s="76"/>
      <c r="G414" s="76"/>
      <c r="H414" s="76"/>
      <c r="I414" s="76"/>
      <c r="J414" s="76"/>
      <c r="K414" s="76"/>
      <c r="L414" s="76"/>
      <c r="M414" s="76"/>
    </row>
    <row r="415" spans="3:13">
      <c r="C415" s="76"/>
      <c r="D415" s="76"/>
      <c r="E415" s="76"/>
      <c r="F415" s="76"/>
      <c r="G415" s="76"/>
      <c r="H415" s="76"/>
      <c r="I415" s="76"/>
      <c r="J415" s="76"/>
      <c r="K415" s="76"/>
      <c r="L415" s="76"/>
      <c r="M415" s="76"/>
    </row>
    <row r="416" spans="3:13">
      <c r="C416" s="76"/>
      <c r="D416" s="76"/>
      <c r="E416" s="76"/>
      <c r="F416" s="76"/>
      <c r="G416" s="76"/>
      <c r="H416" s="76"/>
      <c r="I416" s="76"/>
      <c r="J416" s="76"/>
      <c r="K416" s="76"/>
      <c r="L416" s="76"/>
      <c r="M416" s="76"/>
    </row>
    <row r="417" spans="3:13">
      <c r="C417" s="76"/>
      <c r="D417" s="76"/>
      <c r="E417" s="76"/>
      <c r="F417" s="76"/>
      <c r="G417" s="76"/>
      <c r="H417" s="76"/>
      <c r="I417" s="76"/>
      <c r="J417" s="76"/>
      <c r="K417" s="76"/>
      <c r="L417" s="76"/>
      <c r="M417" s="76"/>
    </row>
    <row r="418" spans="3:13">
      <c r="C418" s="76"/>
      <c r="D418" s="76"/>
      <c r="E418" s="76"/>
      <c r="F418" s="76"/>
      <c r="G418" s="76"/>
      <c r="H418" s="76"/>
      <c r="I418" s="76"/>
      <c r="J418" s="76"/>
      <c r="K418" s="76"/>
      <c r="L418" s="76"/>
      <c r="M418" s="76"/>
    </row>
    <row r="419" spans="3:13">
      <c r="C419" s="76"/>
      <c r="D419" s="76"/>
      <c r="E419" s="76"/>
      <c r="F419" s="76"/>
      <c r="G419" s="76"/>
      <c r="H419" s="76"/>
      <c r="I419" s="76"/>
      <c r="J419" s="76"/>
      <c r="K419" s="76"/>
      <c r="L419" s="76"/>
      <c r="M419" s="76"/>
    </row>
    <row r="420" spans="3:13">
      <c r="C420" s="76"/>
      <c r="D420" s="76"/>
      <c r="E420" s="76"/>
      <c r="F420" s="76"/>
      <c r="G420" s="76"/>
      <c r="H420" s="76"/>
      <c r="I420" s="76"/>
      <c r="J420" s="76"/>
      <c r="K420" s="76"/>
      <c r="L420" s="76"/>
      <c r="M420" s="76"/>
    </row>
    <row r="421" spans="3:13">
      <c r="C421" s="76"/>
      <c r="D421" s="76"/>
      <c r="E421" s="76"/>
      <c r="F421" s="76"/>
      <c r="G421" s="76"/>
      <c r="H421" s="76"/>
      <c r="I421" s="76"/>
      <c r="J421" s="76"/>
      <c r="K421" s="76"/>
      <c r="L421" s="76"/>
      <c r="M421" s="76"/>
    </row>
    <row r="422" spans="3:13">
      <c r="C422" s="76"/>
      <c r="D422" s="76"/>
      <c r="E422" s="76"/>
      <c r="F422" s="76"/>
      <c r="G422" s="76"/>
      <c r="H422" s="76"/>
      <c r="I422" s="76"/>
      <c r="J422" s="76"/>
      <c r="K422" s="76"/>
      <c r="L422" s="76"/>
      <c r="M422" s="76"/>
    </row>
    <row r="423" spans="3:13">
      <c r="C423" s="76"/>
      <c r="D423" s="76"/>
      <c r="E423" s="76"/>
      <c r="F423" s="76"/>
      <c r="G423" s="76"/>
      <c r="H423" s="76"/>
      <c r="I423" s="76"/>
      <c r="J423" s="76"/>
      <c r="K423" s="76"/>
      <c r="L423" s="76"/>
      <c r="M423" s="76"/>
    </row>
    <row r="424" spans="3:13">
      <c r="C424" s="76"/>
      <c r="D424" s="76"/>
      <c r="E424" s="76"/>
      <c r="F424" s="76"/>
      <c r="G424" s="76"/>
      <c r="H424" s="76"/>
      <c r="I424" s="76"/>
      <c r="J424" s="76"/>
      <c r="K424" s="76"/>
      <c r="L424" s="76"/>
      <c r="M424" s="76"/>
    </row>
    <row r="425" spans="3:13">
      <c r="C425" s="76"/>
      <c r="D425" s="76"/>
      <c r="E425" s="76"/>
      <c r="F425" s="76"/>
      <c r="G425" s="76"/>
      <c r="H425" s="76"/>
      <c r="I425" s="76"/>
      <c r="J425" s="76"/>
      <c r="K425" s="76"/>
      <c r="L425" s="76"/>
      <c r="M425" s="76"/>
    </row>
    <row r="426" spans="3:13">
      <c r="C426" s="76"/>
      <c r="D426" s="76"/>
      <c r="E426" s="76"/>
      <c r="F426" s="76"/>
      <c r="G426" s="76"/>
      <c r="H426" s="76"/>
      <c r="I426" s="76"/>
      <c r="J426" s="76"/>
      <c r="K426" s="76"/>
      <c r="L426" s="76"/>
      <c r="M426" s="76"/>
    </row>
    <row r="427" spans="3:13">
      <c r="C427" s="76"/>
      <c r="D427" s="76"/>
      <c r="E427" s="76"/>
      <c r="F427" s="76"/>
      <c r="G427" s="76"/>
      <c r="H427" s="76"/>
      <c r="I427" s="76"/>
      <c r="J427" s="76"/>
      <c r="K427" s="76"/>
      <c r="L427" s="76"/>
      <c r="M427" s="76"/>
    </row>
    <row r="428" spans="3:13">
      <c r="C428" s="76"/>
      <c r="D428" s="76"/>
      <c r="E428" s="76"/>
      <c r="F428" s="76"/>
      <c r="G428" s="76"/>
      <c r="H428" s="76"/>
      <c r="I428" s="76"/>
      <c r="J428" s="76"/>
      <c r="K428" s="76"/>
      <c r="L428" s="76"/>
      <c r="M428" s="76"/>
    </row>
    <row r="429" spans="3:13">
      <c r="C429" s="76"/>
      <c r="D429" s="76"/>
      <c r="E429" s="76"/>
      <c r="F429" s="76"/>
      <c r="G429" s="76"/>
      <c r="H429" s="76"/>
      <c r="I429" s="76"/>
      <c r="J429" s="76"/>
      <c r="K429" s="76"/>
      <c r="L429" s="76"/>
      <c r="M429" s="76"/>
    </row>
    <row r="430" spans="3:13">
      <c r="C430" s="76"/>
      <c r="D430" s="76"/>
      <c r="E430" s="76"/>
      <c r="F430" s="76"/>
      <c r="G430" s="76"/>
      <c r="H430" s="76"/>
      <c r="I430" s="76"/>
      <c r="J430" s="76"/>
      <c r="K430" s="76"/>
      <c r="L430" s="76"/>
      <c r="M430" s="76"/>
    </row>
    <row r="431" spans="3:13">
      <c r="C431" s="76"/>
      <c r="D431" s="76"/>
      <c r="E431" s="76"/>
      <c r="F431" s="76"/>
      <c r="G431" s="76"/>
      <c r="H431" s="76"/>
      <c r="I431" s="76"/>
      <c r="J431" s="76"/>
      <c r="K431" s="76"/>
      <c r="L431" s="76"/>
      <c r="M431" s="76"/>
    </row>
    <row r="432" spans="3:13">
      <c r="C432" s="76"/>
      <c r="D432" s="76"/>
      <c r="E432" s="76"/>
      <c r="F432" s="76"/>
      <c r="G432" s="76"/>
      <c r="H432" s="76"/>
      <c r="I432" s="76"/>
      <c r="J432" s="76"/>
      <c r="K432" s="76"/>
      <c r="L432" s="76"/>
      <c r="M432" s="76"/>
    </row>
    <row r="433" spans="3:13">
      <c r="C433" s="76"/>
      <c r="D433" s="76"/>
      <c r="E433" s="76"/>
      <c r="F433" s="76"/>
      <c r="G433" s="76"/>
      <c r="H433" s="76"/>
      <c r="I433" s="76"/>
      <c r="J433" s="76"/>
      <c r="K433" s="76"/>
      <c r="L433" s="76"/>
      <c r="M433" s="76"/>
    </row>
    <row r="434" spans="3:13">
      <c r="C434" s="76"/>
      <c r="D434" s="76"/>
      <c r="E434" s="76"/>
      <c r="F434" s="76"/>
      <c r="G434" s="76"/>
      <c r="H434" s="76"/>
      <c r="I434" s="76"/>
      <c r="J434" s="76"/>
      <c r="K434" s="76"/>
      <c r="L434" s="76"/>
      <c r="M434" s="76"/>
    </row>
    <row r="435" spans="3:13">
      <c r="C435" s="76"/>
      <c r="D435" s="76"/>
      <c r="E435" s="76"/>
      <c r="F435" s="76"/>
      <c r="G435" s="76"/>
      <c r="H435" s="76"/>
      <c r="I435" s="76"/>
      <c r="J435" s="76"/>
      <c r="K435" s="76"/>
      <c r="L435" s="76"/>
      <c r="M435" s="76"/>
    </row>
    <row r="436" spans="3:13">
      <c r="C436" s="76"/>
      <c r="D436" s="76"/>
      <c r="E436" s="76"/>
      <c r="F436" s="76"/>
      <c r="G436" s="76"/>
      <c r="H436" s="76"/>
      <c r="I436" s="76"/>
      <c r="J436" s="76"/>
      <c r="K436" s="76"/>
      <c r="L436" s="76"/>
      <c r="M436" s="76"/>
    </row>
    <row r="437" spans="3:13">
      <c r="C437" s="76"/>
      <c r="D437" s="76"/>
      <c r="E437" s="76"/>
      <c r="F437" s="76"/>
      <c r="G437" s="76"/>
      <c r="H437" s="76"/>
      <c r="I437" s="76"/>
      <c r="J437" s="76"/>
      <c r="K437" s="76"/>
      <c r="L437" s="76"/>
      <c r="M437" s="76"/>
    </row>
    <row r="438" spans="3:13">
      <c r="C438" s="76"/>
      <c r="D438" s="76"/>
      <c r="E438" s="76"/>
      <c r="F438" s="76"/>
      <c r="G438" s="76"/>
      <c r="H438" s="76"/>
      <c r="I438" s="76"/>
      <c r="J438" s="76"/>
      <c r="K438" s="76"/>
      <c r="L438" s="76"/>
      <c r="M438" s="76"/>
    </row>
    <row r="439" spans="3:13">
      <c r="C439" s="76"/>
      <c r="D439" s="76"/>
      <c r="E439" s="76"/>
      <c r="F439" s="76"/>
      <c r="G439" s="76"/>
      <c r="H439" s="76"/>
      <c r="I439" s="76"/>
      <c r="J439" s="76"/>
      <c r="K439" s="76"/>
      <c r="L439" s="76"/>
      <c r="M439" s="76"/>
    </row>
    <row r="440" spans="3:13">
      <c r="C440" s="76"/>
      <c r="D440" s="76"/>
      <c r="E440" s="76"/>
      <c r="F440" s="76"/>
      <c r="G440" s="76"/>
      <c r="H440" s="76"/>
      <c r="I440" s="76"/>
      <c r="J440" s="76"/>
      <c r="K440" s="76"/>
      <c r="L440" s="76"/>
      <c r="M440" s="76"/>
    </row>
    <row r="441" spans="3:13">
      <c r="C441" s="76"/>
      <c r="D441" s="76"/>
      <c r="E441" s="76"/>
      <c r="F441" s="76"/>
      <c r="G441" s="76"/>
      <c r="H441" s="76"/>
      <c r="I441" s="76"/>
      <c r="J441" s="76"/>
      <c r="K441" s="76"/>
      <c r="L441" s="76"/>
      <c r="M441" s="76"/>
    </row>
    <row r="442" spans="3:13">
      <c r="C442" s="76"/>
      <c r="D442" s="76"/>
      <c r="E442" s="76"/>
      <c r="F442" s="76"/>
      <c r="G442" s="76"/>
      <c r="H442" s="76"/>
      <c r="I442" s="76"/>
      <c r="J442" s="76"/>
      <c r="K442" s="76"/>
      <c r="L442" s="76"/>
      <c r="M442" s="76"/>
    </row>
    <row r="443" spans="3:13">
      <c r="C443" s="76"/>
      <c r="D443" s="76"/>
      <c r="E443" s="76"/>
      <c r="F443" s="76"/>
      <c r="G443" s="76"/>
      <c r="H443" s="76"/>
      <c r="I443" s="76"/>
      <c r="J443" s="76"/>
      <c r="K443" s="76"/>
      <c r="L443" s="76"/>
      <c r="M443" s="76"/>
    </row>
    <row r="444" spans="3:13">
      <c r="C444" s="76"/>
      <c r="D444" s="76"/>
      <c r="E444" s="76"/>
      <c r="F444" s="76"/>
      <c r="G444" s="76"/>
      <c r="H444" s="76"/>
      <c r="I444" s="76"/>
      <c r="J444" s="76"/>
      <c r="K444" s="76"/>
      <c r="L444" s="76"/>
      <c r="M444" s="76"/>
    </row>
    <row r="445" spans="3:13">
      <c r="C445" s="76"/>
      <c r="D445" s="76"/>
      <c r="E445" s="76"/>
      <c r="F445" s="76"/>
      <c r="G445" s="76"/>
      <c r="H445" s="76"/>
      <c r="I445" s="76"/>
      <c r="J445" s="76"/>
      <c r="K445" s="76"/>
      <c r="L445" s="76"/>
      <c r="M445" s="76"/>
    </row>
    <row r="446" spans="3:13">
      <c r="C446" s="76"/>
      <c r="D446" s="76"/>
      <c r="E446" s="76"/>
      <c r="F446" s="76"/>
      <c r="G446" s="76"/>
      <c r="H446" s="76"/>
      <c r="I446" s="76"/>
      <c r="J446" s="76"/>
      <c r="K446" s="76"/>
      <c r="L446" s="76"/>
      <c r="M446" s="76"/>
    </row>
    <row r="447" spans="3:13">
      <c r="C447" s="76"/>
      <c r="D447" s="76"/>
      <c r="E447" s="76"/>
      <c r="F447" s="76"/>
      <c r="G447" s="76"/>
      <c r="H447" s="76"/>
      <c r="I447" s="76"/>
      <c r="J447" s="76"/>
      <c r="K447" s="76"/>
      <c r="L447" s="76"/>
      <c r="M447" s="76"/>
    </row>
    <row r="448" spans="3:13">
      <c r="C448" s="76"/>
      <c r="D448" s="76"/>
      <c r="E448" s="76"/>
      <c r="F448" s="76"/>
      <c r="G448" s="76"/>
      <c r="H448" s="76"/>
      <c r="I448" s="76"/>
      <c r="J448" s="76"/>
      <c r="K448" s="76"/>
      <c r="L448" s="76"/>
      <c r="M448" s="76"/>
    </row>
    <row r="449" spans="3:13">
      <c r="C449" s="76"/>
      <c r="D449" s="76"/>
      <c r="E449" s="76"/>
      <c r="F449" s="76"/>
      <c r="G449" s="76"/>
      <c r="H449" s="76"/>
      <c r="I449" s="76"/>
      <c r="J449" s="76"/>
      <c r="K449" s="76"/>
      <c r="L449" s="76"/>
      <c r="M449" s="76"/>
    </row>
    <row r="450" spans="3:13">
      <c r="C450" s="76"/>
      <c r="D450" s="76"/>
      <c r="E450" s="76"/>
      <c r="F450" s="76"/>
      <c r="G450" s="76"/>
      <c r="H450" s="76"/>
      <c r="I450" s="76"/>
      <c r="J450" s="76"/>
      <c r="K450" s="76"/>
      <c r="L450" s="76"/>
      <c r="M450" s="76"/>
    </row>
    <row r="451" spans="3:13">
      <c r="C451" s="76"/>
      <c r="D451" s="76"/>
      <c r="E451" s="76"/>
      <c r="F451" s="76"/>
      <c r="G451" s="76"/>
      <c r="H451" s="76"/>
      <c r="I451" s="76"/>
      <c r="J451" s="76"/>
      <c r="K451" s="76"/>
      <c r="L451" s="76"/>
      <c r="M451" s="76"/>
    </row>
    <row r="452" spans="3:13">
      <c r="C452" s="76"/>
      <c r="D452" s="76"/>
      <c r="E452" s="76"/>
      <c r="F452" s="76"/>
      <c r="G452" s="76"/>
      <c r="H452" s="76"/>
      <c r="I452" s="76"/>
      <c r="J452" s="76"/>
      <c r="K452" s="76"/>
      <c r="L452" s="76"/>
      <c r="M452" s="76"/>
    </row>
    <row r="453" spans="3:13">
      <c r="C453" s="76"/>
      <c r="D453" s="76"/>
      <c r="E453" s="76"/>
      <c r="F453" s="76"/>
      <c r="G453" s="76"/>
      <c r="H453" s="76"/>
      <c r="I453" s="76"/>
      <c r="J453" s="76"/>
      <c r="K453" s="76"/>
      <c r="L453" s="76"/>
      <c r="M453" s="76"/>
    </row>
    <row r="454" spans="3:13">
      <c r="C454" s="76"/>
      <c r="D454" s="76"/>
      <c r="E454" s="76"/>
      <c r="F454" s="76"/>
      <c r="G454" s="76"/>
      <c r="H454" s="76"/>
      <c r="I454" s="76"/>
      <c r="J454" s="76"/>
      <c r="K454" s="76"/>
      <c r="L454" s="76"/>
      <c r="M454" s="76"/>
    </row>
    <row r="455" spans="3:13">
      <c r="C455" s="76"/>
      <c r="D455" s="76"/>
      <c r="E455" s="76"/>
      <c r="F455" s="76"/>
      <c r="G455" s="76"/>
      <c r="H455" s="76"/>
      <c r="I455" s="76"/>
      <c r="J455" s="76"/>
      <c r="K455" s="76"/>
      <c r="L455" s="76"/>
      <c r="M455" s="76"/>
    </row>
    <row r="456" spans="3:13">
      <c r="C456" s="76"/>
      <c r="D456" s="76"/>
      <c r="E456" s="76"/>
      <c r="F456" s="76"/>
      <c r="G456" s="76"/>
      <c r="H456" s="76"/>
      <c r="I456" s="76"/>
      <c r="J456" s="76"/>
      <c r="K456" s="76"/>
      <c r="L456" s="76"/>
      <c r="M456" s="76"/>
    </row>
    <row r="457" spans="3:13">
      <c r="C457" s="76"/>
      <c r="D457" s="76"/>
      <c r="E457" s="76"/>
      <c r="F457" s="76"/>
      <c r="G457" s="76"/>
      <c r="H457" s="76"/>
      <c r="I457" s="76"/>
      <c r="J457" s="76"/>
      <c r="K457" s="76"/>
      <c r="L457" s="76"/>
      <c r="M457" s="76"/>
    </row>
    <row r="458" spans="3:13">
      <c r="C458" s="76"/>
      <c r="D458" s="76"/>
      <c r="E458" s="76"/>
      <c r="F458" s="76"/>
      <c r="G458" s="76"/>
      <c r="H458" s="76"/>
      <c r="I458" s="76"/>
      <c r="J458" s="76"/>
      <c r="K458" s="76"/>
      <c r="L458" s="76"/>
      <c r="M458" s="76"/>
    </row>
    <row r="459" spans="3:13">
      <c r="C459" s="76"/>
      <c r="D459" s="76"/>
      <c r="E459" s="76"/>
      <c r="F459" s="76"/>
      <c r="G459" s="76"/>
      <c r="H459" s="76"/>
      <c r="I459" s="76"/>
      <c r="J459" s="76"/>
      <c r="K459" s="76"/>
      <c r="L459" s="76"/>
      <c r="M459" s="76"/>
    </row>
    <row r="460" spans="3:13">
      <c r="C460" s="76"/>
      <c r="D460" s="76"/>
      <c r="E460" s="76"/>
      <c r="F460" s="76"/>
      <c r="G460" s="76"/>
      <c r="H460" s="76"/>
      <c r="I460" s="76"/>
      <c r="J460" s="76"/>
      <c r="K460" s="76"/>
      <c r="L460" s="76"/>
      <c r="M460" s="76"/>
    </row>
    <row r="461" spans="3:13">
      <c r="C461" s="76"/>
      <c r="D461" s="76"/>
      <c r="E461" s="76"/>
      <c r="F461" s="76"/>
      <c r="G461" s="76"/>
      <c r="H461" s="76"/>
      <c r="I461" s="76"/>
      <c r="J461" s="76"/>
      <c r="K461" s="76"/>
      <c r="L461" s="76"/>
      <c r="M461" s="76"/>
    </row>
    <row r="462" spans="3:13">
      <c r="C462" s="76"/>
      <c r="D462" s="76"/>
      <c r="E462" s="76"/>
      <c r="F462" s="76"/>
      <c r="G462" s="76"/>
      <c r="H462" s="76"/>
      <c r="I462" s="76"/>
      <c r="J462" s="76"/>
      <c r="K462" s="76"/>
      <c r="L462" s="76"/>
      <c r="M462" s="76"/>
    </row>
    <row r="463" spans="3:13">
      <c r="C463" s="76"/>
      <c r="D463" s="76"/>
      <c r="E463" s="76"/>
      <c r="F463" s="76"/>
      <c r="G463" s="76"/>
      <c r="H463" s="76"/>
      <c r="I463" s="76"/>
      <c r="J463" s="76"/>
      <c r="K463" s="76"/>
      <c r="L463" s="76"/>
      <c r="M463" s="76"/>
    </row>
    <row r="464" spans="3:13">
      <c r="C464" s="76"/>
      <c r="D464" s="76"/>
      <c r="E464" s="76"/>
      <c r="F464" s="76"/>
      <c r="G464" s="76"/>
      <c r="H464" s="76"/>
      <c r="I464" s="76"/>
      <c r="J464" s="76"/>
      <c r="K464" s="76"/>
      <c r="L464" s="76"/>
      <c r="M464" s="76"/>
    </row>
    <row r="465" spans="3:13">
      <c r="C465" s="76"/>
      <c r="D465" s="76"/>
      <c r="E465" s="76"/>
      <c r="F465" s="76"/>
      <c r="G465" s="76"/>
      <c r="H465" s="76"/>
      <c r="I465" s="76"/>
      <c r="J465" s="76"/>
      <c r="K465" s="76"/>
      <c r="L465" s="76"/>
      <c r="M465" s="76"/>
    </row>
    <row r="466" spans="3:13">
      <c r="C466" s="76"/>
      <c r="D466" s="76"/>
      <c r="E466" s="76"/>
      <c r="F466" s="76"/>
      <c r="G466" s="76"/>
      <c r="H466" s="76"/>
      <c r="I466" s="76"/>
      <c r="J466" s="76"/>
      <c r="K466" s="76"/>
      <c r="L466" s="76"/>
      <c r="M466" s="76"/>
    </row>
    <row r="467" spans="3:13">
      <c r="C467" s="76"/>
      <c r="D467" s="76"/>
      <c r="E467" s="76"/>
      <c r="F467" s="76"/>
      <c r="G467" s="76"/>
      <c r="H467" s="76"/>
      <c r="I467" s="76"/>
      <c r="J467" s="76"/>
      <c r="K467" s="76"/>
      <c r="L467" s="76"/>
      <c r="M467" s="76"/>
    </row>
    <row r="468" spans="3:13">
      <c r="C468" s="76"/>
      <c r="D468" s="76"/>
      <c r="E468" s="76"/>
      <c r="F468" s="76"/>
      <c r="G468" s="76"/>
      <c r="H468" s="76"/>
      <c r="I468" s="76"/>
      <c r="J468" s="76"/>
      <c r="K468" s="76"/>
      <c r="L468" s="76"/>
      <c r="M468" s="76"/>
    </row>
    <row r="469" spans="3:13">
      <c r="C469" s="76"/>
      <c r="D469" s="76"/>
      <c r="E469" s="76"/>
      <c r="F469" s="76"/>
      <c r="G469" s="76"/>
      <c r="H469" s="76"/>
      <c r="I469" s="76"/>
      <c r="J469" s="76"/>
      <c r="K469" s="76"/>
      <c r="L469" s="76"/>
      <c r="M469" s="76"/>
    </row>
    <row r="470" spans="3:13">
      <c r="C470" s="76"/>
      <c r="D470" s="76"/>
      <c r="E470" s="76"/>
      <c r="F470" s="76"/>
      <c r="G470" s="76"/>
      <c r="H470" s="76"/>
      <c r="I470" s="76"/>
      <c r="J470" s="76"/>
      <c r="K470" s="76"/>
      <c r="L470" s="76"/>
      <c r="M470" s="76"/>
    </row>
    <row r="471" spans="3:13">
      <c r="C471" s="76"/>
      <c r="D471" s="76"/>
      <c r="E471" s="76"/>
      <c r="F471" s="76"/>
      <c r="G471" s="76"/>
      <c r="H471" s="76"/>
      <c r="I471" s="76"/>
      <c r="J471" s="76"/>
      <c r="K471" s="76"/>
      <c r="L471" s="76"/>
      <c r="M471" s="76"/>
    </row>
    <row r="472" spans="3:13">
      <c r="C472" s="76"/>
      <c r="D472" s="76"/>
      <c r="E472" s="76"/>
      <c r="F472" s="76"/>
      <c r="G472" s="76"/>
      <c r="H472" s="76"/>
      <c r="I472" s="76"/>
      <c r="J472" s="76"/>
      <c r="K472" s="76"/>
      <c r="L472" s="76"/>
      <c r="M472" s="76"/>
    </row>
    <row r="473" spans="3:13">
      <c r="C473" s="76"/>
      <c r="D473" s="76"/>
      <c r="E473" s="76"/>
      <c r="F473" s="76"/>
      <c r="G473" s="76"/>
      <c r="H473" s="76"/>
      <c r="I473" s="76"/>
      <c r="J473" s="76"/>
      <c r="K473" s="76"/>
      <c r="L473" s="76"/>
      <c r="M473" s="76"/>
    </row>
    <row r="474" spans="3:13">
      <c r="C474" s="76"/>
      <c r="D474" s="76"/>
      <c r="E474" s="76"/>
      <c r="F474" s="76"/>
      <c r="G474" s="76"/>
      <c r="H474" s="76"/>
      <c r="I474" s="76"/>
      <c r="J474" s="76"/>
      <c r="K474" s="76"/>
      <c r="L474" s="76"/>
      <c r="M474" s="76"/>
    </row>
    <row r="475" spans="3:13">
      <c r="C475" s="76"/>
      <c r="D475" s="76"/>
      <c r="E475" s="76"/>
      <c r="F475" s="76"/>
      <c r="G475" s="76"/>
      <c r="H475" s="76"/>
      <c r="I475" s="76"/>
      <c r="J475" s="76"/>
      <c r="K475" s="76"/>
      <c r="L475" s="76"/>
      <c r="M475" s="76"/>
    </row>
    <row r="476" spans="3:13">
      <c r="C476" s="76"/>
      <c r="D476" s="76"/>
      <c r="E476" s="76"/>
      <c r="F476" s="76"/>
      <c r="G476" s="76"/>
      <c r="H476" s="76"/>
      <c r="I476" s="76"/>
      <c r="J476" s="76"/>
      <c r="K476" s="76"/>
      <c r="L476" s="76"/>
      <c r="M476" s="76"/>
    </row>
    <row r="477" spans="3:13">
      <c r="C477" s="76"/>
      <c r="D477" s="76"/>
      <c r="E477" s="76"/>
      <c r="F477" s="76"/>
      <c r="G477" s="76"/>
      <c r="H477" s="76"/>
      <c r="I477" s="76"/>
      <c r="J477" s="76"/>
      <c r="K477" s="76"/>
      <c r="L477" s="76"/>
      <c r="M477" s="76"/>
    </row>
    <row r="478" spans="3:13">
      <c r="C478" s="76"/>
      <c r="D478" s="76"/>
      <c r="E478" s="76"/>
      <c r="F478" s="76"/>
      <c r="G478" s="76"/>
      <c r="H478" s="76"/>
      <c r="I478" s="76"/>
      <c r="J478" s="76"/>
      <c r="K478" s="76"/>
      <c r="L478" s="76"/>
      <c r="M478" s="76"/>
    </row>
    <row r="479" spans="3:13">
      <c r="C479" s="76"/>
      <c r="D479" s="76"/>
      <c r="E479" s="76"/>
      <c r="F479" s="76"/>
      <c r="G479" s="76"/>
      <c r="H479" s="76"/>
      <c r="I479" s="76"/>
      <c r="J479" s="76"/>
      <c r="K479" s="76"/>
      <c r="L479" s="76"/>
      <c r="M479" s="76"/>
    </row>
    <row r="480" spans="3:13">
      <c r="C480" s="76"/>
      <c r="D480" s="76"/>
      <c r="E480" s="76"/>
      <c r="F480" s="76"/>
      <c r="G480" s="76"/>
      <c r="H480" s="76"/>
      <c r="I480" s="76"/>
      <c r="J480" s="76"/>
      <c r="K480" s="76"/>
      <c r="L480" s="76"/>
      <c r="M480" s="76"/>
    </row>
    <row r="481" spans="3:13">
      <c r="C481" s="76"/>
      <c r="D481" s="76"/>
      <c r="E481" s="76"/>
      <c r="F481" s="76"/>
      <c r="G481" s="76"/>
      <c r="H481" s="76"/>
      <c r="I481" s="76"/>
      <c r="J481" s="76"/>
      <c r="K481" s="76"/>
      <c r="L481" s="76"/>
      <c r="M481" s="76"/>
    </row>
    <row r="482" spans="3:13">
      <c r="C482" s="76"/>
      <c r="D482" s="76"/>
      <c r="E482" s="76"/>
      <c r="F482" s="76"/>
      <c r="G482" s="76"/>
      <c r="H482" s="76"/>
      <c r="I482" s="76"/>
      <c r="J482" s="76"/>
      <c r="K482" s="76"/>
      <c r="L482" s="76"/>
      <c r="M482" s="76"/>
    </row>
    <row r="483" spans="3:13">
      <c r="C483" s="76"/>
      <c r="D483" s="76"/>
      <c r="E483" s="76"/>
      <c r="F483" s="76"/>
      <c r="G483" s="76"/>
      <c r="H483" s="76"/>
      <c r="I483" s="76"/>
      <c r="J483" s="76"/>
      <c r="K483" s="76"/>
      <c r="L483" s="76"/>
      <c r="M483" s="76"/>
    </row>
    <row r="484" spans="3:13">
      <c r="C484" s="76"/>
      <c r="D484" s="76"/>
      <c r="E484" s="76"/>
      <c r="F484" s="76"/>
      <c r="G484" s="76"/>
      <c r="H484" s="76"/>
      <c r="I484" s="76"/>
      <c r="J484" s="76"/>
      <c r="K484" s="76"/>
      <c r="L484" s="76"/>
      <c r="M484" s="76"/>
    </row>
    <row r="485" spans="3:13">
      <c r="C485" s="76"/>
      <c r="D485" s="76"/>
      <c r="E485" s="76"/>
      <c r="F485" s="76"/>
      <c r="G485" s="76"/>
      <c r="H485" s="76"/>
      <c r="I485" s="76"/>
      <c r="J485" s="76"/>
      <c r="K485" s="76"/>
      <c r="L485" s="76"/>
      <c r="M485" s="76"/>
    </row>
    <row r="486" spans="3:13">
      <c r="C486" s="76"/>
      <c r="D486" s="76"/>
      <c r="E486" s="76"/>
      <c r="F486" s="76"/>
      <c r="G486" s="76"/>
      <c r="H486" s="76"/>
      <c r="I486" s="76"/>
      <c r="J486" s="76"/>
      <c r="K486" s="76"/>
      <c r="L486" s="76"/>
      <c r="M486" s="76"/>
    </row>
    <row r="487" spans="3:13">
      <c r="C487" s="76"/>
      <c r="D487" s="76"/>
      <c r="E487" s="76"/>
      <c r="F487" s="76"/>
      <c r="G487" s="76"/>
      <c r="H487" s="76"/>
      <c r="I487" s="76"/>
      <c r="J487" s="76"/>
      <c r="K487" s="76"/>
      <c r="L487" s="76"/>
      <c r="M487" s="76"/>
    </row>
    <row r="488" spans="3:13">
      <c r="C488" s="76"/>
      <c r="D488" s="76"/>
      <c r="E488" s="76"/>
      <c r="F488" s="76"/>
      <c r="G488" s="76"/>
      <c r="H488" s="76"/>
      <c r="I488" s="76"/>
      <c r="J488" s="76"/>
      <c r="K488" s="76"/>
      <c r="L488" s="76"/>
      <c r="M488" s="76"/>
    </row>
    <row r="489" spans="3:13">
      <c r="C489" s="76"/>
      <c r="D489" s="76"/>
      <c r="E489" s="76"/>
      <c r="F489" s="76"/>
      <c r="G489" s="76"/>
      <c r="H489" s="76"/>
      <c r="I489" s="76"/>
      <c r="J489" s="76"/>
      <c r="K489" s="76"/>
      <c r="L489" s="76"/>
      <c r="M489" s="76"/>
    </row>
    <row r="490" spans="3:13">
      <c r="C490" s="76"/>
      <c r="D490" s="76"/>
      <c r="E490" s="76"/>
      <c r="F490" s="76"/>
      <c r="G490" s="76"/>
      <c r="H490" s="76"/>
      <c r="I490" s="76"/>
      <c r="J490" s="76"/>
      <c r="K490" s="76"/>
      <c r="L490" s="76"/>
      <c r="M490" s="76"/>
    </row>
    <row r="491" spans="3:13">
      <c r="C491" s="76"/>
      <c r="D491" s="76"/>
      <c r="E491" s="76"/>
      <c r="F491" s="76"/>
      <c r="G491" s="76"/>
      <c r="H491" s="76"/>
      <c r="I491" s="76"/>
      <c r="J491" s="76"/>
      <c r="K491" s="76"/>
      <c r="L491" s="76"/>
      <c r="M491" s="76"/>
    </row>
    <row r="492" spans="3:13">
      <c r="C492" s="76"/>
      <c r="D492" s="76"/>
      <c r="E492" s="76"/>
      <c r="F492" s="76"/>
      <c r="G492" s="76"/>
      <c r="H492" s="76"/>
      <c r="I492" s="76"/>
      <c r="J492" s="76"/>
      <c r="K492" s="76"/>
      <c r="L492" s="76"/>
      <c r="M492" s="76"/>
    </row>
    <row r="493" spans="3:13">
      <c r="C493" s="76"/>
      <c r="D493" s="76"/>
      <c r="E493" s="76"/>
      <c r="F493" s="76"/>
      <c r="G493" s="76"/>
      <c r="H493" s="76"/>
      <c r="I493" s="76"/>
      <c r="J493" s="76"/>
      <c r="K493" s="76"/>
      <c r="L493" s="76"/>
      <c r="M493" s="76"/>
    </row>
    <row r="494" spans="3:13">
      <c r="C494" s="76"/>
      <c r="D494" s="76"/>
      <c r="E494" s="76"/>
      <c r="F494" s="76"/>
      <c r="G494" s="76"/>
      <c r="H494" s="76"/>
      <c r="I494" s="76"/>
      <c r="J494" s="76"/>
      <c r="K494" s="76"/>
      <c r="L494" s="76"/>
      <c r="M494" s="76"/>
    </row>
    <row r="495" spans="3:13">
      <c r="C495" s="76"/>
      <c r="D495" s="76"/>
      <c r="E495" s="76"/>
      <c r="F495" s="76"/>
      <c r="G495" s="76"/>
      <c r="H495" s="76"/>
      <c r="I495" s="76"/>
      <c r="J495" s="76"/>
      <c r="K495" s="76"/>
      <c r="L495" s="76"/>
      <c r="M495" s="76"/>
    </row>
    <row r="496" spans="3:13">
      <c r="C496" s="76"/>
      <c r="D496" s="76"/>
      <c r="E496" s="76"/>
      <c r="F496" s="76"/>
      <c r="G496" s="76"/>
      <c r="H496" s="76"/>
      <c r="I496" s="76"/>
      <c r="J496" s="76"/>
      <c r="K496" s="76"/>
      <c r="L496" s="76"/>
      <c r="M496" s="76"/>
    </row>
    <row r="497" spans="3:13">
      <c r="C497" s="76"/>
      <c r="D497" s="76"/>
      <c r="E497" s="76"/>
      <c r="F497" s="76"/>
      <c r="G497" s="76"/>
      <c r="H497" s="76"/>
      <c r="I497" s="76"/>
      <c r="J497" s="76"/>
      <c r="K497" s="76"/>
      <c r="L497" s="76"/>
      <c r="M497" s="76"/>
    </row>
    <row r="498" spans="3:13">
      <c r="C498" s="76"/>
      <c r="D498" s="76"/>
      <c r="E498" s="76"/>
      <c r="F498" s="76"/>
      <c r="G498" s="76"/>
      <c r="H498" s="76"/>
      <c r="I498" s="76"/>
      <c r="J498" s="76"/>
      <c r="K498" s="76"/>
      <c r="L498" s="76"/>
      <c r="M498" s="76"/>
    </row>
    <row r="499" spans="3:13">
      <c r="C499" s="76"/>
      <c r="D499" s="76"/>
      <c r="E499" s="76"/>
      <c r="F499" s="76"/>
      <c r="G499" s="76"/>
      <c r="H499" s="76"/>
      <c r="I499" s="76"/>
      <c r="J499" s="76"/>
      <c r="K499" s="76"/>
      <c r="L499" s="76"/>
      <c r="M499" s="76"/>
    </row>
    <row r="500" spans="3:13">
      <c r="C500" s="76"/>
      <c r="D500" s="76"/>
      <c r="E500" s="76"/>
      <c r="F500" s="76"/>
      <c r="G500" s="76"/>
      <c r="H500" s="76"/>
      <c r="I500" s="76"/>
      <c r="J500" s="76"/>
      <c r="K500" s="76"/>
      <c r="L500" s="76"/>
      <c r="M500" s="76"/>
    </row>
    <row r="501" spans="3:13">
      <c r="C501" s="76"/>
      <c r="D501" s="76"/>
      <c r="E501" s="76"/>
      <c r="F501" s="76"/>
      <c r="G501" s="76"/>
      <c r="H501" s="76"/>
      <c r="I501" s="76"/>
      <c r="J501" s="76"/>
      <c r="K501" s="76"/>
      <c r="L501" s="76"/>
      <c r="M501" s="76"/>
    </row>
    <row r="502" spans="3:13">
      <c r="C502" s="76"/>
      <c r="D502" s="76"/>
      <c r="E502" s="76"/>
      <c r="F502" s="76"/>
      <c r="G502" s="76"/>
      <c r="H502" s="76"/>
      <c r="I502" s="76"/>
      <c r="J502" s="76"/>
      <c r="K502" s="76"/>
      <c r="L502" s="76"/>
      <c r="M502" s="76"/>
    </row>
    <row r="503" spans="3:13">
      <c r="C503" s="76"/>
      <c r="D503" s="76"/>
      <c r="E503" s="76"/>
      <c r="F503" s="76"/>
      <c r="G503" s="76"/>
      <c r="H503" s="76"/>
      <c r="I503" s="76"/>
      <c r="J503" s="76"/>
      <c r="K503" s="76"/>
      <c r="L503" s="76"/>
      <c r="M503" s="76"/>
    </row>
    <row r="504" spans="3:13">
      <c r="C504" s="76"/>
      <c r="D504" s="76"/>
      <c r="E504" s="76"/>
      <c r="F504" s="76"/>
      <c r="G504" s="76"/>
      <c r="H504" s="76"/>
      <c r="I504" s="76"/>
      <c r="J504" s="76"/>
      <c r="K504" s="76"/>
      <c r="L504" s="76"/>
      <c r="M504" s="76"/>
    </row>
    <row r="505" spans="3:13">
      <c r="C505" s="76"/>
      <c r="D505" s="76"/>
      <c r="E505" s="76"/>
      <c r="F505" s="76"/>
      <c r="G505" s="76"/>
      <c r="H505" s="76"/>
      <c r="I505" s="76"/>
      <c r="J505" s="76"/>
      <c r="K505" s="76"/>
      <c r="L505" s="76"/>
      <c r="M505" s="76"/>
    </row>
    <row r="506" spans="3:13">
      <c r="C506" s="76"/>
      <c r="D506" s="76"/>
      <c r="E506" s="76"/>
      <c r="F506" s="76"/>
      <c r="G506" s="76"/>
      <c r="H506" s="76"/>
      <c r="I506" s="76"/>
      <c r="J506" s="76"/>
      <c r="K506" s="76"/>
      <c r="L506" s="76"/>
      <c r="M506" s="76"/>
    </row>
    <row r="507" spans="3:13">
      <c r="C507" s="76"/>
      <c r="D507" s="76"/>
      <c r="E507" s="76"/>
      <c r="F507" s="76"/>
      <c r="G507" s="76"/>
      <c r="H507" s="76"/>
      <c r="I507" s="76"/>
      <c r="J507" s="76"/>
      <c r="K507" s="76"/>
      <c r="L507" s="76"/>
      <c r="M507" s="76"/>
    </row>
    <row r="508" spans="3:13">
      <c r="C508" s="76"/>
      <c r="D508" s="76"/>
      <c r="E508" s="76"/>
      <c r="F508" s="76"/>
      <c r="G508" s="76"/>
      <c r="H508" s="76"/>
      <c r="I508" s="76"/>
      <c r="J508" s="76"/>
      <c r="K508" s="76"/>
      <c r="L508" s="76"/>
      <c r="M508" s="76"/>
    </row>
    <row r="509" spans="3:13">
      <c r="C509" s="76"/>
      <c r="D509" s="76"/>
      <c r="E509" s="76"/>
      <c r="F509" s="76"/>
      <c r="G509" s="76"/>
      <c r="H509" s="76"/>
      <c r="I509" s="76"/>
      <c r="J509" s="76"/>
      <c r="K509" s="76"/>
      <c r="L509" s="76"/>
      <c r="M509" s="76"/>
    </row>
    <row r="510" spans="3:13">
      <c r="C510" s="76"/>
      <c r="D510" s="76"/>
      <c r="E510" s="76"/>
      <c r="F510" s="76"/>
      <c r="G510" s="76"/>
      <c r="H510" s="76"/>
      <c r="I510" s="76"/>
      <c r="J510" s="76"/>
      <c r="K510" s="76"/>
      <c r="L510" s="76"/>
      <c r="M510" s="76"/>
    </row>
    <row r="511" spans="3:13">
      <c r="C511" s="76"/>
      <c r="D511" s="76"/>
      <c r="E511" s="76"/>
      <c r="F511" s="76"/>
      <c r="G511" s="76"/>
      <c r="H511" s="76"/>
      <c r="I511" s="76"/>
      <c r="J511" s="76"/>
      <c r="K511" s="76"/>
      <c r="L511" s="76"/>
      <c r="M511" s="76"/>
    </row>
    <row r="512" spans="3:13">
      <c r="C512" s="76"/>
      <c r="D512" s="76"/>
      <c r="E512" s="76"/>
      <c r="F512" s="76"/>
      <c r="G512" s="76"/>
      <c r="H512" s="76"/>
      <c r="I512" s="76"/>
      <c r="J512" s="76"/>
      <c r="K512" s="76"/>
      <c r="L512" s="76"/>
      <c r="M512" s="76"/>
    </row>
    <row r="513" spans="3:13">
      <c r="C513" s="76"/>
      <c r="D513" s="76"/>
      <c r="E513" s="76"/>
      <c r="F513" s="76"/>
      <c r="G513" s="76"/>
      <c r="H513" s="76"/>
      <c r="I513" s="76"/>
      <c r="J513" s="76"/>
      <c r="K513" s="76"/>
      <c r="L513" s="76"/>
      <c r="M513" s="76"/>
    </row>
    <row r="514" spans="3:13">
      <c r="C514" s="76"/>
      <c r="D514" s="76"/>
      <c r="E514" s="76"/>
      <c r="F514" s="76"/>
      <c r="G514" s="76"/>
      <c r="H514" s="76"/>
      <c r="I514" s="76"/>
      <c r="J514" s="76"/>
      <c r="K514" s="76"/>
      <c r="L514" s="76"/>
      <c r="M514" s="76"/>
    </row>
    <row r="515" spans="3:13">
      <c r="C515" s="76"/>
      <c r="D515" s="76"/>
      <c r="E515" s="76"/>
      <c r="F515" s="76"/>
      <c r="G515" s="76"/>
      <c r="H515" s="76"/>
      <c r="I515" s="76"/>
      <c r="J515" s="76"/>
      <c r="K515" s="76"/>
      <c r="L515" s="76"/>
      <c r="M515" s="76"/>
    </row>
    <row r="516" spans="3:13">
      <c r="C516" s="76"/>
      <c r="D516" s="76"/>
      <c r="E516" s="76"/>
      <c r="F516" s="76"/>
      <c r="G516" s="76"/>
      <c r="H516" s="76"/>
      <c r="I516" s="76"/>
      <c r="J516" s="76"/>
      <c r="K516" s="76"/>
      <c r="L516" s="76"/>
      <c r="M516" s="76"/>
    </row>
    <row r="517" spans="3:13">
      <c r="C517" s="76"/>
      <c r="D517" s="76"/>
      <c r="E517" s="76"/>
      <c r="F517" s="76"/>
      <c r="G517" s="76"/>
      <c r="H517" s="76"/>
      <c r="I517" s="76"/>
      <c r="J517" s="76"/>
      <c r="K517" s="76"/>
      <c r="L517" s="76"/>
      <c r="M517" s="76"/>
    </row>
    <row r="518" spans="3:13">
      <c r="C518" s="76"/>
      <c r="D518" s="76"/>
      <c r="E518" s="76"/>
      <c r="F518" s="76"/>
      <c r="G518" s="76"/>
      <c r="H518" s="76"/>
      <c r="I518" s="76"/>
      <c r="J518" s="76"/>
      <c r="K518" s="76"/>
      <c r="L518" s="76"/>
      <c r="M518" s="76"/>
    </row>
    <row r="519" spans="3:13">
      <c r="C519" s="76"/>
      <c r="D519" s="76"/>
      <c r="E519" s="76"/>
      <c r="F519" s="76"/>
      <c r="G519" s="76"/>
      <c r="H519" s="76"/>
      <c r="I519" s="76"/>
      <c r="J519" s="76"/>
      <c r="K519" s="76"/>
      <c r="L519" s="76"/>
      <c r="M519" s="76"/>
    </row>
    <row r="520" spans="3:13">
      <c r="C520" s="76"/>
      <c r="D520" s="76"/>
      <c r="E520" s="76"/>
      <c r="F520" s="76"/>
      <c r="G520" s="76"/>
      <c r="H520" s="76"/>
      <c r="I520" s="76"/>
      <c r="J520" s="76"/>
      <c r="K520" s="76"/>
      <c r="L520" s="76"/>
      <c r="M520" s="76"/>
    </row>
    <row r="521" spans="3:13">
      <c r="C521" s="76"/>
      <c r="D521" s="76"/>
      <c r="E521" s="76"/>
      <c r="F521" s="76"/>
      <c r="G521" s="76"/>
      <c r="H521" s="76"/>
      <c r="I521" s="76"/>
      <c r="J521" s="76"/>
      <c r="K521" s="76"/>
      <c r="L521" s="76"/>
      <c r="M521" s="76"/>
    </row>
    <row r="522" spans="3:13">
      <c r="C522" s="76"/>
      <c r="D522" s="76"/>
      <c r="E522" s="76"/>
      <c r="F522" s="76"/>
      <c r="G522" s="76"/>
      <c r="H522" s="76"/>
      <c r="I522" s="76"/>
      <c r="J522" s="76"/>
      <c r="K522" s="76"/>
      <c r="L522" s="76"/>
      <c r="M522" s="76"/>
    </row>
    <row r="523" spans="3:13">
      <c r="C523" s="76"/>
      <c r="D523" s="76"/>
      <c r="E523" s="76"/>
      <c r="F523" s="76"/>
      <c r="G523" s="76"/>
      <c r="H523" s="76"/>
      <c r="I523" s="76"/>
      <c r="J523" s="76"/>
      <c r="K523" s="76"/>
      <c r="L523" s="76"/>
      <c r="M523" s="76"/>
    </row>
    <row r="524" spans="3:13">
      <c r="C524" s="76"/>
      <c r="D524" s="76"/>
      <c r="E524" s="76"/>
      <c r="F524" s="76"/>
      <c r="G524" s="76"/>
      <c r="H524" s="76"/>
      <c r="I524" s="76"/>
      <c r="J524" s="76"/>
      <c r="K524" s="76"/>
      <c r="L524" s="76"/>
      <c r="M524" s="76"/>
    </row>
    <row r="525" spans="3:13">
      <c r="C525" s="76"/>
      <c r="D525" s="76"/>
      <c r="E525" s="76"/>
      <c r="F525" s="76"/>
      <c r="G525" s="76"/>
      <c r="H525" s="76"/>
      <c r="I525" s="76"/>
      <c r="J525" s="76"/>
      <c r="K525" s="76"/>
      <c r="L525" s="76"/>
      <c r="M525" s="76"/>
    </row>
    <row r="526" spans="3:13">
      <c r="C526" s="76"/>
      <c r="D526" s="76"/>
      <c r="E526" s="76"/>
      <c r="F526" s="76"/>
      <c r="G526" s="76"/>
      <c r="H526" s="76"/>
      <c r="I526" s="76"/>
      <c r="J526" s="76"/>
      <c r="K526" s="76"/>
      <c r="L526" s="76"/>
      <c r="M526" s="76"/>
    </row>
    <row r="527" spans="3:13">
      <c r="C527" s="76"/>
      <c r="D527" s="76"/>
      <c r="E527" s="76"/>
      <c r="F527" s="76"/>
      <c r="G527" s="76"/>
      <c r="H527" s="76"/>
      <c r="I527" s="76"/>
      <c r="J527" s="76"/>
      <c r="K527" s="76"/>
      <c r="L527" s="76"/>
      <c r="M527" s="76"/>
    </row>
    <row r="528" spans="3:13">
      <c r="C528" s="76"/>
      <c r="D528" s="76"/>
      <c r="E528" s="76"/>
      <c r="F528" s="76"/>
      <c r="G528" s="76"/>
      <c r="H528" s="76"/>
      <c r="I528" s="76"/>
      <c r="J528" s="76"/>
      <c r="K528" s="76"/>
      <c r="L528" s="76"/>
      <c r="M528" s="76"/>
    </row>
    <row r="529" spans="3:13">
      <c r="C529" s="76"/>
      <c r="D529" s="76"/>
      <c r="E529" s="76"/>
      <c r="F529" s="76"/>
      <c r="G529" s="76"/>
      <c r="H529" s="76"/>
      <c r="I529" s="76"/>
      <c r="J529" s="76"/>
      <c r="K529" s="76"/>
      <c r="L529" s="76"/>
      <c r="M529" s="76"/>
    </row>
    <row r="530" spans="3:13">
      <c r="C530" s="76"/>
      <c r="D530" s="76"/>
      <c r="E530" s="76"/>
      <c r="F530" s="76"/>
      <c r="G530" s="76"/>
      <c r="H530" s="76"/>
      <c r="I530" s="76"/>
      <c r="J530" s="76"/>
      <c r="K530" s="76"/>
      <c r="L530" s="76"/>
      <c r="M530" s="76"/>
    </row>
    <row r="531" spans="3:13">
      <c r="C531" s="76"/>
      <c r="D531" s="76"/>
      <c r="E531" s="76"/>
      <c r="F531" s="76"/>
      <c r="G531" s="76"/>
      <c r="H531" s="76"/>
      <c r="I531" s="76"/>
      <c r="J531" s="76"/>
      <c r="K531" s="76"/>
      <c r="L531" s="76"/>
      <c r="M531" s="76"/>
    </row>
    <row r="532" spans="3:13">
      <c r="C532" s="76"/>
      <c r="D532" s="76"/>
      <c r="E532" s="76"/>
      <c r="F532" s="76"/>
      <c r="G532" s="76"/>
      <c r="H532" s="76"/>
      <c r="I532" s="76"/>
      <c r="J532" s="76"/>
      <c r="K532" s="76"/>
      <c r="L532" s="76"/>
      <c r="M532" s="76"/>
    </row>
    <row r="533" spans="3:13">
      <c r="C533" s="76"/>
      <c r="D533" s="76"/>
      <c r="E533" s="76"/>
      <c r="F533" s="76"/>
      <c r="G533" s="76"/>
      <c r="H533" s="76"/>
      <c r="I533" s="76"/>
      <c r="J533" s="76"/>
      <c r="K533" s="76"/>
      <c r="L533" s="76"/>
      <c r="M533" s="76"/>
    </row>
    <row r="534" spans="3:13">
      <c r="C534" s="76"/>
      <c r="D534" s="76"/>
      <c r="E534" s="76"/>
      <c r="F534" s="76"/>
      <c r="G534" s="76"/>
      <c r="H534" s="76"/>
      <c r="I534" s="76"/>
      <c r="J534" s="76"/>
      <c r="K534" s="76"/>
      <c r="L534" s="76"/>
      <c r="M534" s="76"/>
    </row>
    <row r="535" spans="3:13">
      <c r="C535" s="76"/>
      <c r="D535" s="76"/>
      <c r="E535" s="76"/>
      <c r="F535" s="76"/>
      <c r="G535" s="76"/>
      <c r="H535" s="76"/>
      <c r="I535" s="76"/>
      <c r="J535" s="76"/>
      <c r="K535" s="76"/>
      <c r="L535" s="76"/>
      <c r="M535" s="76"/>
    </row>
    <row r="536" spans="3:13">
      <c r="C536" s="76"/>
      <c r="D536" s="76"/>
      <c r="E536" s="76"/>
      <c r="F536" s="76"/>
      <c r="G536" s="76"/>
      <c r="H536" s="76"/>
      <c r="I536" s="76"/>
      <c r="J536" s="76"/>
      <c r="K536" s="76"/>
      <c r="L536" s="76"/>
      <c r="M536" s="76"/>
    </row>
    <row r="537" spans="3:13">
      <c r="C537" s="76"/>
      <c r="D537" s="76"/>
      <c r="E537" s="76"/>
      <c r="F537" s="76"/>
      <c r="G537" s="76"/>
      <c r="H537" s="76"/>
      <c r="I537" s="76"/>
      <c r="J537" s="76"/>
      <c r="K537" s="76"/>
      <c r="L537" s="76"/>
      <c r="M537" s="76"/>
    </row>
    <row r="538" spans="3:13">
      <c r="C538" s="76"/>
      <c r="D538" s="76"/>
      <c r="E538" s="76"/>
      <c r="F538" s="76"/>
      <c r="G538" s="76"/>
      <c r="H538" s="76"/>
      <c r="I538" s="76"/>
      <c r="J538" s="76"/>
      <c r="K538" s="76"/>
      <c r="L538" s="76"/>
      <c r="M538" s="76"/>
    </row>
    <row r="539" spans="3:13">
      <c r="C539" s="76"/>
      <c r="D539" s="76"/>
      <c r="E539" s="76"/>
      <c r="F539" s="76"/>
      <c r="G539" s="76"/>
      <c r="H539" s="76"/>
      <c r="I539" s="76"/>
      <c r="J539" s="76"/>
      <c r="K539" s="76"/>
      <c r="L539" s="76"/>
      <c r="M539" s="76"/>
    </row>
    <row r="540" spans="3:13">
      <c r="C540" s="76"/>
      <c r="D540" s="76"/>
      <c r="E540" s="76"/>
      <c r="F540" s="76"/>
      <c r="G540" s="76"/>
      <c r="H540" s="76"/>
      <c r="I540" s="76"/>
      <c r="J540" s="76"/>
      <c r="K540" s="76"/>
      <c r="L540" s="76"/>
      <c r="M540" s="76"/>
    </row>
    <row r="541" spans="3:13">
      <c r="C541" s="76"/>
      <c r="D541" s="76"/>
      <c r="E541" s="76"/>
      <c r="F541" s="76"/>
      <c r="G541" s="76"/>
      <c r="H541" s="76"/>
      <c r="I541" s="76"/>
      <c r="J541" s="76"/>
      <c r="K541" s="76"/>
      <c r="L541" s="76"/>
      <c r="M541" s="76"/>
    </row>
    <row r="542" spans="3:13">
      <c r="C542" s="76"/>
      <c r="D542" s="76"/>
      <c r="E542" s="76"/>
      <c r="F542" s="76"/>
      <c r="G542" s="76"/>
      <c r="H542" s="76"/>
      <c r="I542" s="76"/>
      <c r="J542" s="76"/>
      <c r="K542" s="76"/>
      <c r="L542" s="76"/>
      <c r="M542" s="76"/>
    </row>
    <row r="543" spans="3:13">
      <c r="C543" s="76"/>
      <c r="D543" s="76"/>
      <c r="E543" s="76"/>
      <c r="F543" s="76"/>
      <c r="G543" s="76"/>
      <c r="H543" s="76"/>
      <c r="I543" s="76"/>
      <c r="J543" s="76"/>
      <c r="K543" s="76"/>
      <c r="L543" s="76"/>
      <c r="M543" s="76"/>
    </row>
    <row r="544" spans="3:13">
      <c r="C544" s="76"/>
      <c r="D544" s="76"/>
      <c r="E544" s="76"/>
      <c r="F544" s="76"/>
      <c r="G544" s="76"/>
      <c r="H544" s="76"/>
      <c r="I544" s="76"/>
      <c r="J544" s="76"/>
      <c r="K544" s="76"/>
      <c r="L544" s="76"/>
      <c r="M544" s="76"/>
    </row>
    <row r="545" spans="3:13">
      <c r="C545" s="76"/>
      <c r="D545" s="76"/>
      <c r="E545" s="76"/>
      <c r="F545" s="76"/>
      <c r="G545" s="76"/>
      <c r="H545" s="76"/>
      <c r="I545" s="76"/>
      <c r="J545" s="76"/>
      <c r="K545" s="76"/>
      <c r="L545" s="76"/>
      <c r="M545" s="76"/>
    </row>
    <row r="546" spans="3:13">
      <c r="C546" s="76"/>
      <c r="D546" s="76"/>
      <c r="E546" s="76"/>
      <c r="F546" s="76"/>
      <c r="G546" s="76"/>
      <c r="H546" s="76"/>
      <c r="I546" s="76"/>
      <c r="J546" s="76"/>
      <c r="K546" s="76"/>
      <c r="L546" s="76"/>
      <c r="M546" s="76"/>
    </row>
    <row r="547" spans="3:13">
      <c r="C547" s="76"/>
      <c r="D547" s="76"/>
      <c r="E547" s="76"/>
      <c r="F547" s="76"/>
      <c r="G547" s="76"/>
      <c r="H547" s="76"/>
      <c r="I547" s="76"/>
      <c r="J547" s="76"/>
      <c r="K547" s="76"/>
      <c r="L547" s="76"/>
      <c r="M547" s="76"/>
    </row>
    <row r="548" spans="3:13">
      <c r="C548" s="76"/>
      <c r="D548" s="76"/>
      <c r="E548" s="76"/>
      <c r="F548" s="76"/>
      <c r="G548" s="76"/>
      <c r="H548" s="76"/>
      <c r="I548" s="76"/>
      <c r="J548" s="76"/>
      <c r="K548" s="76"/>
      <c r="L548" s="76"/>
      <c r="M548" s="76"/>
    </row>
    <row r="549" spans="3:13">
      <c r="C549" s="76"/>
      <c r="D549" s="76"/>
      <c r="E549" s="76"/>
      <c r="F549" s="76"/>
      <c r="G549" s="76"/>
      <c r="H549" s="76"/>
      <c r="I549" s="76"/>
      <c r="J549" s="76"/>
      <c r="K549" s="76"/>
      <c r="L549" s="76"/>
      <c r="M549" s="76"/>
    </row>
    <row r="550" spans="3:13">
      <c r="C550" s="76"/>
      <c r="D550" s="76"/>
      <c r="E550" s="76"/>
      <c r="F550" s="76"/>
      <c r="G550" s="76"/>
      <c r="H550" s="76"/>
      <c r="I550" s="76"/>
      <c r="J550" s="76"/>
      <c r="K550" s="76"/>
      <c r="L550" s="76"/>
      <c r="M550" s="76"/>
    </row>
    <row r="551" spans="3:13">
      <c r="C551" s="76"/>
      <c r="D551" s="76"/>
      <c r="E551" s="76"/>
      <c r="F551" s="76"/>
      <c r="G551" s="76"/>
      <c r="H551" s="76"/>
      <c r="I551" s="76"/>
      <c r="J551" s="76"/>
      <c r="K551" s="76"/>
      <c r="L551" s="76"/>
      <c r="M551" s="76"/>
    </row>
    <row r="552" spans="3:13">
      <c r="C552" s="76"/>
      <c r="D552" s="76"/>
      <c r="E552" s="76"/>
      <c r="F552" s="76"/>
      <c r="G552" s="76"/>
      <c r="H552" s="76"/>
      <c r="I552" s="76"/>
      <c r="J552" s="76"/>
      <c r="K552" s="76"/>
      <c r="L552" s="76"/>
      <c r="M552" s="76"/>
    </row>
    <row r="553" spans="3:13">
      <c r="C553" s="76"/>
      <c r="D553" s="76"/>
      <c r="E553" s="76"/>
      <c r="F553" s="76"/>
      <c r="G553" s="76"/>
      <c r="H553" s="76"/>
      <c r="I553" s="76"/>
      <c r="J553" s="76"/>
      <c r="K553" s="76"/>
      <c r="L553" s="76"/>
      <c r="M553" s="76"/>
    </row>
    <row r="554" spans="3:13">
      <c r="C554" s="76"/>
      <c r="D554" s="76"/>
      <c r="E554" s="76"/>
      <c r="F554" s="76"/>
      <c r="G554" s="76"/>
      <c r="H554" s="76"/>
      <c r="I554" s="76"/>
      <c r="J554" s="76"/>
      <c r="K554" s="76"/>
      <c r="L554" s="76"/>
      <c r="M554" s="76"/>
    </row>
    <row r="555" spans="3:13">
      <c r="C555" s="76"/>
      <c r="D555" s="76"/>
      <c r="E555" s="76"/>
      <c r="F555" s="76"/>
      <c r="G555" s="76"/>
      <c r="H555" s="76"/>
      <c r="I555" s="76"/>
      <c r="J555" s="76"/>
      <c r="K555" s="76"/>
      <c r="L555" s="76"/>
      <c r="M555" s="76"/>
    </row>
    <row r="556" spans="3:13">
      <c r="C556" s="76"/>
      <c r="D556" s="76"/>
      <c r="E556" s="76"/>
      <c r="F556" s="76"/>
      <c r="G556" s="76"/>
      <c r="H556" s="76"/>
      <c r="I556" s="76"/>
      <c r="J556" s="76"/>
      <c r="K556" s="76"/>
      <c r="L556" s="76"/>
      <c r="M556" s="76"/>
    </row>
    <row r="557" spans="3:13">
      <c r="C557" s="76"/>
      <c r="D557" s="76"/>
      <c r="E557" s="76"/>
      <c r="F557" s="76"/>
      <c r="G557" s="76"/>
      <c r="H557" s="76"/>
      <c r="I557" s="76"/>
      <c r="J557" s="76"/>
      <c r="K557" s="76"/>
      <c r="L557" s="76"/>
      <c r="M557" s="76"/>
    </row>
    <row r="558" spans="3:13">
      <c r="C558" s="76"/>
      <c r="D558" s="76"/>
      <c r="E558" s="76"/>
      <c r="F558" s="76"/>
      <c r="G558" s="76"/>
      <c r="H558" s="76"/>
      <c r="I558" s="76"/>
      <c r="J558" s="76"/>
      <c r="K558" s="76"/>
      <c r="L558" s="76"/>
      <c r="M558" s="76"/>
    </row>
    <row r="559" spans="3:13">
      <c r="C559" s="76"/>
      <c r="D559" s="76"/>
      <c r="E559" s="76"/>
      <c r="F559" s="76"/>
      <c r="G559" s="76"/>
      <c r="H559" s="76"/>
      <c r="I559" s="76"/>
      <c r="J559" s="76"/>
      <c r="K559" s="76"/>
      <c r="L559" s="76"/>
      <c r="M559" s="76"/>
    </row>
    <row r="560" spans="3:13">
      <c r="C560" s="76"/>
      <c r="D560" s="76"/>
      <c r="E560" s="76"/>
      <c r="F560" s="76"/>
      <c r="G560" s="76"/>
      <c r="H560" s="76"/>
      <c r="I560" s="76"/>
      <c r="J560" s="76"/>
      <c r="K560" s="76"/>
      <c r="L560" s="76"/>
      <c r="M560" s="76"/>
    </row>
    <row r="561" spans="3:13">
      <c r="C561" s="76"/>
      <c r="D561" s="76"/>
      <c r="E561" s="76"/>
      <c r="F561" s="76"/>
      <c r="G561" s="76"/>
      <c r="H561" s="76"/>
      <c r="I561" s="76"/>
      <c r="J561" s="76"/>
      <c r="K561" s="76"/>
      <c r="L561" s="76"/>
      <c r="M561" s="76"/>
    </row>
    <row r="562" spans="3:13">
      <c r="C562" s="76"/>
      <c r="D562" s="76"/>
      <c r="E562" s="76"/>
      <c r="F562" s="76"/>
      <c r="G562" s="76"/>
      <c r="H562" s="76"/>
      <c r="I562" s="76"/>
      <c r="J562" s="76"/>
      <c r="K562" s="76"/>
      <c r="L562" s="76"/>
      <c r="M562" s="76"/>
    </row>
    <row r="563" spans="3:13">
      <c r="C563" s="76"/>
      <c r="D563" s="76"/>
      <c r="E563" s="76"/>
      <c r="F563" s="76"/>
      <c r="G563" s="76"/>
      <c r="H563" s="76"/>
      <c r="I563" s="76"/>
      <c r="J563" s="76"/>
      <c r="K563" s="76"/>
      <c r="L563" s="76"/>
      <c r="M563" s="76"/>
    </row>
    <row r="564" spans="3:13">
      <c r="C564" s="76"/>
      <c r="D564" s="76"/>
      <c r="E564" s="76"/>
      <c r="F564" s="76"/>
      <c r="G564" s="76"/>
      <c r="H564" s="76"/>
      <c r="I564" s="76"/>
      <c r="J564" s="76"/>
      <c r="K564" s="76"/>
      <c r="L564" s="76"/>
      <c r="M564" s="76"/>
    </row>
    <row r="565" spans="3:13">
      <c r="C565" s="76"/>
      <c r="D565" s="76"/>
      <c r="E565" s="76"/>
      <c r="F565" s="76"/>
      <c r="G565" s="76"/>
      <c r="H565" s="76"/>
      <c r="I565" s="76"/>
      <c r="J565" s="76"/>
      <c r="K565" s="76"/>
      <c r="L565" s="76"/>
      <c r="M565" s="76"/>
    </row>
    <row r="566" spans="3:13">
      <c r="C566" s="76"/>
      <c r="D566" s="76"/>
      <c r="E566" s="76"/>
      <c r="F566" s="76"/>
      <c r="G566" s="76"/>
      <c r="H566" s="76"/>
      <c r="I566" s="76"/>
      <c r="J566" s="76"/>
      <c r="K566" s="76"/>
      <c r="L566" s="76"/>
      <c r="M566" s="76"/>
    </row>
    <row r="567" spans="3:13">
      <c r="C567" s="76"/>
      <c r="D567" s="76"/>
      <c r="E567" s="76"/>
      <c r="F567" s="76"/>
      <c r="G567" s="76"/>
      <c r="H567" s="76"/>
      <c r="I567" s="76"/>
      <c r="J567" s="76"/>
      <c r="K567" s="76"/>
      <c r="L567" s="76"/>
      <c r="M567" s="76"/>
    </row>
    <row r="568" spans="3:13">
      <c r="C568" s="76"/>
      <c r="D568" s="76"/>
      <c r="E568" s="76"/>
      <c r="F568" s="76"/>
      <c r="G568" s="76"/>
      <c r="H568" s="76"/>
      <c r="I568" s="76"/>
      <c r="J568" s="76"/>
      <c r="K568" s="76"/>
      <c r="L568" s="76"/>
      <c r="M568" s="76"/>
    </row>
    <row r="569" spans="3:13">
      <c r="C569" s="76"/>
      <c r="D569" s="76"/>
      <c r="E569" s="76"/>
      <c r="F569" s="76"/>
      <c r="G569" s="76"/>
      <c r="H569" s="76"/>
      <c r="I569" s="76"/>
      <c r="J569" s="76"/>
      <c r="K569" s="76"/>
      <c r="L569" s="76"/>
      <c r="M569" s="76"/>
    </row>
  </sheetData>
  <phoneticPr fontId="0" type="noConversion"/>
  <printOptions horizontalCentered="1"/>
  <pageMargins left="0.75" right="0.75" top="0.75" bottom="0.5" header="0.25" footer="0.25"/>
  <pageSetup scale="44" orientation="portrait" r:id="rId1"/>
  <headerFooter alignWithMargins="0"/>
  <rowBreaks count="5" manualBreakCount="5">
    <brk id="43" max="11" man="1"/>
    <brk id="103" max="11" man="1"/>
    <brk id="173" max="11" man="1"/>
    <brk id="250" max="11" man="1"/>
    <brk id="310" max="11"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1:O340"/>
  <sheetViews>
    <sheetView zoomScale="75" zoomScaleNormal="75" zoomScaleSheetLayoutView="75" workbookViewId="0"/>
  </sheetViews>
  <sheetFormatPr defaultColWidth="8.77734375" defaultRowHeight="15"/>
  <cols>
    <col min="1" max="1" width="5.88671875" style="780" customWidth="1"/>
    <col min="2" max="2" width="1.44140625" style="12" customWidth="1"/>
    <col min="3" max="3" width="60.5546875" style="12" customWidth="1"/>
    <col min="4" max="4" width="23" style="12" customWidth="1"/>
    <col min="5" max="5" width="15.5546875" style="12" customWidth="1"/>
    <col min="6" max="6" width="5.77734375" style="12" customWidth="1"/>
    <col min="7" max="7" width="5.6640625" style="12" customWidth="1"/>
    <col min="8" max="8" width="13.21875" style="12" customWidth="1"/>
    <col min="9" max="9" width="5.77734375" style="12" customWidth="1"/>
    <col min="10" max="10" width="16.33203125" style="12" customWidth="1"/>
    <col min="11" max="11" width="3.44140625" style="12" customWidth="1"/>
    <col min="12" max="12" width="14" style="12" customWidth="1"/>
    <col min="13" max="13" width="1.88671875" style="12" customWidth="1"/>
    <col min="14" max="15" width="9.77734375" style="12" customWidth="1"/>
    <col min="16" max="16384" width="8.77734375" style="12"/>
  </cols>
  <sheetData>
    <row r="1" spans="1:13" ht="18">
      <c r="A1" s="781"/>
      <c r="C1" s="27"/>
      <c r="D1" s="27"/>
      <c r="E1" s="28"/>
      <c r="F1" s="27"/>
      <c r="G1" s="27"/>
      <c r="H1" s="27"/>
      <c r="I1" s="29"/>
      <c r="J1" s="74" t="s">
        <v>318</v>
      </c>
      <c r="K1" s="87"/>
      <c r="M1" s="87"/>
    </row>
    <row r="2" spans="1:13">
      <c r="C2" s="27"/>
      <c r="D2" s="27"/>
      <c r="E2" s="28"/>
      <c r="F2" s="27"/>
      <c r="G2" s="27"/>
      <c r="H2" s="27"/>
      <c r="I2" s="29"/>
      <c r="J2" s="74" t="s">
        <v>440</v>
      </c>
      <c r="M2" s="74"/>
    </row>
    <row r="3" spans="1:13">
      <c r="C3" s="27"/>
      <c r="D3" s="27"/>
      <c r="E3" s="28"/>
      <c r="F3" s="27"/>
      <c r="G3" s="27"/>
      <c r="H3" s="27"/>
      <c r="I3" s="29"/>
      <c r="K3" s="1"/>
      <c r="M3" s="74"/>
    </row>
    <row r="4" spans="1:13">
      <c r="C4" s="27"/>
      <c r="D4" s="27"/>
      <c r="E4" s="28"/>
      <c r="F4" s="27"/>
      <c r="G4" s="27"/>
      <c r="H4" s="27"/>
      <c r="I4" s="29"/>
      <c r="K4" s="1"/>
      <c r="M4" s="74"/>
    </row>
    <row r="5" spans="1:13">
      <c r="C5" s="27"/>
      <c r="D5" s="27"/>
      <c r="E5" s="28"/>
      <c r="F5" s="27"/>
      <c r="G5" s="27"/>
      <c r="H5" s="27"/>
      <c r="I5" s="29"/>
      <c r="K5" s="1"/>
      <c r="M5" s="74"/>
    </row>
    <row r="6" spans="1:13">
      <c r="C6" s="27"/>
      <c r="D6" s="27"/>
      <c r="E6" s="28"/>
      <c r="F6" s="27"/>
      <c r="G6" s="27"/>
      <c r="H6" s="27"/>
      <c r="I6" s="29"/>
      <c r="J6" s="1"/>
      <c r="K6" s="1"/>
      <c r="M6" s="1"/>
    </row>
    <row r="7" spans="1:13">
      <c r="C7" s="27" t="s">
        <v>7</v>
      </c>
      <c r="D7" s="27"/>
      <c r="E7" s="28"/>
      <c r="F7" s="27"/>
      <c r="G7" s="27"/>
      <c r="H7" s="27"/>
      <c r="I7" s="29"/>
      <c r="J7" s="275" t="str">
        <f>"For the 12 months ended: "&amp;TEXT(INPUT!$B$1,"mm/dd/yyyy")</f>
        <v>For the 12 months ended: 12/31/2017</v>
      </c>
      <c r="K7" s="1"/>
      <c r="M7" s="1"/>
    </row>
    <row r="8" spans="1:13">
      <c r="A8" s="790" t="str">
        <f>DEO!A8</f>
        <v>Rate Formula Template</v>
      </c>
      <c r="B8" s="260"/>
      <c r="C8" s="260"/>
      <c r="D8" s="258"/>
      <c r="E8" s="260"/>
      <c r="F8" s="258"/>
      <c r="G8" s="258"/>
      <c r="H8" s="258"/>
      <c r="I8" s="258"/>
      <c r="J8" s="260"/>
      <c r="K8" s="1"/>
      <c r="L8" s="260"/>
      <c r="M8" s="1"/>
    </row>
    <row r="9" spans="1:13">
      <c r="A9" s="783" t="s">
        <v>289</v>
      </c>
      <c r="B9" s="260"/>
      <c r="C9" s="258"/>
      <c r="D9" s="261"/>
      <c r="E9" s="260"/>
      <c r="F9" s="261"/>
      <c r="G9" s="261"/>
      <c r="H9" s="261"/>
      <c r="I9" s="258"/>
      <c r="J9" s="258"/>
      <c r="K9" s="1"/>
      <c r="L9" s="255"/>
      <c r="M9" s="1"/>
    </row>
    <row r="10" spans="1:13">
      <c r="A10" s="783"/>
      <c r="B10" s="260"/>
      <c r="C10" s="255"/>
      <c r="D10" s="255"/>
      <c r="E10" s="260"/>
      <c r="F10" s="255"/>
      <c r="G10" s="255"/>
      <c r="H10" s="255"/>
      <c r="I10" s="255"/>
      <c r="J10" s="255"/>
      <c r="K10" s="1"/>
      <c r="L10" s="255"/>
      <c r="M10" s="1"/>
    </row>
    <row r="11" spans="1:13" ht="15.75">
      <c r="A11" s="791" t="s">
        <v>848</v>
      </c>
      <c r="B11" s="410"/>
      <c r="C11" s="411"/>
      <c r="D11" s="411"/>
      <c r="E11" s="410"/>
      <c r="F11" s="411"/>
      <c r="G11" s="411"/>
      <c r="H11" s="411"/>
      <c r="I11" s="411"/>
      <c r="J11" s="411"/>
      <c r="K11" s="1"/>
      <c r="L11" s="255"/>
      <c r="M11" s="1"/>
    </row>
    <row r="12" spans="1:13">
      <c r="A12" s="778"/>
      <c r="C12" s="4" t="s">
        <v>19</v>
      </c>
      <c r="D12" s="4" t="s">
        <v>20</v>
      </c>
      <c r="E12" s="4" t="s">
        <v>21</v>
      </c>
      <c r="F12" s="602" t="s">
        <v>8</v>
      </c>
      <c r="G12" s="602"/>
      <c r="H12" s="7" t="s">
        <v>22</v>
      </c>
      <c r="I12" s="602"/>
      <c r="J12" s="8" t="s">
        <v>23</v>
      </c>
      <c r="K12" s="1"/>
      <c r="L12" s="1"/>
      <c r="M12" s="1"/>
    </row>
    <row r="13" spans="1:13">
      <c r="A13" s="778" t="s">
        <v>9</v>
      </c>
      <c r="C13" s="1"/>
      <c r="D13" s="1"/>
      <c r="E13" s="20"/>
      <c r="F13" s="1"/>
      <c r="G13" s="1"/>
      <c r="H13" s="1"/>
      <c r="I13" s="1"/>
      <c r="J13" s="30" t="s">
        <v>10</v>
      </c>
      <c r="K13" s="1"/>
      <c r="L13" s="1"/>
      <c r="M13" s="1"/>
    </row>
    <row r="14" spans="1:13">
      <c r="A14" s="787" t="s">
        <v>11</v>
      </c>
      <c r="B14" s="220"/>
      <c r="C14" s="269"/>
      <c r="D14" s="269"/>
      <c r="E14" s="269"/>
      <c r="F14" s="269"/>
      <c r="G14" s="269"/>
      <c r="H14" s="269"/>
      <c r="I14" s="269"/>
      <c r="J14" s="270" t="s">
        <v>12</v>
      </c>
      <c r="K14" s="1"/>
      <c r="L14" s="1"/>
      <c r="M14" s="1"/>
    </row>
    <row r="15" spans="1:13">
      <c r="A15" s="778">
        <v>1</v>
      </c>
      <c r="C15" s="622" t="str">
        <f>DEO!C15</f>
        <v>GROSS REVENUE REQUIREMENT</v>
      </c>
      <c r="D15" s="760" t="str">
        <f>DEO!D15</f>
        <v>(page 3, line 29)</v>
      </c>
      <c r="E15" s="2"/>
      <c r="F15" s="1"/>
      <c r="G15" s="1"/>
      <c r="H15" s="1"/>
      <c r="I15" s="1"/>
      <c r="J15" s="34">
        <f>J170</f>
        <v>4929533</v>
      </c>
      <c r="K15" s="1"/>
      <c r="L15" s="1"/>
      <c r="M15" s="1"/>
    </row>
    <row r="16" spans="1:13">
      <c r="A16" s="778"/>
      <c r="C16" s="622"/>
      <c r="D16" s="954"/>
      <c r="E16" s="1"/>
      <c r="F16" s="1"/>
      <c r="G16" s="1"/>
      <c r="H16" s="1"/>
      <c r="I16" s="1"/>
      <c r="J16" s="34"/>
      <c r="K16" s="1"/>
      <c r="L16" s="1"/>
      <c r="M16" s="1"/>
    </row>
    <row r="17" spans="1:13">
      <c r="A17" s="778"/>
      <c r="C17" s="622"/>
      <c r="D17" s="954"/>
      <c r="E17" s="1"/>
      <c r="F17" s="1"/>
      <c r="G17" s="1"/>
      <c r="H17" s="1"/>
      <c r="I17" s="1"/>
      <c r="J17" s="34"/>
      <c r="K17" s="1"/>
      <c r="L17" s="1"/>
      <c r="M17" s="1"/>
    </row>
    <row r="18" spans="1:13" ht="15.75" thickBot="1">
      <c r="A18" s="778" t="s">
        <v>8</v>
      </c>
      <c r="C18" s="622" t="str">
        <f>DEO!C18</f>
        <v>REVENUE CREDITS    (Note T)</v>
      </c>
      <c r="D18" s="955"/>
      <c r="E18" s="38" t="s">
        <v>13</v>
      </c>
      <c r="F18" s="5"/>
      <c r="G18" s="46" t="s">
        <v>14</v>
      </c>
      <c r="H18" s="46"/>
      <c r="I18" s="1"/>
      <c r="J18" s="34"/>
      <c r="K18" s="1"/>
      <c r="L18" s="1"/>
      <c r="M18" s="1"/>
    </row>
    <row r="19" spans="1:13">
      <c r="A19" s="778">
        <v>2</v>
      </c>
      <c r="C19" s="622" t="str">
        <f>DEO!C19</f>
        <v>Account No. 454</v>
      </c>
      <c r="D19" s="760" t="str">
        <f>DEO!D19</f>
        <v>(page 4, line 34)</v>
      </c>
      <c r="E19" s="338">
        <f>J246</f>
        <v>14630</v>
      </c>
      <c r="F19" s="338"/>
      <c r="G19" s="338" t="s">
        <v>15</v>
      </c>
      <c r="H19" s="19">
        <f>J$194</f>
        <v>0.71528999999999998</v>
      </c>
      <c r="I19" s="338"/>
      <c r="J19" s="671">
        <f>ROUND(H19*E19,0)</f>
        <v>10465</v>
      </c>
      <c r="K19" s="1"/>
      <c r="L19" s="1"/>
      <c r="M19" s="1"/>
    </row>
    <row r="20" spans="1:13">
      <c r="A20" s="778">
        <v>3</v>
      </c>
      <c r="C20" s="622" t="str">
        <f>DEO!C20</f>
        <v>Account No. 456.1</v>
      </c>
      <c r="D20" s="760" t="str">
        <f>DEO!D20</f>
        <v>(page 4, line 35)</v>
      </c>
      <c r="E20" s="210">
        <f>J248</f>
        <v>27598</v>
      </c>
      <c r="F20" s="338"/>
      <c r="G20" s="338" t="str">
        <f>G$19</f>
        <v>TP</v>
      </c>
      <c r="H20" s="19">
        <f>J$194</f>
        <v>0.71528999999999998</v>
      </c>
      <c r="I20" s="338"/>
      <c r="J20" s="210">
        <f>ROUND(H20*E20,0)</f>
        <v>19741</v>
      </c>
      <c r="K20" s="1"/>
      <c r="L20" s="1"/>
      <c r="M20" s="1"/>
    </row>
    <row r="21" spans="1:13">
      <c r="A21" s="778" t="s">
        <v>311</v>
      </c>
      <c r="C21" s="622" t="str">
        <f>DEO!C21</f>
        <v>Revenues from Grandfathered Interzonal Transactions</v>
      </c>
      <c r="D21" s="760"/>
      <c r="E21" s="340">
        <v>0</v>
      </c>
      <c r="F21" s="338"/>
      <c r="G21" s="338" t="str">
        <f>G$19</f>
        <v>TP</v>
      </c>
      <c r="H21" s="19">
        <f>J$194</f>
        <v>0.71528999999999998</v>
      </c>
      <c r="I21" s="338"/>
      <c r="J21" s="210">
        <f t="shared" ref="J21:J23" si="0">ROUND(H21*E21,0)</f>
        <v>0</v>
      </c>
      <c r="K21" s="1"/>
      <c r="L21" s="1"/>
      <c r="M21" s="1"/>
    </row>
    <row r="22" spans="1:13">
      <c r="A22" s="778" t="s">
        <v>312</v>
      </c>
      <c r="C22" s="622" t="str">
        <f>DEO!C22</f>
        <v>Revenues from service provided by ISO at a discount</v>
      </c>
      <c r="D22" s="760"/>
      <c r="E22" s="340">
        <v>0</v>
      </c>
      <c r="F22" s="338"/>
      <c r="G22" s="338" t="str">
        <f>G$19</f>
        <v>TP</v>
      </c>
      <c r="H22" s="19">
        <f>J$194</f>
        <v>0.71528999999999998</v>
      </c>
      <c r="I22" s="338"/>
      <c r="J22" s="210">
        <f t="shared" si="0"/>
        <v>0</v>
      </c>
      <c r="K22" s="1"/>
      <c r="L22" s="1"/>
      <c r="M22" s="1"/>
    </row>
    <row r="23" spans="1:13">
      <c r="A23" s="778">
        <v>5</v>
      </c>
      <c r="C23" s="622" t="str">
        <f>DEO!C23</f>
        <v>Legacy MTEP Credit (Account 456.1)</v>
      </c>
      <c r="D23" s="760" t="str">
        <f>DEO!D23</f>
        <v>(page 4, line 36)</v>
      </c>
      <c r="E23" s="702">
        <v>0</v>
      </c>
      <c r="F23" s="338"/>
      <c r="G23" s="338"/>
      <c r="H23" s="423">
        <v>1</v>
      </c>
      <c r="I23" s="338"/>
      <c r="J23" s="210">
        <f t="shared" si="0"/>
        <v>0</v>
      </c>
      <c r="K23" s="1"/>
      <c r="L23" s="1"/>
      <c r="M23" s="1"/>
    </row>
    <row r="24" spans="1:13" s="670" customFormat="1">
      <c r="A24" s="778"/>
      <c r="C24" s="622"/>
      <c r="D24" s="760"/>
      <c r="E24" s="210"/>
      <c r="F24" s="671"/>
      <c r="G24" s="671"/>
      <c r="H24" s="423"/>
      <c r="I24" s="671"/>
      <c r="J24" s="481"/>
      <c r="K24" s="622"/>
      <c r="L24" s="622"/>
      <c r="M24" s="622"/>
    </row>
    <row r="25" spans="1:13" s="670" customFormat="1">
      <c r="A25" s="778"/>
      <c r="C25" s="622"/>
      <c r="D25" s="760"/>
      <c r="E25" s="210"/>
      <c r="F25" s="671"/>
      <c r="G25" s="671"/>
      <c r="H25" s="423"/>
      <c r="I25" s="671"/>
      <c r="J25" s="481"/>
      <c r="K25" s="622"/>
      <c r="L25" s="622"/>
      <c r="M25" s="622"/>
    </row>
    <row r="26" spans="1:13" s="670" customFormat="1">
      <c r="A26" s="778"/>
      <c r="C26" s="622"/>
      <c r="D26" s="760"/>
      <c r="E26" s="210"/>
      <c r="F26" s="671"/>
      <c r="G26" s="671"/>
      <c r="H26" s="423"/>
      <c r="I26" s="671"/>
      <c r="J26" s="481"/>
      <c r="K26" s="622"/>
      <c r="L26" s="622"/>
      <c r="M26" s="622"/>
    </row>
    <row r="27" spans="1:13">
      <c r="A27" s="778">
        <v>6</v>
      </c>
      <c r="C27" s="622" t="str">
        <f>DEO!C27</f>
        <v>TOTAL REVENUE CREDITS  (sum lines 2-5)</v>
      </c>
      <c r="D27" s="954"/>
      <c r="E27" s="17" t="s">
        <v>8</v>
      </c>
      <c r="F27" s="5"/>
      <c r="G27" s="5"/>
      <c r="H27" s="19"/>
      <c r="I27" s="5"/>
      <c r="J27" s="758">
        <f>SUM(J19:J23)</f>
        <v>30206</v>
      </c>
      <c r="K27" s="1"/>
      <c r="L27" s="1"/>
      <c r="M27" s="1"/>
    </row>
    <row r="28" spans="1:13">
      <c r="A28" s="778"/>
      <c r="C28" s="670"/>
      <c r="D28" s="954"/>
      <c r="E28" s="5" t="s">
        <v>8</v>
      </c>
      <c r="F28" s="1"/>
      <c r="G28" s="1"/>
      <c r="H28" s="19"/>
      <c r="I28" s="1"/>
      <c r="J28" s="671"/>
      <c r="K28" s="1"/>
      <c r="L28" s="1"/>
      <c r="M28" s="1"/>
    </row>
    <row r="29" spans="1:13">
      <c r="A29" s="778"/>
      <c r="C29" s="585"/>
      <c r="D29" s="954"/>
      <c r="J29" s="671"/>
      <c r="K29" s="1"/>
      <c r="L29" s="1"/>
      <c r="M29" s="1"/>
    </row>
    <row r="30" spans="1:13" ht="15.75" thickBot="1">
      <c r="A30" s="778">
        <v>7</v>
      </c>
      <c r="C30" s="622" t="str">
        <f>DEO!C30</f>
        <v>NET REVENUE REQUIREMENT</v>
      </c>
      <c r="D30" s="760" t="str">
        <f>DEO!D30</f>
        <v>(line 1 minus line 6)</v>
      </c>
      <c r="E30" s="17" t="s">
        <v>8</v>
      </c>
      <c r="F30" s="5"/>
      <c r="G30" s="5"/>
      <c r="H30" s="5"/>
      <c r="I30" s="5"/>
      <c r="J30" s="47">
        <f>J15-J27</f>
        <v>4899327</v>
      </c>
      <c r="K30" s="1"/>
      <c r="L30" s="1"/>
      <c r="M30" s="1"/>
    </row>
    <row r="31" spans="1:13" ht="15.75" thickTop="1">
      <c r="A31" s="778"/>
      <c r="C31" s="670"/>
      <c r="D31" s="954"/>
      <c r="E31" s="17"/>
      <c r="F31" s="5"/>
      <c r="G31" s="5"/>
      <c r="H31" s="5"/>
      <c r="I31" s="5"/>
      <c r="K31" s="1"/>
      <c r="L31" s="1"/>
      <c r="M31" s="1"/>
    </row>
    <row r="32" spans="1:13">
      <c r="A32" s="778"/>
      <c r="C32" s="670"/>
      <c r="D32" s="760"/>
      <c r="J32" s="5"/>
      <c r="K32" s="1"/>
      <c r="L32" s="1"/>
      <c r="M32" s="1"/>
    </row>
    <row r="33" spans="1:13">
      <c r="A33" s="778"/>
      <c r="C33" s="760" t="str">
        <f>DEO!C33</f>
        <v>DIVISOR</v>
      </c>
      <c r="D33" s="954"/>
      <c r="E33" s="2"/>
      <c r="F33" s="1"/>
      <c r="G33" s="1"/>
      <c r="H33" s="1"/>
      <c r="I33" s="1"/>
      <c r="J33" s="2"/>
      <c r="K33" s="1"/>
      <c r="L33" s="1"/>
      <c r="M33" s="1"/>
    </row>
    <row r="34" spans="1:13">
      <c r="A34" s="778">
        <v>8</v>
      </c>
      <c r="C34" s="622" t="str">
        <f>DEO!C34</f>
        <v>1 CP   (Note A)</v>
      </c>
      <c r="D34" s="955"/>
      <c r="E34" s="2"/>
      <c r="F34" s="1"/>
      <c r="G34" s="1"/>
      <c r="H34" s="57"/>
      <c r="I34" s="1"/>
      <c r="J34" s="216">
        <f>MAX(PeakKW_DEK)</f>
        <v>805000</v>
      </c>
      <c r="K34" s="1"/>
      <c r="L34" s="1"/>
      <c r="M34" s="1"/>
    </row>
    <row r="35" spans="1:13">
      <c r="A35" s="778">
        <v>9</v>
      </c>
      <c r="C35" s="622" t="str">
        <f>DEO!C35</f>
        <v>12 CP  (Note B)</v>
      </c>
      <c r="D35" s="955"/>
      <c r="E35" s="35"/>
      <c r="F35" s="35"/>
      <c r="G35" s="35"/>
      <c r="H35" s="35"/>
      <c r="I35" s="5"/>
      <c r="J35" s="216">
        <f>'P10 Partner KW'!O16</f>
        <v>683917</v>
      </c>
      <c r="K35" s="1"/>
      <c r="L35" s="1"/>
      <c r="M35" s="1"/>
    </row>
    <row r="36" spans="1:13">
      <c r="A36" s="778"/>
      <c r="C36" s="585"/>
      <c r="D36" s="954"/>
      <c r="E36" s="1"/>
      <c r="F36" s="1"/>
      <c r="G36" s="1"/>
      <c r="H36" s="1"/>
      <c r="I36" s="1"/>
      <c r="J36" s="217"/>
      <c r="K36" s="1"/>
      <c r="L36" s="1"/>
      <c r="M36" s="1"/>
    </row>
    <row r="37" spans="1:13">
      <c r="A37" s="778">
        <v>10</v>
      </c>
      <c r="C37" s="622" t="str">
        <f>DEO!C37</f>
        <v>Reserved</v>
      </c>
      <c r="D37" s="954"/>
      <c r="E37" s="34"/>
      <c r="F37" s="34"/>
      <c r="G37" s="34"/>
      <c r="H37" s="34"/>
      <c r="I37" s="34"/>
      <c r="J37" s="34"/>
      <c r="K37" s="1"/>
      <c r="L37" s="1"/>
      <c r="M37" s="1"/>
    </row>
    <row r="38" spans="1:13">
      <c r="A38" s="778">
        <v>11</v>
      </c>
      <c r="C38" s="622" t="str">
        <f>DEO!C38</f>
        <v>Reserved</v>
      </c>
      <c r="D38" s="954"/>
      <c r="E38" s="34"/>
      <c r="F38" s="34"/>
      <c r="G38" s="34"/>
      <c r="H38" s="34"/>
      <c r="I38" s="34"/>
      <c r="J38" s="34"/>
      <c r="K38" s="1"/>
      <c r="L38" s="1"/>
      <c r="M38" s="1"/>
    </row>
    <row r="39" spans="1:13">
      <c r="A39" s="778">
        <v>12</v>
      </c>
      <c r="C39" s="622" t="str">
        <f>DEO!C39</f>
        <v>Reserved</v>
      </c>
      <c r="D39" s="954"/>
      <c r="E39" s="34"/>
      <c r="F39" s="34"/>
      <c r="G39" s="34"/>
      <c r="H39" s="34"/>
      <c r="I39" s="34"/>
      <c r="J39" s="34"/>
      <c r="K39" s="1"/>
      <c r="L39" s="1"/>
      <c r="M39" s="1"/>
    </row>
    <row r="40" spans="1:13">
      <c r="A40" s="778">
        <v>13</v>
      </c>
      <c r="C40" s="622" t="str">
        <f>DEO!C40</f>
        <v>Reserved</v>
      </c>
      <c r="D40" s="954"/>
      <c r="E40" s="34"/>
      <c r="F40" s="34"/>
      <c r="G40" s="34"/>
      <c r="H40" s="34"/>
      <c r="I40" s="34"/>
      <c r="J40" s="34"/>
      <c r="K40" s="1"/>
      <c r="L40" s="1"/>
      <c r="M40" s="1"/>
    </row>
    <row r="41" spans="1:13">
      <c r="A41" s="778">
        <v>14</v>
      </c>
      <c r="C41" s="622" t="str">
        <f>DEO!C41</f>
        <v>Reserved</v>
      </c>
      <c r="D41" s="954"/>
      <c r="E41" s="34"/>
      <c r="F41" s="34"/>
      <c r="G41" s="34"/>
      <c r="H41" s="34"/>
      <c r="I41" s="34"/>
      <c r="J41" s="34"/>
      <c r="K41" s="1"/>
      <c r="L41" s="1"/>
      <c r="M41" s="1"/>
    </row>
    <row r="42" spans="1:13">
      <c r="A42" s="778"/>
      <c r="C42" s="585"/>
      <c r="D42" s="954"/>
      <c r="E42" s="34"/>
      <c r="F42" s="34"/>
      <c r="G42" s="34"/>
      <c r="H42" s="34"/>
      <c r="I42" s="34"/>
      <c r="J42" s="34"/>
      <c r="K42" s="1"/>
      <c r="L42" s="1"/>
      <c r="M42" s="1"/>
    </row>
    <row r="43" spans="1:13">
      <c r="C43" s="27"/>
      <c r="D43" s="27"/>
      <c r="E43" s="28"/>
      <c r="F43" s="27"/>
      <c r="G43" s="27"/>
      <c r="H43" s="27"/>
      <c r="I43" s="29"/>
      <c r="K43" s="30"/>
      <c r="L43" s="88"/>
      <c r="M43" s="30"/>
    </row>
    <row r="44" spans="1:13" ht="18">
      <c r="A44" s="781"/>
      <c r="B44" s="64"/>
      <c r="C44" s="27"/>
      <c r="D44" s="27"/>
      <c r="E44" s="28"/>
      <c r="F44" s="27"/>
      <c r="G44" s="27"/>
      <c r="H44" s="27"/>
      <c r="I44" s="29"/>
      <c r="J44" s="74" t="s">
        <v>318</v>
      </c>
      <c r="K44" s="87"/>
      <c r="M44" s="87"/>
    </row>
    <row r="45" spans="1:13">
      <c r="C45" s="27"/>
      <c r="D45" s="27"/>
      <c r="E45" s="28"/>
      <c r="F45" s="27"/>
      <c r="G45" s="27"/>
      <c r="H45" s="27"/>
      <c r="I45" s="29"/>
      <c r="J45" s="74" t="s">
        <v>441</v>
      </c>
      <c r="M45" s="74"/>
    </row>
    <row r="46" spans="1:13">
      <c r="C46" s="27"/>
      <c r="D46" s="27"/>
      <c r="E46" s="28"/>
      <c r="F46" s="27"/>
      <c r="G46" s="27"/>
      <c r="H46" s="27"/>
      <c r="I46" s="29"/>
      <c r="K46" s="1"/>
      <c r="M46" s="74"/>
    </row>
    <row r="47" spans="1:13">
      <c r="C47" s="27"/>
      <c r="D47" s="27"/>
      <c r="E47" s="28"/>
      <c r="F47" s="27"/>
      <c r="G47" s="27"/>
      <c r="H47" s="27"/>
      <c r="I47" s="29"/>
      <c r="K47" s="1"/>
      <c r="M47" s="74"/>
    </row>
    <row r="48" spans="1:13">
      <c r="C48" s="27"/>
      <c r="D48" s="27"/>
      <c r="E48" s="28"/>
      <c r="F48" s="27"/>
      <c r="G48" s="27"/>
      <c r="H48" s="27"/>
      <c r="I48" s="29"/>
      <c r="K48" s="1"/>
      <c r="M48" s="74"/>
    </row>
    <row r="49" spans="1:13">
      <c r="C49" s="27"/>
      <c r="D49" s="27"/>
      <c r="E49" s="28"/>
      <c r="F49" s="27"/>
      <c r="G49" s="27"/>
      <c r="H49" s="27"/>
      <c r="I49" s="29"/>
      <c r="J49" s="74"/>
      <c r="K49" s="1"/>
      <c r="M49" s="74"/>
    </row>
    <row r="50" spans="1:13">
      <c r="C50" s="27" t="s">
        <v>7</v>
      </c>
      <c r="D50" s="27"/>
      <c r="E50" s="28"/>
      <c r="F50" s="27"/>
      <c r="G50" s="27"/>
      <c r="H50" s="27"/>
      <c r="I50" s="29"/>
      <c r="J50" s="88" t="str">
        <f>J7</f>
        <v>For the 12 months ended: 12/31/2017</v>
      </c>
      <c r="K50" s="5"/>
      <c r="M50" s="74"/>
    </row>
    <row r="51" spans="1:13">
      <c r="A51" s="782" t="str">
        <f>A8</f>
        <v>Rate Formula Template</v>
      </c>
      <c r="B51" s="260"/>
      <c r="C51" s="260"/>
      <c r="D51" s="258"/>
      <c r="E51" s="260"/>
      <c r="F51" s="258"/>
      <c r="G51" s="258"/>
      <c r="H51" s="258"/>
      <c r="I51" s="258"/>
      <c r="J51" s="260"/>
      <c r="K51" s="5"/>
      <c r="L51" s="260"/>
      <c r="M51" s="1"/>
    </row>
    <row r="52" spans="1:13">
      <c r="A52" s="783" t="s">
        <v>289</v>
      </c>
      <c r="B52" s="260"/>
      <c r="C52" s="258"/>
      <c r="D52" s="261"/>
      <c r="E52" s="260"/>
      <c r="F52" s="261"/>
      <c r="G52" s="261"/>
      <c r="H52" s="261"/>
      <c r="I52" s="258"/>
      <c r="J52" s="258"/>
      <c r="K52" s="5"/>
      <c r="L52" s="255"/>
      <c r="M52" s="1"/>
    </row>
    <row r="53" spans="1:13">
      <c r="A53" s="783"/>
      <c r="B53" s="260"/>
      <c r="C53" s="255"/>
      <c r="D53" s="255"/>
      <c r="E53" s="260"/>
      <c r="F53" s="255"/>
      <c r="G53" s="255"/>
      <c r="H53" s="255"/>
      <c r="I53" s="255"/>
      <c r="J53" s="255"/>
      <c r="K53" s="5"/>
      <c r="L53" s="255"/>
      <c r="M53" s="1"/>
    </row>
    <row r="54" spans="1:13" ht="15.75">
      <c r="A54" s="967" t="str">
        <f>$A$11</f>
        <v>DUKE ENERGY KENTUCKY (DEK)</v>
      </c>
      <c r="B54" s="260"/>
      <c r="C54" s="255"/>
      <c r="D54" s="255"/>
      <c r="E54" s="260"/>
      <c r="F54" s="255"/>
      <c r="G54" s="255"/>
      <c r="H54" s="255"/>
      <c r="I54" s="255"/>
      <c r="J54" s="255"/>
      <c r="K54" s="5"/>
      <c r="L54" s="255"/>
      <c r="M54" s="5"/>
    </row>
    <row r="55" spans="1:13">
      <c r="B55" s="260"/>
      <c r="C55" s="255"/>
      <c r="D55" s="255"/>
      <c r="E55" s="260"/>
      <c r="F55" s="255"/>
      <c r="G55" s="255"/>
      <c r="H55" s="255"/>
      <c r="I55" s="255"/>
      <c r="J55" s="255"/>
      <c r="K55" s="5"/>
      <c r="L55" s="255"/>
      <c r="M55" s="5"/>
    </row>
    <row r="56" spans="1:13">
      <c r="C56" s="4" t="s">
        <v>19</v>
      </c>
      <c r="D56" s="4" t="s">
        <v>20</v>
      </c>
      <c r="E56" s="4" t="s">
        <v>21</v>
      </c>
      <c r="F56" s="5" t="s">
        <v>8</v>
      </c>
      <c r="G56" s="5"/>
      <c r="H56" s="7" t="s">
        <v>22</v>
      </c>
      <c r="I56" s="5"/>
      <c r="J56" s="8" t="s">
        <v>23</v>
      </c>
      <c r="K56" s="5"/>
      <c r="L56" s="4"/>
      <c r="M56" s="5"/>
    </row>
    <row r="57" spans="1:13">
      <c r="A57" s="778" t="s">
        <v>9</v>
      </c>
      <c r="B57" s="670"/>
      <c r="C57" s="585"/>
      <c r="D57" s="6" t="s">
        <v>24</v>
      </c>
      <c r="E57" s="602"/>
      <c r="F57" s="602"/>
      <c r="G57" s="602"/>
      <c r="H57" s="596"/>
      <c r="I57" s="602"/>
      <c r="J57" s="596" t="s">
        <v>25</v>
      </c>
      <c r="K57" s="5"/>
      <c r="L57" s="4"/>
      <c r="M57" s="5"/>
    </row>
    <row r="58" spans="1:13" ht="15.75" thickBot="1">
      <c r="A58" s="787" t="s">
        <v>11</v>
      </c>
      <c r="B58" s="670"/>
      <c r="C58" s="274" t="s">
        <v>293</v>
      </c>
      <c r="D58" s="968" t="s">
        <v>26</v>
      </c>
      <c r="E58" s="38" t="s">
        <v>27</v>
      </c>
      <c r="F58" s="372"/>
      <c r="G58" s="46" t="s">
        <v>14</v>
      </c>
      <c r="H58" s="46"/>
      <c r="I58" s="372"/>
      <c r="J58" s="969" t="s">
        <v>365</v>
      </c>
      <c r="K58" s="5"/>
      <c r="L58" s="4"/>
      <c r="M58" s="1"/>
    </row>
    <row r="59" spans="1:13">
      <c r="D59" s="5"/>
      <c r="E59" s="5"/>
      <c r="F59" s="5"/>
      <c r="G59" s="5"/>
      <c r="H59" s="5"/>
      <c r="I59" s="5"/>
      <c r="J59" s="5"/>
      <c r="K59" s="5"/>
      <c r="L59" s="5"/>
      <c r="M59" s="1"/>
    </row>
    <row r="60" spans="1:13">
      <c r="A60" s="778"/>
      <c r="C60" s="3"/>
      <c r="D60" s="5"/>
      <c r="E60" s="5"/>
      <c r="F60" s="5"/>
      <c r="G60" s="5"/>
      <c r="H60" s="5"/>
      <c r="I60" s="5"/>
      <c r="J60" s="5"/>
      <c r="K60" s="5"/>
      <c r="L60" s="5"/>
      <c r="M60" s="1"/>
    </row>
    <row r="61" spans="1:13">
      <c r="A61" s="778"/>
      <c r="C61" s="622" t="str">
        <f>DEO!C61</f>
        <v>GROSS PLANT IN SERVICE</v>
      </c>
      <c r="D61" s="5"/>
      <c r="E61" s="5"/>
      <c r="F61" s="5"/>
      <c r="G61" s="5"/>
      <c r="H61" s="5"/>
      <c r="I61" s="5"/>
      <c r="J61" s="5"/>
      <c r="K61" s="5"/>
      <c r="L61" s="5"/>
      <c r="M61" s="1"/>
    </row>
    <row r="62" spans="1:13">
      <c r="A62" s="778">
        <v>1</v>
      </c>
      <c r="C62" s="622" t="str">
        <f>DEO!C62</f>
        <v xml:space="preserve">  Production</v>
      </c>
      <c r="D62" s="954" t="str">
        <f>DEO!D62</f>
        <v>205.46.g</v>
      </c>
      <c r="E62" s="414">
        <f>INPUT!D9</f>
        <v>1105745504</v>
      </c>
      <c r="F62" s="5"/>
      <c r="G62" s="5" t="s">
        <v>31</v>
      </c>
      <c r="H62" s="14" t="s">
        <v>8</v>
      </c>
      <c r="I62" s="5"/>
      <c r="J62" s="212"/>
      <c r="K62" s="5"/>
      <c r="L62" s="5"/>
      <c r="M62" s="1"/>
    </row>
    <row r="63" spans="1:13">
      <c r="A63" s="778">
        <v>2</v>
      </c>
      <c r="C63" s="622" t="str">
        <f>DEO!C63</f>
        <v xml:space="preserve">  Transmission</v>
      </c>
      <c r="D63" s="954" t="str">
        <f>DEO!D63</f>
        <v>207.58.g</v>
      </c>
      <c r="E63" s="340">
        <f>INPUT!D10</f>
        <v>57966223</v>
      </c>
      <c r="F63" s="5"/>
      <c r="G63" s="5" t="s">
        <v>15</v>
      </c>
      <c r="H63" s="14">
        <f>J194</f>
        <v>0.71528999999999998</v>
      </c>
      <c r="I63" s="5"/>
      <c r="J63" s="80">
        <f>ROUND(H63*E63,0)</f>
        <v>41462660</v>
      </c>
      <c r="K63" s="5"/>
      <c r="L63" s="5"/>
      <c r="M63" s="1"/>
    </row>
    <row r="64" spans="1:13">
      <c r="A64" s="778">
        <v>3</v>
      </c>
      <c r="C64" s="622" t="str">
        <f>DEO!C64</f>
        <v xml:space="preserve">  Distribution</v>
      </c>
      <c r="D64" s="954" t="str">
        <f>DEO!D64</f>
        <v>207.75.g</v>
      </c>
      <c r="E64" s="340">
        <f>INPUT!D11</f>
        <v>453684330</v>
      </c>
      <c r="F64" s="5"/>
      <c r="G64" s="5" t="s">
        <v>31</v>
      </c>
      <c r="H64" s="14" t="s">
        <v>8</v>
      </c>
      <c r="I64" s="5"/>
      <c r="J64" s="212"/>
      <c r="K64" s="5"/>
      <c r="L64" s="5"/>
      <c r="M64" s="1"/>
    </row>
    <row r="65" spans="1:13">
      <c r="A65" s="778">
        <v>4</v>
      </c>
      <c r="C65" s="622" t="str">
        <f>DEO!C65</f>
        <v xml:space="preserve">  General &amp; Intangible</v>
      </c>
      <c r="D65" s="954" t="str">
        <f>DEO!D65</f>
        <v>205.5.g &amp; 207.99.g</v>
      </c>
      <c r="E65" s="340">
        <f>INPUT!D12</f>
        <v>26195215</v>
      </c>
      <c r="F65" s="5"/>
      <c r="G65" s="602" t="s">
        <v>152</v>
      </c>
      <c r="H65" s="14">
        <f>DEKWagesAllocator</f>
        <v>3.2980000000000002E-2</v>
      </c>
      <c r="I65" s="5"/>
      <c r="J65" s="212">
        <f>ROUND(H65*E65,0)</f>
        <v>863918</v>
      </c>
      <c r="K65" s="5"/>
      <c r="L65" s="5"/>
      <c r="M65" s="5"/>
    </row>
    <row r="66" spans="1:13" ht="15.75" thickBot="1">
      <c r="A66" s="778">
        <v>5</v>
      </c>
      <c r="C66" s="622" t="str">
        <f>DEO!C66</f>
        <v xml:space="preserve">  Common</v>
      </c>
      <c r="D66" s="954" t="str">
        <f>DEO!D66</f>
        <v>356</v>
      </c>
      <c r="E66" s="412">
        <f>INPUT!D13</f>
        <v>31714262</v>
      </c>
      <c r="F66" s="5"/>
      <c r="G66" s="5" t="s">
        <v>80</v>
      </c>
      <c r="H66" s="14">
        <f>L217</f>
        <v>2.6620000000000001E-2</v>
      </c>
      <c r="I66" s="5"/>
      <c r="J66" s="213">
        <f>ROUND(H66*E66,0)</f>
        <v>844234</v>
      </c>
      <c r="K66" s="5"/>
      <c r="L66" s="5"/>
      <c r="M66" s="5"/>
    </row>
    <row r="67" spans="1:13">
      <c r="A67" s="778">
        <v>6</v>
      </c>
      <c r="C67" s="622" t="str">
        <f>DEO!C67</f>
        <v>TOTAL GROSS PLANT (sum lines 1-5)</v>
      </c>
      <c r="D67" s="760"/>
      <c r="E67" s="481">
        <f>SUM(E62:E66)</f>
        <v>1675305534</v>
      </c>
      <c r="F67" s="5"/>
      <c r="G67" s="5" t="s">
        <v>37</v>
      </c>
      <c r="H67" s="14">
        <f>IF(J67&gt;0,ROUND(J67/E67,5),0)</f>
        <v>2.5770000000000001E-2</v>
      </c>
      <c r="I67" s="5"/>
      <c r="J67" s="80">
        <f>SUM(J62:J66)</f>
        <v>43170812</v>
      </c>
      <c r="K67" s="5"/>
      <c r="L67" s="18"/>
      <c r="M67" s="1"/>
    </row>
    <row r="68" spans="1:13">
      <c r="C68" s="585"/>
      <c r="D68" s="760"/>
      <c r="E68" s="210"/>
      <c r="F68" s="5"/>
      <c r="G68" s="5"/>
      <c r="H68" s="18"/>
      <c r="I68" s="5"/>
      <c r="J68" s="212"/>
      <c r="K68" s="5"/>
      <c r="L68" s="18"/>
      <c r="M68" s="1"/>
    </row>
    <row r="69" spans="1:13">
      <c r="C69" s="622" t="str">
        <f>DEO!C69</f>
        <v>ACCUMULATED DEPRECIATION AND AMORTIZATION</v>
      </c>
      <c r="D69" s="760"/>
      <c r="E69" s="210"/>
      <c r="F69" s="5"/>
      <c r="G69" s="5"/>
      <c r="H69" s="5"/>
      <c r="I69" s="5"/>
      <c r="J69" s="212"/>
      <c r="K69" s="5"/>
      <c r="L69" s="5"/>
      <c r="M69" s="1"/>
    </row>
    <row r="70" spans="1:13">
      <c r="A70" s="778">
        <v>7</v>
      </c>
      <c r="C70" s="622" t="str">
        <f>DEO!C70</f>
        <v xml:space="preserve">  Production</v>
      </c>
      <c r="D70" s="954" t="str">
        <f>DEO!D70</f>
        <v>219.20.c-219.24.c</v>
      </c>
      <c r="E70" s="414">
        <f>INPUT!D17</f>
        <v>639183760</v>
      </c>
      <c r="F70" s="5"/>
      <c r="G70" s="5" t="str">
        <f t="shared" ref="G70:H74" si="1">G62</f>
        <v>NA</v>
      </c>
      <c r="H70" s="14" t="str">
        <f t="shared" si="1"/>
        <v xml:space="preserve"> </v>
      </c>
      <c r="I70" s="5"/>
      <c r="J70" s="212"/>
      <c r="K70" s="5"/>
      <c r="L70" s="5"/>
      <c r="M70" s="1"/>
    </row>
    <row r="71" spans="1:13">
      <c r="A71" s="778">
        <v>8</v>
      </c>
      <c r="C71" s="622" t="str">
        <f>DEO!C71</f>
        <v xml:space="preserve">  Transmission</v>
      </c>
      <c r="D71" s="954" t="str">
        <f>DEO!D71</f>
        <v>219.25.c</v>
      </c>
      <c r="E71" s="340">
        <f>INPUT!D18</f>
        <v>19215086</v>
      </c>
      <c r="F71" s="5"/>
      <c r="G71" s="5" t="str">
        <f t="shared" si="1"/>
        <v>TP</v>
      </c>
      <c r="H71" s="14">
        <f t="shared" si="1"/>
        <v>0.71528999999999998</v>
      </c>
      <c r="I71" s="5"/>
      <c r="J71" s="80">
        <f>ROUND(H71*E71,0)</f>
        <v>13744359</v>
      </c>
      <c r="K71" s="5"/>
      <c r="L71" s="5"/>
      <c r="M71" s="1"/>
    </row>
    <row r="72" spans="1:13">
      <c r="A72" s="778">
        <v>9</v>
      </c>
      <c r="C72" s="622" t="str">
        <f>DEO!C72</f>
        <v xml:space="preserve">  Distribution</v>
      </c>
      <c r="D72" s="954" t="str">
        <f>DEO!D72</f>
        <v>219.26.c</v>
      </c>
      <c r="E72" s="340">
        <f>INPUT!D19</f>
        <v>157555106</v>
      </c>
      <c r="F72" s="5"/>
      <c r="G72" s="5" t="str">
        <f t="shared" si="1"/>
        <v>NA</v>
      </c>
      <c r="H72" s="14" t="str">
        <f t="shared" si="1"/>
        <v xml:space="preserve"> </v>
      </c>
      <c r="I72" s="5"/>
      <c r="J72" s="212"/>
      <c r="K72" s="5"/>
      <c r="L72" s="5"/>
      <c r="M72" s="1"/>
    </row>
    <row r="73" spans="1:13">
      <c r="A73" s="778">
        <v>10</v>
      </c>
      <c r="C73" s="622" t="str">
        <f>DEO!C73</f>
        <v xml:space="preserve">  General &amp; Intangible</v>
      </c>
      <c r="D73" s="954" t="str">
        <f>DEO!D73</f>
        <v xml:space="preserve">200.21.c &amp; 219.28.c </v>
      </c>
      <c r="E73" s="340">
        <f>INPUT!D20</f>
        <v>12111785</v>
      </c>
      <c r="F73" s="5"/>
      <c r="G73" s="5" t="str">
        <f t="shared" si="1"/>
        <v>WS</v>
      </c>
      <c r="H73" s="14">
        <f>DEKWagesAllocator</f>
        <v>3.2980000000000002E-2</v>
      </c>
      <c r="I73" s="5"/>
      <c r="J73" s="212">
        <f>ROUND(H73*E73,0)</f>
        <v>399447</v>
      </c>
      <c r="K73" s="5"/>
      <c r="L73" s="5"/>
      <c r="M73" s="1"/>
    </row>
    <row r="74" spans="1:13" ht="15.75" thickBot="1">
      <c r="A74" s="778">
        <v>11</v>
      </c>
      <c r="C74" s="622" t="str">
        <f>DEO!C74</f>
        <v xml:space="preserve">  Common</v>
      </c>
      <c r="D74" s="954" t="str">
        <f>DEO!D74</f>
        <v>356</v>
      </c>
      <c r="E74" s="412">
        <f>INPUT!D21</f>
        <v>27828102</v>
      </c>
      <c r="F74" s="5"/>
      <c r="G74" s="5" t="str">
        <f t="shared" si="1"/>
        <v>CE</v>
      </c>
      <c r="H74" s="14">
        <f t="shared" si="1"/>
        <v>2.6620000000000001E-2</v>
      </c>
      <c r="I74" s="5"/>
      <c r="J74" s="213">
        <f>ROUND(H74*E74,0)</f>
        <v>740784</v>
      </c>
      <c r="K74" s="5"/>
      <c r="L74" s="5"/>
      <c r="M74" s="1"/>
    </row>
    <row r="75" spans="1:13">
      <c r="A75" s="778">
        <v>12</v>
      </c>
      <c r="C75" s="622" t="str">
        <f>DEO!C75</f>
        <v>TOTAL ACCUM. DEPRECIATION AND AMORTIZATION (sum lines 7-11)</v>
      </c>
      <c r="D75" s="760"/>
      <c r="E75" s="481">
        <f>SUM(E70:E74)</f>
        <v>855893839</v>
      </c>
      <c r="F75" s="5"/>
      <c r="G75" s="5"/>
      <c r="H75" s="5"/>
      <c r="I75" s="5"/>
      <c r="J75" s="80">
        <f>SUM(J70:J74)</f>
        <v>14884590</v>
      </c>
      <c r="K75" s="5"/>
      <c r="L75" s="5"/>
      <c r="M75" s="1"/>
    </row>
    <row r="76" spans="1:13">
      <c r="A76" s="778"/>
      <c r="C76" s="615"/>
      <c r="D76" s="760" t="s">
        <v>8</v>
      </c>
      <c r="E76" s="210"/>
      <c r="F76" s="5"/>
      <c r="G76" s="5"/>
      <c r="H76" s="18"/>
      <c r="I76" s="5"/>
      <c r="J76" s="212"/>
      <c r="K76" s="5"/>
      <c r="L76" s="18"/>
      <c r="M76" s="1"/>
    </row>
    <row r="77" spans="1:13">
      <c r="A77" s="778"/>
      <c r="C77" s="622" t="str">
        <f>DEO!C77</f>
        <v>NET PLANT IN SERVICE</v>
      </c>
      <c r="D77" s="760"/>
      <c r="E77" s="210"/>
      <c r="F77" s="5"/>
      <c r="G77" s="5"/>
      <c r="H77" s="5"/>
      <c r="I77" s="5"/>
      <c r="J77" s="212"/>
      <c r="K77" s="5"/>
      <c r="L77" s="5"/>
      <c r="M77" s="1"/>
    </row>
    <row r="78" spans="1:13">
      <c r="A78" s="778">
        <v>13</v>
      </c>
      <c r="C78" s="622" t="str">
        <f>DEO!C78</f>
        <v xml:space="preserve">  Production</v>
      </c>
      <c r="D78" s="954" t="str">
        <f>DEO!D78</f>
        <v xml:space="preserve"> (line 1 - line 7)</v>
      </c>
      <c r="E78" s="80">
        <f>E62-E70</f>
        <v>466561744</v>
      </c>
      <c r="F78" s="5"/>
      <c r="G78" s="5"/>
      <c r="H78" s="18"/>
      <c r="I78" s="5"/>
      <c r="J78" s="212" t="s">
        <v>8</v>
      </c>
      <c r="K78" s="5"/>
      <c r="L78" s="18"/>
      <c r="M78" s="1"/>
    </row>
    <row r="79" spans="1:13">
      <c r="A79" s="778">
        <v>14</v>
      </c>
      <c r="C79" s="622" t="str">
        <f>DEO!C79</f>
        <v xml:space="preserve">  Transmission</v>
      </c>
      <c r="D79" s="954" t="str">
        <f>DEO!D79</f>
        <v xml:space="preserve"> (line 2 - line 8)</v>
      </c>
      <c r="E79" s="210">
        <f>E63-E71</f>
        <v>38751137</v>
      </c>
      <c r="F79" s="5"/>
      <c r="G79" s="5"/>
      <c r="H79" s="14"/>
      <c r="I79" s="5"/>
      <c r="J79" s="80">
        <f>J63-J71</f>
        <v>27718301</v>
      </c>
      <c r="K79" s="5"/>
      <c r="L79" s="18"/>
      <c r="M79" s="1"/>
    </row>
    <row r="80" spans="1:13">
      <c r="A80" s="778">
        <v>15</v>
      </c>
      <c r="C80" s="622" t="str">
        <f>DEO!C80</f>
        <v xml:space="preserve">  Distribution</v>
      </c>
      <c r="D80" s="954" t="str">
        <f>DEO!D80</f>
        <v xml:space="preserve"> (line 3 - line 9)</v>
      </c>
      <c r="E80" s="210">
        <f>E64-E72</f>
        <v>296129224</v>
      </c>
      <c r="F80" s="5"/>
      <c r="G80" s="5"/>
      <c r="H80" s="18"/>
      <c r="I80" s="5"/>
      <c r="J80" s="212" t="s">
        <v>8</v>
      </c>
      <c r="K80" s="5"/>
      <c r="L80" s="18"/>
      <c r="M80" s="1"/>
    </row>
    <row r="81" spans="1:13">
      <c r="A81" s="778">
        <v>16</v>
      </c>
      <c r="C81" s="622" t="str">
        <f>DEO!C81</f>
        <v xml:space="preserve">  General &amp; Intangible</v>
      </c>
      <c r="D81" s="954" t="str">
        <f>DEO!D81</f>
        <v xml:space="preserve"> (line 4 - line 10)</v>
      </c>
      <c r="E81" s="210">
        <f>E65-E73</f>
        <v>14083430</v>
      </c>
      <c r="F81" s="5"/>
      <c r="G81" s="5"/>
      <c r="H81" s="18"/>
      <c r="I81" s="5"/>
      <c r="J81" s="212">
        <f>J65-J73</f>
        <v>464471</v>
      </c>
      <c r="K81" s="5"/>
      <c r="L81" s="18"/>
      <c r="M81" s="1"/>
    </row>
    <row r="82" spans="1:13" ht="15.75" thickBot="1">
      <c r="A82" s="778">
        <v>17</v>
      </c>
      <c r="C82" s="622" t="str">
        <f>DEO!C82</f>
        <v xml:space="preserve">  Common</v>
      </c>
      <c r="D82" s="954" t="str">
        <f>DEO!D82</f>
        <v xml:space="preserve"> (line 5 - line 11)</v>
      </c>
      <c r="E82" s="211">
        <f>E66-E74</f>
        <v>3886160</v>
      </c>
      <c r="F82" s="5"/>
      <c r="G82" s="5"/>
      <c r="H82" s="18"/>
      <c r="I82" s="5"/>
      <c r="J82" s="213">
        <f>J66-J74</f>
        <v>103450</v>
      </c>
      <c r="K82" s="5"/>
      <c r="L82" s="18"/>
      <c r="M82" s="1"/>
    </row>
    <row r="83" spans="1:13">
      <c r="A83" s="778">
        <v>18</v>
      </c>
      <c r="C83" s="622" t="str">
        <f>DEO!C83</f>
        <v>TOTAL NET PLANT (sum lines 13-17)</v>
      </c>
      <c r="D83" s="760"/>
      <c r="E83" s="80">
        <f>SUM(E78:E82)</f>
        <v>819411695</v>
      </c>
      <c r="F83" s="5"/>
      <c r="G83" s="5" t="s">
        <v>44</v>
      </c>
      <c r="H83" s="14">
        <f>IF(J83&gt;0,ROUND(J83/E83,5),0)</f>
        <v>3.4520000000000002E-2</v>
      </c>
      <c r="I83" s="5"/>
      <c r="J83" s="80">
        <f>SUM(J78:J82)</f>
        <v>28286222</v>
      </c>
      <c r="K83" s="5"/>
      <c r="L83" s="5"/>
      <c r="M83" s="1"/>
    </row>
    <row r="84" spans="1:13">
      <c r="A84" s="778"/>
      <c r="C84" s="615"/>
      <c r="D84" s="760"/>
      <c r="E84" s="210"/>
      <c r="F84" s="5"/>
      <c r="I84" s="5"/>
      <c r="J84" s="212"/>
      <c r="K84" s="5"/>
      <c r="L84" s="18"/>
      <c r="M84" s="1"/>
    </row>
    <row r="85" spans="1:13">
      <c r="A85" s="778"/>
      <c r="C85" s="622" t="str">
        <f>DEO!C85</f>
        <v>ADJUSTMENTS TO RATE BASE   (Note F)</v>
      </c>
      <c r="D85" s="760"/>
      <c r="E85" s="210"/>
      <c r="F85" s="5"/>
      <c r="G85" s="5"/>
      <c r="H85" s="5"/>
      <c r="I85" s="5"/>
      <c r="J85" s="212"/>
      <c r="K85" s="5"/>
      <c r="L85" s="5"/>
      <c r="M85" s="1"/>
    </row>
    <row r="86" spans="1:13">
      <c r="A86" s="778">
        <v>19</v>
      </c>
      <c r="C86" s="622" t="str">
        <f>DEO!C86</f>
        <v xml:space="preserve">  Account No. 281 (enter negative)</v>
      </c>
      <c r="D86" s="954" t="str">
        <f>DEO!D86</f>
        <v>273.8.k</v>
      </c>
      <c r="E86" s="414">
        <f>INPUT!D33</f>
        <v>-499676</v>
      </c>
      <c r="F86" s="35"/>
      <c r="G86" s="35" t="str">
        <f>G70</f>
        <v>NA</v>
      </c>
      <c r="H86" s="77" t="s">
        <v>158</v>
      </c>
      <c r="I86" s="5"/>
      <c r="J86" s="80">
        <v>0</v>
      </c>
      <c r="K86" s="5"/>
      <c r="L86" s="18"/>
      <c r="M86" s="1"/>
    </row>
    <row r="87" spans="1:13">
      <c r="A87" s="778">
        <v>20</v>
      </c>
      <c r="C87" s="622" t="str">
        <f>DEO!C87</f>
        <v xml:space="preserve">  Account No. 282 (enter negative)</v>
      </c>
      <c r="D87" s="954" t="str">
        <f>DEO!D87</f>
        <v>275.2.k &amp; 275.6.k</v>
      </c>
      <c r="E87" s="489">
        <f>INPUT!D34</f>
        <v>-222689296</v>
      </c>
      <c r="F87" s="5"/>
      <c r="G87" s="5" t="s">
        <v>46</v>
      </c>
      <c r="H87" s="14">
        <f>H83</f>
        <v>3.4520000000000002E-2</v>
      </c>
      <c r="I87" s="5"/>
      <c r="J87" s="212">
        <f>ROUND(H87*E87,0)</f>
        <v>-7687234</v>
      </c>
      <c r="K87" s="5"/>
      <c r="L87" s="18"/>
      <c r="M87" s="1"/>
    </row>
    <row r="88" spans="1:13">
      <c r="A88" s="778">
        <v>21</v>
      </c>
      <c r="C88" s="622" t="str">
        <f>DEO!C88</f>
        <v xml:space="preserve">  Account No. 283 (enter negative)</v>
      </c>
      <c r="D88" s="954" t="str">
        <f>DEO!D88</f>
        <v>277.9.k &amp; 277.18.k</v>
      </c>
      <c r="E88" s="489">
        <f>INPUT!D35</f>
        <v>-32785869</v>
      </c>
      <c r="F88" s="5"/>
      <c r="G88" s="5" t="s">
        <v>46</v>
      </c>
      <c r="H88" s="14">
        <f>H87</f>
        <v>3.4520000000000002E-2</v>
      </c>
      <c r="I88" s="5"/>
      <c r="J88" s="212">
        <f>ROUND(H88*E88,0)</f>
        <v>-1131768</v>
      </c>
      <c r="K88" s="5"/>
      <c r="L88" s="18"/>
      <c r="M88" s="1"/>
    </row>
    <row r="89" spans="1:13">
      <c r="A89" s="778">
        <v>22</v>
      </c>
      <c r="C89" s="622" t="str">
        <f>DEO!C89</f>
        <v xml:space="preserve">  Account No. 190 </v>
      </c>
      <c r="D89" s="954" t="str">
        <f>DEO!D89</f>
        <v>234.8.c &amp; 234.17.c</v>
      </c>
      <c r="E89" s="489">
        <f>INPUT!D36</f>
        <v>25674692</v>
      </c>
      <c r="F89" s="5"/>
      <c r="G89" s="5" t="str">
        <f>G88</f>
        <v>NP</v>
      </c>
      <c r="H89" s="14">
        <f>H88</f>
        <v>3.4520000000000002E-2</v>
      </c>
      <c r="I89" s="5"/>
      <c r="J89" s="212">
        <f>ROUND(H89*E89,0)</f>
        <v>886290</v>
      </c>
      <c r="K89" s="5"/>
      <c r="L89" s="18"/>
      <c r="M89" s="1"/>
    </row>
    <row r="90" spans="1:13" ht="15.75" thickBot="1">
      <c r="A90" s="778">
        <v>23</v>
      </c>
      <c r="C90" s="622" t="str">
        <f>DEO!C90</f>
        <v xml:space="preserve">  Account No. 255 (enter negative)  (Note K)</v>
      </c>
      <c r="D90" s="954" t="str">
        <f>DEO!D90</f>
        <v>267.8.h</v>
      </c>
      <c r="E90" s="763">
        <f>INPUT!D37</f>
        <v>0</v>
      </c>
      <c r="F90" s="103"/>
      <c r="G90" s="103" t="s">
        <v>46</v>
      </c>
      <c r="H90" s="764">
        <f>H88</f>
        <v>3.4520000000000002E-2</v>
      </c>
      <c r="I90" s="103"/>
      <c r="J90" s="763">
        <f>ROUND(H90*E90,0)</f>
        <v>0</v>
      </c>
      <c r="K90" s="5"/>
      <c r="L90" s="18"/>
      <c r="M90" s="1"/>
    </row>
    <row r="91" spans="1:13">
      <c r="A91" s="778">
        <v>24</v>
      </c>
      <c r="C91" s="622" t="str">
        <f>DEO!C91</f>
        <v>TOTAL ADJUSTMENTS  (sum lines 19 - 23)</v>
      </c>
      <c r="D91" s="760"/>
      <c r="E91" s="762">
        <f>SUM(E86:E90)</f>
        <v>-230300149</v>
      </c>
      <c r="F91" s="602"/>
      <c r="G91" s="602"/>
      <c r="H91" s="602"/>
      <c r="I91" s="602"/>
      <c r="J91" s="762">
        <f>SUM(J86:J90)</f>
        <v>-7932712</v>
      </c>
      <c r="K91" s="5"/>
      <c r="L91" s="5"/>
      <c r="M91" s="1"/>
    </row>
    <row r="92" spans="1:13">
      <c r="A92" s="778"/>
      <c r="C92" s="615"/>
      <c r="D92" s="760"/>
      <c r="E92" s="210"/>
      <c r="F92" s="5"/>
      <c r="G92" s="5"/>
      <c r="H92" s="18"/>
      <c r="I92" s="5"/>
      <c r="J92" s="212"/>
      <c r="K92" s="5"/>
      <c r="L92" s="18"/>
      <c r="M92" s="1"/>
    </row>
    <row r="93" spans="1:13">
      <c r="A93" s="778">
        <v>25</v>
      </c>
      <c r="C93" s="622" t="str">
        <f>DEO!C93</f>
        <v>LAND HELD FOR FUTURE USE   (Note G)</v>
      </c>
      <c r="D93" s="954" t="str">
        <f>DEO!D93</f>
        <v xml:space="preserve">214.x.d  </v>
      </c>
      <c r="E93" s="414">
        <f>INPUT!D40</f>
        <v>0</v>
      </c>
      <c r="F93" s="5"/>
      <c r="G93" s="35" t="s">
        <v>8</v>
      </c>
      <c r="H93" s="413">
        <v>1</v>
      </c>
      <c r="I93" s="5"/>
      <c r="J93" s="80">
        <f>ROUND(H93*E93,0)</f>
        <v>0</v>
      </c>
      <c r="K93" s="5"/>
      <c r="L93" s="5"/>
      <c r="M93" s="1"/>
    </row>
    <row r="94" spans="1:13">
      <c r="A94" s="778"/>
      <c r="C94" s="585"/>
      <c r="D94" s="760"/>
      <c r="E94" s="210"/>
      <c r="F94" s="5"/>
      <c r="G94" s="5"/>
      <c r="H94" s="5"/>
      <c r="I94" s="5"/>
      <c r="J94" s="212"/>
      <c r="K94" s="5"/>
      <c r="L94" s="5"/>
      <c r="M94" s="1"/>
    </row>
    <row r="95" spans="1:13">
      <c r="A95" s="778"/>
      <c r="C95" s="622" t="str">
        <f>DEO!C95</f>
        <v>WORKING CAPITAL    (Note H)</v>
      </c>
      <c r="D95" s="760" t="s">
        <v>8</v>
      </c>
      <c r="E95" s="210"/>
      <c r="F95" s="5"/>
      <c r="G95" s="5"/>
      <c r="H95" s="5"/>
      <c r="I95" s="5"/>
      <c r="J95" s="212"/>
      <c r="K95" s="5"/>
      <c r="L95" s="5"/>
      <c r="M95" s="1"/>
    </row>
    <row r="96" spans="1:13">
      <c r="A96" s="778">
        <v>26</v>
      </c>
      <c r="C96" s="622" t="str">
        <f>DEO!C96</f>
        <v xml:space="preserve">  CWC  </v>
      </c>
      <c r="D96" s="954" t="str">
        <f>DEO!D96</f>
        <v>calculated</v>
      </c>
      <c r="E96" s="481">
        <f>ROUND(E135/8,0)</f>
        <v>2641309</v>
      </c>
      <c r="F96" s="5"/>
      <c r="G96" s="5"/>
      <c r="H96" s="18"/>
      <c r="I96" s="5"/>
      <c r="J96" s="481">
        <f>ROUND(J135/8,0)</f>
        <v>219682</v>
      </c>
      <c r="K96" s="1"/>
      <c r="L96" s="18"/>
      <c r="M96" s="1"/>
    </row>
    <row r="97" spans="1:13">
      <c r="A97" s="778">
        <v>27</v>
      </c>
      <c r="C97" s="622" t="str">
        <f>DEO!C97</f>
        <v xml:space="preserve">  Materials &amp; Supplies     (Note G)</v>
      </c>
      <c r="D97" s="954" t="str">
        <f>DEO!D97</f>
        <v>227.8.c &amp; 227.16.c</v>
      </c>
      <c r="E97" s="340">
        <f>INPUT!D44</f>
        <v>4124</v>
      </c>
      <c r="F97" s="5"/>
      <c r="G97" s="5" t="s">
        <v>47</v>
      </c>
      <c r="H97" s="14">
        <f>J204</f>
        <v>0.69086000000000003</v>
      </c>
      <c r="I97" s="5"/>
      <c r="J97" s="212">
        <f>ROUND(H97*E97,0)</f>
        <v>2849</v>
      </c>
      <c r="K97" s="5" t="s">
        <v>8</v>
      </c>
      <c r="L97" s="18"/>
      <c r="M97" s="1"/>
    </row>
    <row r="98" spans="1:13" ht="15.75" thickBot="1">
      <c r="A98" s="778">
        <v>28</v>
      </c>
      <c r="C98" s="622" t="str">
        <f>DEO!C98</f>
        <v xml:space="preserve">  Prepayments (Account 165)</v>
      </c>
      <c r="D98" s="954" t="str">
        <f>DEO!D98</f>
        <v>111.57.c</v>
      </c>
      <c r="E98" s="412">
        <f>INPUT!D45</f>
        <v>491801</v>
      </c>
      <c r="F98" s="5"/>
      <c r="G98" s="5" t="s">
        <v>48</v>
      </c>
      <c r="H98" s="14">
        <f>H67</f>
        <v>2.5770000000000001E-2</v>
      </c>
      <c r="I98" s="5"/>
      <c r="J98" s="213">
        <f>ROUND(H98*E98,0)</f>
        <v>12674</v>
      </c>
      <c r="K98" s="5"/>
      <c r="L98" s="18"/>
      <c r="M98" s="1"/>
    </row>
    <row r="99" spans="1:13">
      <c r="A99" s="778">
        <v>29</v>
      </c>
      <c r="C99" s="622" t="str">
        <f>DEO!C99</f>
        <v>TOTAL WORKING CAPITAL (sum lines 26 - 28)</v>
      </c>
      <c r="D99" s="954"/>
      <c r="E99" s="338">
        <f>E96+E97+E98</f>
        <v>3137234</v>
      </c>
      <c r="F99" s="1"/>
      <c r="G99" s="1"/>
      <c r="H99" s="1"/>
      <c r="I99" s="1"/>
      <c r="J99" s="338">
        <f>J96+J97+J98</f>
        <v>235205</v>
      </c>
      <c r="K99" s="1"/>
      <c r="L99" s="1"/>
      <c r="M99" s="1"/>
    </row>
    <row r="100" spans="1:13" ht="15.75" thickBot="1">
      <c r="C100" s="615"/>
      <c r="D100" s="760"/>
      <c r="E100" s="213"/>
      <c r="F100" s="5"/>
      <c r="G100" s="5"/>
      <c r="H100" s="5"/>
      <c r="I100" s="5"/>
      <c r="J100" s="213"/>
      <c r="K100" s="5"/>
      <c r="L100" s="5"/>
      <c r="M100" s="1"/>
    </row>
    <row r="101" spans="1:13" ht="15.75" thickBot="1">
      <c r="A101" s="778">
        <v>30</v>
      </c>
      <c r="C101" s="622" t="str">
        <f>DEO!C101</f>
        <v>RATE BASE  (sum lines 18, 24, 25, &amp; 29)</v>
      </c>
      <c r="D101" s="760"/>
      <c r="E101" s="339">
        <f>E99+E93+E91+E83</f>
        <v>592248780</v>
      </c>
      <c r="F101" s="5"/>
      <c r="G101" s="5"/>
      <c r="H101" s="18"/>
      <c r="I101" s="5"/>
      <c r="J101" s="339">
        <f>J99+J93+J91+J83</f>
        <v>20588715</v>
      </c>
      <c r="K101" s="5"/>
      <c r="L101" s="18"/>
      <c r="M101" s="5"/>
    </row>
    <row r="102" spans="1:13" ht="15.75" thickTop="1">
      <c r="A102" s="778"/>
      <c r="C102" s="3"/>
      <c r="D102" s="5"/>
      <c r="E102" s="5"/>
      <c r="F102" s="5"/>
      <c r="G102" s="5"/>
      <c r="H102" s="5"/>
      <c r="I102" s="5"/>
      <c r="J102" s="5"/>
      <c r="K102" s="5"/>
      <c r="L102" s="5"/>
      <c r="M102" s="5"/>
    </row>
    <row r="103" spans="1:13">
      <c r="A103" s="778"/>
      <c r="C103" s="27"/>
      <c r="D103" s="27"/>
      <c r="E103" s="28"/>
      <c r="F103" s="27"/>
      <c r="G103" s="27"/>
      <c r="H103" s="27"/>
      <c r="I103" s="29"/>
      <c r="K103" s="30"/>
      <c r="L103" s="88"/>
      <c r="M103" s="30"/>
    </row>
    <row r="104" spans="1:13" ht="18">
      <c r="A104" s="781"/>
      <c r="C104" s="27"/>
      <c r="D104" s="27"/>
      <c r="E104" s="28"/>
      <c r="F104" s="27"/>
      <c r="G104" s="27"/>
      <c r="H104" s="27"/>
      <c r="I104" s="29"/>
      <c r="J104" s="74" t="s">
        <v>318</v>
      </c>
      <c r="K104" s="87"/>
      <c r="M104" s="87"/>
    </row>
    <row r="105" spans="1:13">
      <c r="C105" s="27"/>
      <c r="D105" s="27"/>
      <c r="E105" s="28"/>
      <c r="F105" s="27"/>
      <c r="G105" s="27"/>
      <c r="H105" s="27"/>
      <c r="I105" s="29"/>
      <c r="J105" s="74" t="s">
        <v>442</v>
      </c>
      <c r="M105" s="74"/>
    </row>
    <row r="106" spans="1:13">
      <c r="C106" s="27"/>
      <c r="D106" s="27"/>
      <c r="E106" s="28"/>
      <c r="F106" s="27"/>
      <c r="G106" s="27"/>
      <c r="H106" s="27"/>
      <c r="I106" s="29"/>
      <c r="J106" s="74"/>
      <c r="M106" s="74"/>
    </row>
    <row r="107" spans="1:13">
      <c r="C107" s="27"/>
      <c r="D107" s="27"/>
      <c r="E107" s="28"/>
      <c r="F107" s="27"/>
      <c r="G107" s="27"/>
      <c r="H107" s="27"/>
      <c r="I107" s="29"/>
      <c r="M107" s="74"/>
    </row>
    <row r="108" spans="1:13">
      <c r="C108" s="27"/>
      <c r="D108" s="27"/>
      <c r="E108" s="28"/>
      <c r="F108" s="27"/>
      <c r="G108" s="27"/>
      <c r="H108" s="27"/>
      <c r="I108" s="29"/>
      <c r="K108" s="1"/>
      <c r="M108" s="74"/>
    </row>
    <row r="109" spans="1:13">
      <c r="C109" s="27"/>
      <c r="D109" s="27"/>
      <c r="E109" s="28"/>
      <c r="F109" s="27"/>
      <c r="G109" s="27"/>
      <c r="H109" s="27"/>
      <c r="I109" s="29"/>
      <c r="J109" s="74"/>
      <c r="K109" s="1"/>
      <c r="M109" s="74"/>
    </row>
    <row r="110" spans="1:13">
      <c r="C110" s="27" t="s">
        <v>7</v>
      </c>
      <c r="D110" s="27"/>
      <c r="E110" s="28"/>
      <c r="F110" s="27"/>
      <c r="G110" s="27"/>
      <c r="H110" s="27"/>
      <c r="I110" s="29"/>
      <c r="J110" s="88" t="str">
        <f>J7</f>
        <v>For the 12 months ended: 12/31/2017</v>
      </c>
      <c r="K110" s="1"/>
      <c r="M110" s="74"/>
    </row>
    <row r="111" spans="1:13">
      <c r="A111" s="782" t="str">
        <f>A8</f>
        <v>Rate Formula Template</v>
      </c>
      <c r="B111" s="260"/>
      <c r="C111" s="260"/>
      <c r="D111" s="258"/>
      <c r="E111" s="260"/>
      <c r="F111" s="258"/>
      <c r="G111" s="258"/>
      <c r="H111" s="258"/>
      <c r="I111" s="258"/>
      <c r="J111" s="260"/>
      <c r="K111" s="5"/>
      <c r="L111" s="260"/>
      <c r="M111" s="1"/>
    </row>
    <row r="112" spans="1:13">
      <c r="A112" s="783" t="s">
        <v>289</v>
      </c>
      <c r="B112" s="260"/>
      <c r="C112" s="258"/>
      <c r="D112" s="261"/>
      <c r="E112" s="260"/>
      <c r="F112" s="261"/>
      <c r="G112" s="261"/>
      <c r="H112" s="261"/>
      <c r="I112" s="258"/>
      <c r="J112" s="258"/>
      <c r="K112" s="5"/>
      <c r="L112" s="255"/>
      <c r="M112" s="1"/>
    </row>
    <row r="113" spans="1:13">
      <c r="A113" s="783"/>
      <c r="B113" s="260"/>
      <c r="C113" s="255"/>
      <c r="D113" s="255"/>
      <c r="E113" s="260"/>
      <c r="F113" s="255"/>
      <c r="G113" s="255"/>
      <c r="H113" s="255"/>
      <c r="I113" s="255"/>
      <c r="J113" s="255"/>
      <c r="K113" s="5"/>
      <c r="L113" s="255"/>
      <c r="M113" s="1"/>
    </row>
    <row r="114" spans="1:13" ht="15.75">
      <c r="A114" s="967" t="str">
        <f>$A$11</f>
        <v>DUKE ENERGY KENTUCKY (DEK)</v>
      </c>
      <c r="B114" s="260"/>
      <c r="C114" s="255"/>
      <c r="D114" s="255"/>
      <c r="E114" s="260"/>
      <c r="F114" s="255"/>
      <c r="G114" s="255"/>
      <c r="H114" s="255"/>
      <c r="I114" s="255"/>
      <c r="J114" s="255"/>
      <c r="K114" s="5"/>
      <c r="L114" s="255"/>
      <c r="M114" s="5"/>
    </row>
    <row r="115" spans="1:13">
      <c r="A115" s="778"/>
      <c r="K115" s="5"/>
      <c r="L115" s="5"/>
      <c r="M115" s="5"/>
    </row>
    <row r="116" spans="1:13" ht="15.75">
      <c r="A116" s="778"/>
      <c r="C116" s="4" t="s">
        <v>19</v>
      </c>
      <c r="D116" s="4" t="s">
        <v>20</v>
      </c>
      <c r="E116" s="4" t="s">
        <v>21</v>
      </c>
      <c r="F116" s="5" t="s">
        <v>8</v>
      </c>
      <c r="G116" s="5"/>
      <c r="H116" s="7" t="s">
        <v>22</v>
      </c>
      <c r="I116" s="5"/>
      <c r="J116" s="8" t="s">
        <v>23</v>
      </c>
      <c r="K116" s="5"/>
      <c r="L116" s="31"/>
      <c r="M116" s="29"/>
    </row>
    <row r="117" spans="1:13" ht="15.75">
      <c r="A117" s="786" t="s">
        <v>9</v>
      </c>
      <c r="C117" s="3"/>
      <c r="D117" s="6" t="s">
        <v>24</v>
      </c>
      <c r="E117" s="5"/>
      <c r="F117" s="5"/>
      <c r="G117" s="5"/>
      <c r="H117" s="30"/>
      <c r="I117" s="5"/>
      <c r="J117" s="30" t="s">
        <v>25</v>
      </c>
      <c r="K117" s="5"/>
      <c r="L117" s="31"/>
      <c r="M117" s="5"/>
    </row>
    <row r="118" spans="1:13" ht="15.75">
      <c r="A118" s="787" t="s">
        <v>11</v>
      </c>
      <c r="B118" s="271"/>
      <c r="C118" s="274"/>
      <c r="D118" s="370" t="s">
        <v>26</v>
      </c>
      <c r="E118" s="371" t="s">
        <v>27</v>
      </c>
      <c r="F118" s="372"/>
      <c r="G118" s="373" t="s">
        <v>14</v>
      </c>
      <c r="H118" s="273"/>
      <c r="I118" s="372"/>
      <c r="J118" s="272" t="s">
        <v>365</v>
      </c>
      <c r="K118" s="5"/>
      <c r="L118" s="31"/>
      <c r="M118" s="48"/>
    </row>
    <row r="119" spans="1:13" ht="15.75">
      <c r="C119" s="3"/>
      <c r="D119" s="5"/>
      <c r="E119" s="9"/>
      <c r="F119" s="10"/>
      <c r="G119" s="11"/>
      <c r="I119" s="10"/>
      <c r="J119" s="9"/>
      <c r="K119" s="5"/>
      <c r="L119" s="5"/>
      <c r="M119" s="5"/>
    </row>
    <row r="120" spans="1:13">
      <c r="A120" s="778"/>
      <c r="C120" s="585" t="str">
        <f>DEO!C120</f>
        <v>O&amp;M</v>
      </c>
      <c r="D120" s="5"/>
      <c r="E120" s="5"/>
      <c r="F120" s="5"/>
      <c r="G120" s="5"/>
      <c r="H120" s="5"/>
      <c r="I120" s="5"/>
      <c r="J120" s="5"/>
      <c r="K120" s="5"/>
      <c r="L120" s="5"/>
      <c r="M120" s="5"/>
    </row>
    <row r="121" spans="1:13">
      <c r="A121" s="778">
        <v>1</v>
      </c>
      <c r="C121" s="585" t="str">
        <f>DEO!C121</f>
        <v xml:space="preserve">  Transmission </v>
      </c>
      <c r="D121" s="954" t="str">
        <f>DEO!D121</f>
        <v>321.112.b</v>
      </c>
      <c r="E121" s="481">
        <f>INPUT!D51</f>
        <v>17246032</v>
      </c>
      <c r="F121" s="5"/>
      <c r="G121" s="5" t="s">
        <v>47</v>
      </c>
      <c r="H121" s="14">
        <f>J204</f>
        <v>0.69086000000000003</v>
      </c>
      <c r="I121" s="5"/>
      <c r="J121" s="338">
        <f>ROUND(H121*E121,0)</f>
        <v>11914594</v>
      </c>
      <c r="K121" s="1"/>
      <c r="L121" s="5"/>
      <c r="M121" s="5"/>
    </row>
    <row r="122" spans="1:13">
      <c r="A122" s="779" t="s">
        <v>1</v>
      </c>
      <c r="B122" s="64"/>
      <c r="C122" s="590" t="str">
        <f>DEO!C122</f>
        <v>Less LSE Expenses included in Transmission O&amp;M Accounts  (Note V)</v>
      </c>
      <c r="D122" s="954" t="str">
        <f>DEO!D122</f>
        <v>321.88.b &amp; 321.92.b</v>
      </c>
      <c r="E122" s="340">
        <f>'P18 LSE Expenses'!H21</f>
        <v>1757473</v>
      </c>
      <c r="F122" s="35"/>
      <c r="G122" s="35"/>
      <c r="H122" s="61">
        <v>1</v>
      </c>
      <c r="I122" s="35"/>
      <c r="J122" s="212">
        <f>ROUND(H122*E122,0)</f>
        <v>1757473</v>
      </c>
      <c r="K122" s="1"/>
      <c r="L122" s="5"/>
      <c r="M122" s="5"/>
    </row>
    <row r="123" spans="1:13">
      <c r="A123" s="779" t="s">
        <v>262</v>
      </c>
      <c r="B123" s="64"/>
      <c r="C123" s="588" t="str">
        <f>DEO!C123</f>
        <v>Less Midcontinent ISO Exit Fees included in Transmission O&amp;M</v>
      </c>
      <c r="D123" s="954" t="str">
        <f>DEO!D123</f>
        <v>(Note X)</v>
      </c>
      <c r="E123" s="340">
        <f>INPUT!D53</f>
        <v>0</v>
      </c>
      <c r="F123" s="35"/>
      <c r="G123" s="5" t="s">
        <v>47</v>
      </c>
      <c r="H123" s="14">
        <f>J$204</f>
        <v>0.69086000000000003</v>
      </c>
      <c r="I123" s="35"/>
      <c r="J123" s="212">
        <f>ROUND(H123*E123,0)</f>
        <v>0</v>
      </c>
      <c r="K123" s="1"/>
      <c r="L123" s="5"/>
      <c r="M123" s="5"/>
    </row>
    <row r="124" spans="1:13" s="670" customFormat="1">
      <c r="A124" s="779" t="s">
        <v>265</v>
      </c>
      <c r="B124" s="604"/>
      <c r="C124" s="588" t="str">
        <f>DEO!C124</f>
        <v>Less EPRI Annual Membership Dues</v>
      </c>
      <c r="D124" s="954" t="str">
        <f>DEO!D124</f>
        <v>(Note I)</v>
      </c>
      <c r="E124" s="489">
        <f>INPUT!D54</f>
        <v>253537</v>
      </c>
      <c r="F124" s="597"/>
      <c r="G124" s="602" t="s">
        <v>47</v>
      </c>
      <c r="H124" s="14">
        <f>J$204</f>
        <v>0.69086000000000003</v>
      </c>
      <c r="I124" s="597"/>
      <c r="J124" s="487">
        <f>ROUND(H124*E124,0)</f>
        <v>175159</v>
      </c>
      <c r="K124" s="622"/>
      <c r="L124" s="602"/>
      <c r="M124" s="602"/>
    </row>
    <row r="125" spans="1:13">
      <c r="A125" s="778">
        <v>2</v>
      </c>
      <c r="C125" s="588" t="str">
        <f>DEO!C125</f>
        <v>Less Account 565</v>
      </c>
      <c r="D125" s="954" t="str">
        <f>DEO!D125</f>
        <v>321.96.b</v>
      </c>
      <c r="E125" s="340">
        <f>INPUT!D55</f>
        <v>12797078</v>
      </c>
      <c r="F125" s="5"/>
      <c r="G125" s="5" t="s">
        <v>47</v>
      </c>
      <c r="H125" s="14">
        <f>J$204</f>
        <v>0.69086000000000003</v>
      </c>
      <c r="I125" s="5"/>
      <c r="J125" s="212">
        <f t="shared" ref="J125:J134" si="2">ROUND(H125*E125,0)</f>
        <v>8840989</v>
      </c>
      <c r="K125" s="1"/>
      <c r="L125" s="5"/>
      <c r="M125" s="5"/>
    </row>
    <row r="126" spans="1:13">
      <c r="A126" s="779">
        <v>3</v>
      </c>
      <c r="B126" s="64"/>
      <c r="C126" s="593" t="str">
        <f>DEO!C126</f>
        <v xml:space="preserve">  A&amp;G</v>
      </c>
      <c r="D126" s="954" t="str">
        <f>DEO!D126</f>
        <v>323.197.b</v>
      </c>
      <c r="E126" s="210">
        <f>'P5 Schedule 1 Charges acct 561'!D21</f>
        <v>19417792</v>
      </c>
      <c r="F126" s="35"/>
      <c r="G126" s="602" t="s">
        <v>152</v>
      </c>
      <c r="H126" s="14">
        <f>DEKWagesAllocator</f>
        <v>3.2980000000000002E-2</v>
      </c>
      <c r="I126" s="35"/>
      <c r="J126" s="212">
        <f t="shared" si="2"/>
        <v>640399</v>
      </c>
      <c r="K126" s="5"/>
      <c r="L126" s="5" t="s">
        <v>8</v>
      </c>
      <c r="M126" s="5"/>
    </row>
    <row r="127" spans="1:13" s="670" customFormat="1" ht="30">
      <c r="A127" s="788" t="s">
        <v>396</v>
      </c>
      <c r="B127" s="604"/>
      <c r="C127" s="759" t="str">
        <f>DEO!C127</f>
        <v>PBOP Expense excluding Pension Expense included in line 3 for information only</v>
      </c>
      <c r="D127" s="760" t="str">
        <f>DEO!D127</f>
        <v>(Note E)</v>
      </c>
      <c r="E127" s="719">
        <f>INPUT!D57</f>
        <v>-185234.51</v>
      </c>
      <c r="F127" s="631"/>
      <c r="G127" s="602" t="s">
        <v>152</v>
      </c>
      <c r="H127" s="765">
        <f>DEKWagesAllocator</f>
        <v>3.2980000000000002E-2</v>
      </c>
      <c r="I127" s="631"/>
      <c r="J127" s="720">
        <f t="shared" si="2"/>
        <v>-6109</v>
      </c>
      <c r="K127" s="602"/>
      <c r="L127" s="602"/>
      <c r="M127" s="602"/>
    </row>
    <row r="128" spans="1:13">
      <c r="A128" s="779" t="s">
        <v>397</v>
      </c>
      <c r="B128" s="64"/>
      <c r="C128" s="588" t="str">
        <f>DEO!C128</f>
        <v>Less PJM Integration Costs included in A&amp;G and</v>
      </c>
      <c r="D128" s="954" t="str">
        <f>DEO!D128</f>
        <v>(Note Y)</v>
      </c>
      <c r="E128" s="340">
        <f>INPUT!D58</f>
        <v>0</v>
      </c>
      <c r="F128" s="35"/>
      <c r="G128" s="602" t="s">
        <v>152</v>
      </c>
      <c r="H128" s="14">
        <f>DEKWagesAllocator</f>
        <v>3.2980000000000002E-2</v>
      </c>
      <c r="I128" s="35"/>
      <c r="J128" s="212">
        <f t="shared" si="2"/>
        <v>0</v>
      </c>
      <c r="K128" s="5"/>
      <c r="L128" s="5"/>
      <c r="M128" s="5"/>
    </row>
    <row r="129" spans="1:13" s="604" customFormat="1">
      <c r="A129" s="779"/>
      <c r="C129" s="592" t="str">
        <f>DEO!C129</f>
        <v xml:space="preserve">         Internal Integration Costs included in A&amp;G</v>
      </c>
      <c r="D129" s="631"/>
      <c r="E129" s="210"/>
      <c r="F129" s="597"/>
      <c r="G129" s="602" t="s">
        <v>152</v>
      </c>
      <c r="H129" s="61"/>
      <c r="I129" s="597"/>
      <c r="J129" s="210"/>
      <c r="K129" s="597"/>
      <c r="L129" s="597"/>
      <c r="M129" s="597"/>
    </row>
    <row r="130" spans="1:13">
      <c r="A130" s="779">
        <v>4</v>
      </c>
      <c r="B130" s="64"/>
      <c r="C130" s="592" t="str">
        <f>DEO!C130</f>
        <v>Less FERC Annual Fees</v>
      </c>
      <c r="D130" s="954" t="str">
        <f>DEO!D130</f>
        <v>350.x.b</v>
      </c>
      <c r="E130" s="340">
        <f>INPUT!D60</f>
        <v>0</v>
      </c>
      <c r="F130" s="35"/>
      <c r="G130" s="602" t="s">
        <v>152</v>
      </c>
      <c r="H130" s="14">
        <f>DEKWagesAllocator</f>
        <v>3.2980000000000002E-2</v>
      </c>
      <c r="I130" s="35"/>
      <c r="J130" s="212">
        <f t="shared" si="2"/>
        <v>0</v>
      </c>
      <c r="K130" s="5"/>
      <c r="L130" s="5"/>
      <c r="M130" s="5"/>
    </row>
    <row r="131" spans="1:13">
      <c r="A131" s="779">
        <v>5</v>
      </c>
      <c r="B131" s="64"/>
      <c r="C131" s="590" t="str">
        <f>DEO!C131</f>
        <v>Less EPRI &amp; Reg. Comm. Exp. &amp; Non-safety  Advertising    (Note I)</v>
      </c>
      <c r="D131" s="631"/>
      <c r="E131" s="340">
        <f>INPUT!D61</f>
        <v>725261</v>
      </c>
      <c r="F131" s="35"/>
      <c r="G131" s="602" t="s">
        <v>152</v>
      </c>
      <c r="H131" s="14">
        <f>DEKWagesAllocator</f>
        <v>3.2980000000000002E-2</v>
      </c>
      <c r="I131" s="35"/>
      <c r="J131" s="212">
        <f t="shared" si="2"/>
        <v>23919</v>
      </c>
      <c r="K131" s="5"/>
      <c r="L131" s="5"/>
      <c r="M131" s="5"/>
    </row>
    <row r="132" spans="1:13">
      <c r="A132" s="789" t="s">
        <v>157</v>
      </c>
      <c r="B132" s="64"/>
      <c r="C132" s="590" t="str">
        <f>DEO!C132</f>
        <v>Plus Transmission Related Reg. Comm. Exp.   (Note I)</v>
      </c>
      <c r="D132" s="631"/>
      <c r="E132" s="340">
        <f>INPUT!D62</f>
        <v>0</v>
      </c>
      <c r="F132" s="35"/>
      <c r="G132" s="60" t="str">
        <f>G121</f>
        <v>TE</v>
      </c>
      <c r="H132" s="61">
        <f>H121</f>
        <v>0.69086000000000003</v>
      </c>
      <c r="I132" s="35"/>
      <c r="J132" s="212">
        <f t="shared" si="2"/>
        <v>0</v>
      </c>
      <c r="K132" s="5"/>
      <c r="L132" s="5"/>
      <c r="M132" s="5"/>
    </row>
    <row r="133" spans="1:13">
      <c r="A133" s="779">
        <v>6</v>
      </c>
      <c r="B133" s="64"/>
      <c r="C133" s="593" t="str">
        <f>DEO!C133</f>
        <v xml:space="preserve">  Common</v>
      </c>
      <c r="D133" s="954" t="str">
        <f>DEO!D133</f>
        <v>356</v>
      </c>
      <c r="E133" s="340">
        <f>INPUT!D63</f>
        <v>0</v>
      </c>
      <c r="F133" s="35"/>
      <c r="G133" s="35" t="s">
        <v>80</v>
      </c>
      <c r="H133" s="61">
        <f>H74</f>
        <v>2.6620000000000001E-2</v>
      </c>
      <c r="I133" s="35"/>
      <c r="J133" s="212">
        <f t="shared" si="2"/>
        <v>0</v>
      </c>
      <c r="K133" s="5"/>
      <c r="L133" s="5"/>
      <c r="M133" s="5"/>
    </row>
    <row r="134" spans="1:13" ht="15.75" thickBot="1">
      <c r="A134" s="779">
        <v>7</v>
      </c>
      <c r="B134" s="64"/>
      <c r="C134" s="593" t="str">
        <f>DEO!C134</f>
        <v xml:space="preserve">  Transmission Lease Payments</v>
      </c>
      <c r="D134" s="631"/>
      <c r="E134" s="412">
        <f>INPUT!D64</f>
        <v>0</v>
      </c>
      <c r="F134" s="35"/>
      <c r="G134" s="35" t="s">
        <v>8</v>
      </c>
      <c r="H134" s="413">
        <v>1</v>
      </c>
      <c r="I134" s="35"/>
      <c r="J134" s="213">
        <f t="shared" si="2"/>
        <v>0</v>
      </c>
      <c r="K134" s="5"/>
      <c r="L134" s="5"/>
      <c r="M134" s="5"/>
    </row>
    <row r="135" spans="1:13" s="604" customFormat="1">
      <c r="A135" s="779">
        <v>8</v>
      </c>
      <c r="C135" s="593" t="str">
        <f>DEO!C135</f>
        <v>TOTAL O&amp;M   (sum lines 1, 3, 5a, 6, 7 less lines 1a, 1b, 1c, 2, 3b, 4, 5)</v>
      </c>
      <c r="D135" s="631"/>
      <c r="E135" s="481">
        <f>E121-E122-E123-E124-E125+E126-E128-E130-E131+E132+E133+E134</f>
        <v>21130475</v>
      </c>
      <c r="F135" s="597"/>
      <c r="G135" s="597"/>
      <c r="H135" s="597"/>
      <c r="I135" s="597"/>
      <c r="J135" s="481">
        <f>J121-J122-J123-J124-J125+J126-J128-J130-J131+J132+J133+J134</f>
        <v>1757453</v>
      </c>
      <c r="K135" s="597"/>
      <c r="L135" s="597"/>
      <c r="M135" s="597"/>
    </row>
    <row r="136" spans="1:13">
      <c r="A136" s="779"/>
      <c r="B136" s="64"/>
      <c r="C136" s="604"/>
      <c r="D136" s="631"/>
      <c r="E136" s="210"/>
      <c r="F136" s="35"/>
      <c r="G136" s="35"/>
      <c r="H136" s="35"/>
      <c r="I136" s="35"/>
      <c r="J136" s="210"/>
      <c r="K136" s="5"/>
      <c r="L136" s="5"/>
      <c r="M136" s="5"/>
    </row>
    <row r="137" spans="1:13">
      <c r="A137" s="778"/>
      <c r="C137" s="585" t="str">
        <f>DEO!C137</f>
        <v>DEPRECIATION AND AMORTIZATION EXPENSE</v>
      </c>
      <c r="D137" s="760"/>
      <c r="E137" s="212"/>
      <c r="F137" s="5"/>
      <c r="G137" s="5"/>
      <c r="H137" s="5"/>
      <c r="I137" s="5"/>
      <c r="J137" s="212"/>
      <c r="K137" s="5"/>
      <c r="L137" s="5"/>
      <c r="M137" s="5"/>
    </row>
    <row r="138" spans="1:13">
      <c r="A138" s="778">
        <v>9</v>
      </c>
      <c r="C138" s="585" t="str">
        <f>DEO!C138</f>
        <v xml:space="preserve">  Transmission </v>
      </c>
      <c r="D138" s="954" t="str">
        <f>DEO!D138</f>
        <v>336.7.f</v>
      </c>
      <c r="E138" s="414">
        <f>INPUT!D68</f>
        <v>1098117</v>
      </c>
      <c r="F138" s="5"/>
      <c r="G138" s="5" t="s">
        <v>15</v>
      </c>
      <c r="H138" s="14">
        <f>J194</f>
        <v>0.71528999999999998</v>
      </c>
      <c r="I138" s="5"/>
      <c r="J138" s="338">
        <f>ROUND(H138*E138,0)</f>
        <v>785472</v>
      </c>
      <c r="K138" s="5"/>
      <c r="L138" s="18"/>
      <c r="M138" s="5"/>
    </row>
    <row r="139" spans="1:13">
      <c r="A139" s="778">
        <v>10</v>
      </c>
      <c r="C139" s="585" t="str">
        <f>DEO!C139</f>
        <v xml:space="preserve">  General &amp; Intangible</v>
      </c>
      <c r="D139" s="954" t="str">
        <f>DEO!D139</f>
        <v xml:space="preserve">336.1.f &amp; 336.10.f </v>
      </c>
      <c r="E139" s="340">
        <f>INPUT!D69</f>
        <v>2211981</v>
      </c>
      <c r="F139" s="5"/>
      <c r="G139" s="602" t="s">
        <v>152</v>
      </c>
      <c r="H139" s="14">
        <f>DEKWagesAllocator</f>
        <v>3.2980000000000002E-2</v>
      </c>
      <c r="I139" s="5"/>
      <c r="J139" s="212">
        <f>ROUND(H139*E139,0)</f>
        <v>72951</v>
      </c>
      <c r="K139" s="5"/>
      <c r="L139" s="18"/>
      <c r="M139" s="5"/>
    </row>
    <row r="140" spans="1:13" ht="15.75" thickBot="1">
      <c r="A140" s="778">
        <v>11</v>
      </c>
      <c r="C140" s="585" t="str">
        <f>DEO!C140</f>
        <v xml:space="preserve">  Common</v>
      </c>
      <c r="D140" s="954" t="str">
        <f>DEO!D140</f>
        <v>336.11.f</v>
      </c>
      <c r="E140" s="412">
        <f>INPUT!D70</f>
        <v>1164341</v>
      </c>
      <c r="F140" s="5"/>
      <c r="G140" s="5" t="s">
        <v>80</v>
      </c>
      <c r="H140" s="14">
        <f>H133</f>
        <v>2.6620000000000001E-2</v>
      </c>
      <c r="I140" s="5"/>
      <c r="J140" s="213">
        <f>ROUND(H140*E140,0)</f>
        <v>30995</v>
      </c>
      <c r="K140" s="5"/>
      <c r="L140" s="18"/>
      <c r="M140" s="5"/>
    </row>
    <row r="141" spans="1:13">
      <c r="A141" s="778">
        <v>12</v>
      </c>
      <c r="C141" s="585" t="str">
        <f>DEO!C141</f>
        <v>TOTAL DEPRECIATION AND AMORTIZATION (Sum lines 9 - 11)</v>
      </c>
      <c r="D141" s="760"/>
      <c r="E141" s="482">
        <f>SUM(E138:E140)</f>
        <v>4474439</v>
      </c>
      <c r="F141" s="5"/>
      <c r="G141" s="5"/>
      <c r="H141" s="5"/>
      <c r="I141" s="5"/>
      <c r="J141" s="338">
        <f>SUM(J138:J140)</f>
        <v>889418</v>
      </c>
      <c r="K141" s="5"/>
      <c r="L141" s="5"/>
      <c r="M141" s="5"/>
    </row>
    <row r="142" spans="1:13">
      <c r="A142" s="778"/>
      <c r="C142" s="585"/>
      <c r="D142" s="760"/>
      <c r="E142" s="212"/>
      <c r="F142" s="5"/>
      <c r="G142" s="5"/>
      <c r="H142" s="5"/>
      <c r="I142" s="5"/>
      <c r="J142" s="212"/>
      <c r="K142" s="5"/>
      <c r="L142" s="5"/>
      <c r="M142" s="5"/>
    </row>
    <row r="143" spans="1:13">
      <c r="A143" s="778" t="s">
        <v>8</v>
      </c>
      <c r="C143" s="591" t="str">
        <f>DEO!C143</f>
        <v>TAXES OTHER THAN INCOME TAXES    (Note J)</v>
      </c>
      <c r="D143" s="955"/>
      <c r="E143" s="212"/>
      <c r="F143" s="5"/>
      <c r="G143" s="5"/>
      <c r="H143" s="5"/>
      <c r="I143" s="5"/>
      <c r="J143" s="212"/>
      <c r="K143" s="5"/>
      <c r="L143" s="5"/>
      <c r="M143" s="5"/>
    </row>
    <row r="144" spans="1:13">
      <c r="A144" s="778"/>
      <c r="C144" s="585" t="str">
        <f>DEO!C144</f>
        <v xml:space="preserve">  LABOR RELATED</v>
      </c>
      <c r="D144" s="955"/>
      <c r="E144" s="212"/>
      <c r="F144" s="5"/>
      <c r="G144" s="5"/>
      <c r="I144" s="5"/>
      <c r="J144" s="212"/>
      <c r="K144" s="5"/>
      <c r="L144" s="18"/>
      <c r="M144" s="5"/>
    </row>
    <row r="145" spans="1:15">
      <c r="A145" s="778">
        <v>13</v>
      </c>
      <c r="C145" s="589" t="str">
        <f>DEO!C145</f>
        <v>Payroll</v>
      </c>
      <c r="D145" s="954" t="str">
        <f>DEO!D145</f>
        <v>263.i</v>
      </c>
      <c r="E145" s="414">
        <f>INPUT!D75</f>
        <v>1898120</v>
      </c>
      <c r="F145" s="5"/>
      <c r="G145" s="602" t="s">
        <v>152</v>
      </c>
      <c r="H145" s="14">
        <f>DEKWagesAllocator</f>
        <v>3.2980000000000002E-2</v>
      </c>
      <c r="I145" s="5"/>
      <c r="J145" s="338">
        <f>ROUND(H145*E145,0)</f>
        <v>62600</v>
      </c>
      <c r="K145" s="5"/>
      <c r="L145" s="18"/>
      <c r="M145" s="5"/>
    </row>
    <row r="146" spans="1:15">
      <c r="A146" s="778">
        <v>14</v>
      </c>
      <c r="C146" s="589" t="str">
        <f>DEO!C146</f>
        <v>Highway and vehicle</v>
      </c>
      <c r="D146" s="954" t="str">
        <f>DEO!D146</f>
        <v>263.i</v>
      </c>
      <c r="E146" s="340">
        <f>INPUT!D76</f>
        <v>592</v>
      </c>
      <c r="F146" s="5"/>
      <c r="G146" s="602" t="s">
        <v>152</v>
      </c>
      <c r="H146" s="14">
        <f>DEKWagesAllocator</f>
        <v>3.2980000000000002E-2</v>
      </c>
      <c r="I146" s="5"/>
      <c r="J146" s="212">
        <f>ROUND(H146*E146,0)</f>
        <v>20</v>
      </c>
      <c r="K146" s="5"/>
      <c r="L146" s="18"/>
      <c r="M146" s="5"/>
    </row>
    <row r="147" spans="1:15">
      <c r="A147" s="778">
        <v>15</v>
      </c>
      <c r="C147" s="585" t="str">
        <f>DEO!C147</f>
        <v xml:space="preserve">  PLANT RELATED</v>
      </c>
      <c r="D147" s="956" t="s">
        <v>8</v>
      </c>
      <c r="E147" s="340"/>
      <c r="F147" s="5"/>
      <c r="G147" s="5"/>
      <c r="I147" s="5"/>
      <c r="J147" s="212"/>
      <c r="K147" s="5"/>
      <c r="L147" s="18"/>
      <c r="M147" s="5"/>
    </row>
    <row r="148" spans="1:15">
      <c r="A148" s="778">
        <v>16</v>
      </c>
      <c r="C148" s="589" t="str">
        <f>DEO!C148</f>
        <v>Property</v>
      </c>
      <c r="D148" s="954" t="str">
        <f>DEO!D148</f>
        <v>263.i</v>
      </c>
      <c r="E148" s="340">
        <f>INPUT!D78</f>
        <v>8926693</v>
      </c>
      <c r="F148" s="5"/>
      <c r="G148" s="5" t="s">
        <v>48</v>
      </c>
      <c r="H148" s="19">
        <f>H67</f>
        <v>2.5770000000000001E-2</v>
      </c>
      <c r="I148" s="5"/>
      <c r="J148" s="212">
        <f>ROUND(H148*E148,0)</f>
        <v>230041</v>
      </c>
      <c r="K148" s="5"/>
      <c r="L148" s="18"/>
      <c r="M148" s="5"/>
    </row>
    <row r="149" spans="1:15">
      <c r="A149" s="778">
        <v>17</v>
      </c>
      <c r="C149" s="589" t="str">
        <f>DEO!C149</f>
        <v>Gross Receipts</v>
      </c>
      <c r="D149" s="954" t="str">
        <f>DEO!D149</f>
        <v>263.i</v>
      </c>
      <c r="E149" s="340">
        <f>INPUT!D79</f>
        <v>0</v>
      </c>
      <c r="F149" s="5"/>
      <c r="G149" s="35" t="str">
        <f>G86</f>
        <v>NA</v>
      </c>
      <c r="H149" s="78" t="s">
        <v>158</v>
      </c>
      <c r="I149" s="5"/>
      <c r="J149" s="214">
        <v>0</v>
      </c>
      <c r="K149" s="5"/>
      <c r="L149" s="18"/>
      <c r="M149" s="5"/>
    </row>
    <row r="150" spans="1:15">
      <c r="A150" s="778">
        <v>18</v>
      </c>
      <c r="C150" s="589" t="str">
        <f>DEO!C150</f>
        <v>Other</v>
      </c>
      <c r="D150" s="954" t="str">
        <f>DEO!D150</f>
        <v>263.i</v>
      </c>
      <c r="E150" s="340">
        <f>INPUT!D80</f>
        <v>0</v>
      </c>
      <c r="F150" s="5"/>
      <c r="G150" s="5" t="str">
        <f>G148</f>
        <v>GP</v>
      </c>
      <c r="H150" s="19">
        <f>H148</f>
        <v>2.5770000000000001E-2</v>
      </c>
      <c r="I150" s="5"/>
      <c r="J150" s="212">
        <f>ROUND(H150*E150,0)</f>
        <v>0</v>
      </c>
      <c r="K150" s="5"/>
      <c r="L150" s="18"/>
      <c r="M150" s="5"/>
    </row>
    <row r="151" spans="1:15" ht="15.75" thickBot="1">
      <c r="A151" s="778">
        <v>19</v>
      </c>
      <c r="C151" s="589" t="str">
        <f>DEO!C151</f>
        <v>Payments in lieu of taxes</v>
      </c>
      <c r="D151" s="760"/>
      <c r="E151" s="412">
        <f>INPUT!D81</f>
        <v>0</v>
      </c>
      <c r="F151" s="5"/>
      <c r="G151" s="5" t="s">
        <v>48</v>
      </c>
      <c r="H151" s="19">
        <f>H148</f>
        <v>2.5770000000000001E-2</v>
      </c>
      <c r="I151" s="5"/>
      <c r="J151" s="213">
        <f>ROUND(H151*E151,0)</f>
        <v>0</v>
      </c>
      <c r="K151" s="5"/>
      <c r="L151" s="18"/>
      <c r="M151" s="5"/>
    </row>
    <row r="152" spans="1:15">
      <c r="A152" s="778">
        <v>20</v>
      </c>
      <c r="C152" s="585" t="str">
        <f>DEO!C152</f>
        <v>TOTAL OTHER TAXES  (sum lines 13 - 19)</v>
      </c>
      <c r="D152" s="760"/>
      <c r="E152" s="338">
        <f>E145+E146+E148+E149+E150+E151</f>
        <v>10825405</v>
      </c>
      <c r="F152" s="5"/>
      <c r="G152" s="5"/>
      <c r="H152" s="19"/>
      <c r="I152" s="5"/>
      <c r="J152" s="338">
        <f>J145+J146+J148+J149+J150+J151</f>
        <v>292661</v>
      </c>
      <c r="K152" s="5"/>
      <c r="L152" s="5"/>
      <c r="M152" s="5"/>
    </row>
    <row r="153" spans="1:15">
      <c r="A153" s="778"/>
      <c r="C153" s="585"/>
      <c r="D153" s="760"/>
      <c r="E153" s="212"/>
      <c r="F153" s="5"/>
      <c r="G153" s="5"/>
      <c r="H153" s="19"/>
      <c r="I153" s="5"/>
      <c r="J153" s="5"/>
      <c r="K153" s="5"/>
      <c r="L153" s="5"/>
      <c r="M153" s="5"/>
    </row>
    <row r="154" spans="1:15">
      <c r="A154" s="778" t="s">
        <v>62</v>
      </c>
      <c r="C154" s="585"/>
      <c r="D154" s="760"/>
      <c r="E154" s="5"/>
      <c r="F154" s="5"/>
      <c r="G154" s="5"/>
      <c r="H154" s="19"/>
      <c r="I154" s="5"/>
      <c r="J154" s="5"/>
      <c r="K154" s="5"/>
      <c r="L154" s="5"/>
      <c r="M154" s="5"/>
    </row>
    <row r="155" spans="1:15">
      <c r="A155" s="778" t="s">
        <v>8</v>
      </c>
      <c r="C155" s="585" t="str">
        <f>DEO!C155</f>
        <v>INCOME TAXES           (Note K)</v>
      </c>
      <c r="D155" s="760"/>
      <c r="E155" s="5"/>
      <c r="F155" s="5"/>
      <c r="H155" s="16"/>
      <c r="I155" s="5"/>
      <c r="K155" s="5"/>
      <c r="M155" s="5"/>
    </row>
    <row r="156" spans="1:15">
      <c r="A156" s="778">
        <v>21</v>
      </c>
      <c r="C156" s="585" t="str">
        <f>DEO!C156</f>
        <v xml:space="preserve">     T=1 - {[(1 - SIT) * (1 - FIT)] / (1 - SIT * FIT * p)} =</v>
      </c>
      <c r="D156" s="760"/>
      <c r="E156" s="479">
        <f>IF(FIT&gt;0,1-(((1-SIT_DEK)*(1-FIT))/(1-SIT_DEK*FIT*E293)),0)</f>
        <v>0.24950000000000006</v>
      </c>
      <c r="F156" s="5"/>
      <c r="H156" s="16"/>
      <c r="I156" s="5"/>
      <c r="K156" s="5"/>
      <c r="M156" s="5"/>
    </row>
    <row r="157" spans="1:15">
      <c r="A157" s="778">
        <v>22</v>
      </c>
      <c r="C157" s="585" t="str">
        <f>DEO!C157</f>
        <v xml:space="preserve">     CIT=(T/1-T) * (1-(WCLTD/R)) =</v>
      </c>
      <c r="D157" s="760"/>
      <c r="E157" s="375">
        <f>IF(J236&gt;0,(E156/(1-E156))*(1-WCLTD_DEK/R_DEK),0)</f>
        <v>0.26213681740458505</v>
      </c>
      <c r="F157" s="5"/>
      <c r="H157" s="16"/>
      <c r="I157" s="5"/>
      <c r="K157" s="5"/>
      <c r="M157" s="5"/>
    </row>
    <row r="158" spans="1:15">
      <c r="A158" s="778"/>
      <c r="C158" s="585" t="str">
        <f>DEO!C158</f>
        <v xml:space="preserve">       where WCLTD=(page 4, line 27) and R= (page 4, line 30)</v>
      </c>
      <c r="D158" s="760"/>
      <c r="E158" s="5"/>
      <c r="F158" s="5"/>
      <c r="H158" s="16"/>
      <c r="I158" s="5"/>
      <c r="K158" s="5"/>
      <c r="M158" s="5"/>
    </row>
    <row r="159" spans="1:15">
      <c r="A159" s="778"/>
      <c r="C159" s="585" t="str">
        <f>DEO!C159</f>
        <v xml:space="preserve">       and FIT, SIT &amp; p are as given in footnote K.</v>
      </c>
      <c r="D159" s="760"/>
      <c r="E159" s="5"/>
      <c r="F159" s="5"/>
      <c r="H159" s="16"/>
      <c r="I159" s="5"/>
      <c r="K159" s="5"/>
      <c r="M159" s="5"/>
    </row>
    <row r="160" spans="1:15">
      <c r="A160" s="778">
        <v>23</v>
      </c>
      <c r="C160" s="585" t="str">
        <f>DEO!C160</f>
        <v xml:space="preserve">      1 / (1 - T)  = (from line 21)</v>
      </c>
      <c r="D160" s="760"/>
      <c r="E160" s="576">
        <f>IF(E156&gt;0,1/(1-E156),0)</f>
        <v>1.3324450366422387</v>
      </c>
      <c r="F160" s="5"/>
      <c r="H160" s="16"/>
      <c r="I160" s="5"/>
      <c r="J160" s="212"/>
      <c r="K160" s="5"/>
      <c r="M160" s="5"/>
      <c r="N160" s="557"/>
      <c r="O160" s="557"/>
    </row>
    <row r="161" spans="1:15">
      <c r="A161" s="778">
        <v>24</v>
      </c>
      <c r="C161" s="585" t="str">
        <f>DEO!C161</f>
        <v>Amortized Investment Tax Credit</v>
      </c>
      <c r="D161" s="954" t="str">
        <f>DEO!D161</f>
        <v>266.8.f (enter negative)</v>
      </c>
      <c r="E161" s="489">
        <f>INPUT!D91</f>
        <v>-11090</v>
      </c>
      <c r="F161" s="5"/>
      <c r="H161" s="16"/>
      <c r="I161" s="5"/>
      <c r="J161" s="212"/>
      <c r="K161" s="5"/>
      <c r="M161" s="5"/>
      <c r="N161" s="557"/>
      <c r="O161" s="557"/>
    </row>
    <row r="162" spans="1:15">
      <c r="A162" s="778"/>
      <c r="C162" s="585"/>
      <c r="D162" s="760"/>
      <c r="E162" s="212"/>
      <c r="F162" s="5"/>
      <c r="H162" s="16"/>
      <c r="I162" s="5"/>
      <c r="J162" s="212"/>
      <c r="K162" s="5"/>
      <c r="M162" s="5"/>
    </row>
    <row r="163" spans="1:15">
      <c r="A163" s="778">
        <v>25</v>
      </c>
      <c r="C163" s="585" t="str">
        <f>DEO!C163</f>
        <v>Income Tax Calculation (line 22 * line 28)</v>
      </c>
      <c r="D163" s="959"/>
      <c r="E163" s="338">
        <f>ROUND(E157*E167,0)</f>
        <v>11892166</v>
      </c>
      <c r="F163" s="5"/>
      <c r="G163" s="5" t="s">
        <v>31</v>
      </c>
      <c r="H163" s="19"/>
      <c r="I163" s="5"/>
      <c r="J163" s="338">
        <f>ROUND(E157*J167,0)</f>
        <v>413415</v>
      </c>
      <c r="K163" s="5"/>
      <c r="L163" s="15" t="s">
        <v>8</v>
      </c>
      <c r="M163" s="5"/>
    </row>
    <row r="164" spans="1:15" ht="15.75" thickBot="1">
      <c r="A164" s="778">
        <v>26</v>
      </c>
      <c r="C164" s="585" t="str">
        <f>DEO!C164</f>
        <v>ITC adjustment (line 23 * line 24)</v>
      </c>
      <c r="D164" s="959"/>
      <c r="E164" s="213">
        <f>ROUND(E160*E161,0)</f>
        <v>-14777</v>
      </c>
      <c r="F164" s="5"/>
      <c r="G164" s="12" t="s">
        <v>46</v>
      </c>
      <c r="H164" s="19">
        <f>H83</f>
        <v>3.4520000000000002E-2</v>
      </c>
      <c r="I164" s="5"/>
      <c r="J164" s="213">
        <f>ROUND(H164*E164,0)</f>
        <v>-510</v>
      </c>
      <c r="K164" s="5"/>
      <c r="L164" s="15"/>
      <c r="M164" s="5"/>
    </row>
    <row r="165" spans="1:15">
      <c r="A165" s="778">
        <v>27</v>
      </c>
      <c r="C165" s="585" t="str">
        <f>DEO!C165</f>
        <v>Total Income Taxes</v>
      </c>
      <c r="D165" s="954" t="str">
        <f>DEO!D165</f>
        <v>(line 25 plus line 26)</v>
      </c>
      <c r="E165" s="341">
        <f>E163+E164</f>
        <v>11877389</v>
      </c>
      <c r="F165" s="5"/>
      <c r="G165" s="5" t="s">
        <v>8</v>
      </c>
      <c r="H165" s="19" t="s">
        <v>8</v>
      </c>
      <c r="I165" s="5"/>
      <c r="J165" s="341">
        <f>J163+J164</f>
        <v>412905</v>
      </c>
      <c r="K165" s="5"/>
      <c r="L165" s="5"/>
      <c r="M165" s="5"/>
    </row>
    <row r="166" spans="1:15">
      <c r="A166" s="778" t="s">
        <v>8</v>
      </c>
      <c r="C166" s="615"/>
      <c r="D166" s="960"/>
      <c r="E166" s="212"/>
      <c r="F166" s="5"/>
      <c r="G166" s="5"/>
      <c r="H166" s="19"/>
      <c r="I166" s="5"/>
      <c r="J166" s="212"/>
      <c r="K166" s="5"/>
      <c r="L166" s="5"/>
      <c r="M166" s="5"/>
    </row>
    <row r="167" spans="1:15">
      <c r="A167" s="778">
        <v>28</v>
      </c>
      <c r="C167" s="585" t="str">
        <f>DEO!C167</f>
        <v xml:space="preserve">RETURN </v>
      </c>
      <c r="D167" s="961"/>
      <c r="E167" s="338">
        <f>ROUND($J236*E101,0)</f>
        <v>45366257</v>
      </c>
      <c r="F167" s="5"/>
      <c r="G167" s="5" t="s">
        <v>31</v>
      </c>
      <c r="H167" s="16"/>
      <c r="I167" s="5"/>
      <c r="J167" s="338">
        <f>ROUND($J236*J101,0)</f>
        <v>1577096</v>
      </c>
      <c r="K167" s="5"/>
      <c r="M167" s="5"/>
    </row>
    <row r="168" spans="1:15">
      <c r="A168" s="778"/>
      <c r="C168" s="852" t="str">
        <f>DEO!C168</f>
        <v xml:space="preserve">  [Rate Base (page 2, line 30) * Rate of Return (page 4, line 30)]</v>
      </c>
      <c r="D168" s="955"/>
      <c r="E168" s="212"/>
      <c r="F168" s="5"/>
      <c r="G168" s="5"/>
      <c r="H168" s="16"/>
      <c r="I168" s="5"/>
      <c r="J168" s="212"/>
      <c r="K168" s="5"/>
      <c r="L168" s="18"/>
      <c r="M168" s="5"/>
    </row>
    <row r="169" spans="1:15">
      <c r="A169" s="778"/>
      <c r="C169" s="585"/>
      <c r="D169" s="955"/>
      <c r="E169" s="215"/>
      <c r="F169" s="5"/>
      <c r="G169" s="5"/>
      <c r="H169" s="16"/>
      <c r="I169" s="5"/>
      <c r="J169" s="215"/>
      <c r="K169" s="5"/>
      <c r="L169" s="18"/>
      <c r="M169" s="5"/>
    </row>
    <row r="170" spans="1:15" ht="15.75" thickBot="1">
      <c r="A170" s="778">
        <v>29</v>
      </c>
      <c r="C170" s="585" t="str">
        <f>DEO!C170</f>
        <v>REV. REQUIREMENT  (sum lines 8, 12, 20, 27, 28)</v>
      </c>
      <c r="D170" s="760"/>
      <c r="E170" s="342">
        <f>E167+E165+E152+E141+E135</f>
        <v>93673965</v>
      </c>
      <c r="F170" s="89"/>
      <c r="G170" s="89"/>
      <c r="H170" s="89"/>
      <c r="I170" s="89"/>
      <c r="J170" s="342">
        <f>J167+J165+J152+J141+J135</f>
        <v>4929533</v>
      </c>
      <c r="K170" s="1"/>
      <c r="L170" s="1"/>
      <c r="M170" s="1"/>
    </row>
    <row r="171" spans="1:15" ht="15.75" thickTop="1">
      <c r="A171" s="778"/>
      <c r="C171" s="3"/>
      <c r="D171" s="5"/>
      <c r="E171" s="89"/>
      <c r="F171" s="5"/>
      <c r="G171" s="5"/>
      <c r="H171" s="5"/>
      <c r="I171" s="5"/>
      <c r="J171" s="89"/>
      <c r="K171" s="1"/>
      <c r="L171" s="1"/>
      <c r="M171" s="1"/>
    </row>
    <row r="172" spans="1:15">
      <c r="A172" s="778"/>
      <c r="C172" s="3"/>
      <c r="D172" s="5"/>
      <c r="E172" s="89"/>
      <c r="F172" s="5"/>
      <c r="G172" s="5"/>
      <c r="H172" s="5"/>
      <c r="I172" s="5"/>
      <c r="J172" s="89"/>
      <c r="K172" s="1"/>
      <c r="L172" s="1"/>
      <c r="M172" s="1"/>
    </row>
    <row r="173" spans="1:15">
      <c r="A173" s="778"/>
      <c r="C173" s="27"/>
      <c r="D173" s="27"/>
      <c r="E173" s="28"/>
      <c r="F173" s="27"/>
      <c r="G173" s="27"/>
      <c r="H173" s="27"/>
      <c r="I173" s="29"/>
      <c r="K173" s="30"/>
      <c r="L173" s="88"/>
      <c r="M173" s="30"/>
    </row>
    <row r="174" spans="1:15" ht="18">
      <c r="A174" s="781"/>
      <c r="C174" s="27"/>
      <c r="D174" s="27"/>
      <c r="E174" s="28"/>
      <c r="F174" s="27"/>
      <c r="G174" s="27"/>
      <c r="H174" s="27"/>
      <c r="I174" s="29"/>
      <c r="J174" s="74" t="s">
        <v>318</v>
      </c>
      <c r="M174" s="87"/>
    </row>
    <row r="175" spans="1:15">
      <c r="C175" s="27"/>
      <c r="D175" s="27"/>
      <c r="E175" s="28"/>
      <c r="F175" s="27"/>
      <c r="G175" s="27"/>
      <c r="H175" s="27"/>
      <c r="I175" s="29"/>
      <c r="J175" s="74" t="s">
        <v>444</v>
      </c>
      <c r="M175" s="74"/>
    </row>
    <row r="176" spans="1:15">
      <c r="C176" s="27"/>
      <c r="D176" s="27"/>
      <c r="E176" s="28"/>
      <c r="F176" s="27"/>
      <c r="G176" s="27"/>
      <c r="H176" s="27"/>
      <c r="I176" s="29"/>
      <c r="M176" s="74"/>
    </row>
    <row r="177" spans="1:13">
      <c r="C177" s="27"/>
      <c r="D177" s="27"/>
      <c r="E177" s="28"/>
      <c r="F177" s="27"/>
      <c r="G177" s="27"/>
      <c r="H177" s="27"/>
      <c r="I177" s="29"/>
      <c r="M177" s="74"/>
    </row>
    <row r="178" spans="1:13">
      <c r="C178" s="27"/>
      <c r="D178" s="27"/>
      <c r="E178" s="28"/>
      <c r="F178" s="27"/>
      <c r="G178" s="27"/>
      <c r="H178" s="27"/>
      <c r="I178" s="29"/>
      <c r="M178" s="74"/>
    </row>
    <row r="179" spans="1:13">
      <c r="C179" s="27"/>
      <c r="D179" s="27"/>
      <c r="E179" s="28"/>
      <c r="F179" s="27"/>
      <c r="G179" s="27"/>
      <c r="H179" s="27"/>
      <c r="I179" s="29"/>
      <c r="J179" s="74"/>
      <c r="M179" s="74"/>
    </row>
    <row r="180" spans="1:13">
      <c r="C180" s="27" t="s">
        <v>7</v>
      </c>
      <c r="D180" s="27"/>
      <c r="E180" s="28"/>
      <c r="F180" s="27"/>
      <c r="G180" s="27"/>
      <c r="H180" s="27"/>
      <c r="I180" s="29"/>
      <c r="J180" s="88" t="str">
        <f>J7</f>
        <v>For the 12 months ended: 12/31/2017</v>
      </c>
      <c r="M180" s="74"/>
    </row>
    <row r="181" spans="1:13">
      <c r="A181" s="782" t="str">
        <f>A8</f>
        <v>Rate Formula Template</v>
      </c>
      <c r="B181" s="260"/>
      <c r="C181" s="260"/>
      <c r="D181" s="258"/>
      <c r="E181" s="260"/>
      <c r="F181" s="258"/>
      <c r="G181" s="258"/>
      <c r="H181" s="258"/>
      <c r="I181" s="258"/>
      <c r="J181" s="260"/>
      <c r="K181" s="255"/>
      <c r="L181" s="260"/>
      <c r="M181" s="1"/>
    </row>
    <row r="182" spans="1:13">
      <c r="A182" s="783" t="s">
        <v>289</v>
      </c>
      <c r="B182" s="260"/>
      <c r="C182" s="258"/>
      <c r="D182" s="261"/>
      <c r="E182" s="260"/>
      <c r="F182" s="261"/>
      <c r="G182" s="261"/>
      <c r="H182" s="261"/>
      <c r="I182" s="258"/>
      <c r="J182" s="258"/>
      <c r="K182" s="255"/>
      <c r="L182" s="255"/>
      <c r="M182" s="1"/>
    </row>
    <row r="183" spans="1:13">
      <c r="A183" s="783"/>
      <c r="B183" s="260"/>
      <c r="C183" s="255"/>
      <c r="D183" s="255"/>
      <c r="E183" s="260"/>
      <c r="F183" s="255"/>
      <c r="G183" s="255"/>
      <c r="H183" s="255"/>
      <c r="I183" s="255"/>
      <c r="J183" s="255"/>
      <c r="K183" s="255"/>
      <c r="L183" s="255"/>
      <c r="M183" s="5"/>
    </row>
    <row r="184" spans="1:13" ht="15.75">
      <c r="A184" s="967" t="str">
        <f>$A$11</f>
        <v>DUKE ENERGY KENTUCKY (DEK)</v>
      </c>
      <c r="B184" s="260"/>
      <c r="C184" s="255"/>
      <c r="D184" s="255"/>
      <c r="E184" s="260"/>
      <c r="F184" s="255"/>
      <c r="G184" s="255"/>
      <c r="H184" s="255"/>
      <c r="I184" s="255"/>
      <c r="J184" s="255"/>
      <c r="K184" s="255"/>
      <c r="L184" s="255"/>
      <c r="M184" s="5"/>
    </row>
    <row r="185" spans="1:13" ht="15.75">
      <c r="A185" s="784" t="s">
        <v>290</v>
      </c>
      <c r="B185" s="109"/>
      <c r="C185" s="109"/>
      <c r="D185" s="109"/>
      <c r="E185" s="109"/>
      <c r="F185" s="257"/>
      <c r="G185" s="257"/>
      <c r="H185" s="257"/>
      <c r="I185" s="257"/>
      <c r="J185" s="257"/>
      <c r="K185" s="256"/>
      <c r="L185" s="256"/>
      <c r="M185" s="5"/>
    </row>
    <row r="186" spans="1:13" ht="15.75">
      <c r="A186" s="778" t="s">
        <v>9</v>
      </c>
      <c r="C186" s="13"/>
      <c r="D186" s="1"/>
      <c r="E186" s="1"/>
      <c r="F186" s="1"/>
      <c r="G186" s="1"/>
      <c r="H186" s="1"/>
      <c r="I186" s="1"/>
      <c r="J186" s="1"/>
      <c r="K186" s="5"/>
      <c r="L186" s="5"/>
      <c r="M186" s="5"/>
    </row>
    <row r="187" spans="1:13" ht="15.75">
      <c r="A187" s="787" t="s">
        <v>11</v>
      </c>
      <c r="B187" s="271"/>
      <c r="C187" s="361" t="str">
        <f>DEO!C187</f>
        <v>TRANSMISSION PLANT INCLUDED IN ISO RATES</v>
      </c>
      <c r="D187" s="63"/>
      <c r="E187" s="63"/>
      <c r="F187" s="63"/>
      <c r="G187" s="63"/>
      <c r="H187" s="63"/>
      <c r="I187" s="64"/>
      <c r="J187" s="64"/>
      <c r="K187" s="35"/>
      <c r="L187" s="5"/>
      <c r="M187" s="5"/>
    </row>
    <row r="188" spans="1:13">
      <c r="A188" s="778"/>
      <c r="C188" s="626"/>
      <c r="D188" s="63"/>
      <c r="E188" s="63"/>
      <c r="F188" s="63"/>
      <c r="G188" s="63"/>
      <c r="H188" s="63"/>
      <c r="I188" s="63"/>
      <c r="J188" s="63"/>
      <c r="K188" s="35"/>
      <c r="L188" s="5"/>
      <c r="M188" s="5"/>
    </row>
    <row r="189" spans="1:13">
      <c r="A189" s="778">
        <v>1</v>
      </c>
      <c r="C189" s="601" t="str">
        <f>DEO!C189</f>
        <v>Total transmission plant (page 2, line 2, column 3)</v>
      </c>
      <c r="D189" s="63"/>
      <c r="E189" s="35"/>
      <c r="F189" s="35"/>
      <c r="G189" s="35"/>
      <c r="H189" s="35"/>
      <c r="I189" s="35"/>
      <c r="J189" s="481">
        <f>E63</f>
        <v>57966223</v>
      </c>
      <c r="K189" s="35"/>
      <c r="L189" s="5"/>
      <c r="M189" s="5"/>
    </row>
    <row r="190" spans="1:13">
      <c r="A190" s="778">
        <v>2</v>
      </c>
      <c r="C190" s="392" t="str">
        <f>DEO!C190</f>
        <v>Less transmission plant excluded from ISO rates  (Note M)</v>
      </c>
      <c r="D190" s="64"/>
      <c r="E190" s="64"/>
      <c r="F190" s="64"/>
      <c r="G190" s="64"/>
      <c r="H190" s="64"/>
      <c r="I190" s="64"/>
      <c r="J190" s="218">
        <f>INPUT!D95</f>
        <v>0</v>
      </c>
      <c r="K190" s="35"/>
      <c r="L190" s="5"/>
      <c r="M190" s="5"/>
    </row>
    <row r="191" spans="1:13" ht="15.75" thickBot="1">
      <c r="A191" s="778">
        <v>3</v>
      </c>
      <c r="C191" s="393" t="str">
        <f>DEO!C191</f>
        <v>Less transmission plant included in OATT Ancillary Services  (Note N)</v>
      </c>
      <c r="D191" s="65"/>
      <c r="E191" s="66"/>
      <c r="F191" s="35"/>
      <c r="G191" s="35"/>
      <c r="H191" s="67"/>
      <c r="I191" s="35"/>
      <c r="J191" s="219">
        <f>INPUT!D96</f>
        <v>16503652</v>
      </c>
      <c r="K191" s="35"/>
      <c r="L191" s="5"/>
      <c r="M191" s="5"/>
    </row>
    <row r="192" spans="1:13">
      <c r="A192" s="778">
        <v>4</v>
      </c>
      <c r="C192" s="601" t="str">
        <f>DEO!C192</f>
        <v>Transmission plant included in ISO Rates  (line 1 less lines 2 &amp; 3)</v>
      </c>
      <c r="D192" s="63"/>
      <c r="E192" s="35"/>
      <c r="F192" s="35"/>
      <c r="G192" s="35"/>
      <c r="H192" s="67"/>
      <c r="I192" s="35"/>
      <c r="J192" s="481">
        <f>J189-J190-J191</f>
        <v>41462571</v>
      </c>
      <c r="K192" s="35"/>
      <c r="L192" s="5"/>
      <c r="M192" s="5"/>
    </row>
    <row r="193" spans="1:15">
      <c r="A193" s="778"/>
      <c r="C193" s="604"/>
      <c r="D193" s="63"/>
      <c r="E193" s="35"/>
      <c r="F193" s="35"/>
      <c r="G193" s="35"/>
      <c r="H193" s="67"/>
      <c r="I193" s="35"/>
      <c r="J193" s="64"/>
      <c r="K193" s="35"/>
      <c r="L193" s="5"/>
      <c r="M193" s="5"/>
    </row>
    <row r="194" spans="1:15">
      <c r="A194" s="778">
        <v>5</v>
      </c>
      <c r="C194" s="601" t="str">
        <f>DEO!C194</f>
        <v>Percentage of transmission plant included in ISO Rates (line 4 divided by line 1)</v>
      </c>
      <c r="D194" s="68"/>
      <c r="E194" s="69"/>
      <c r="F194" s="69"/>
      <c r="G194" s="69"/>
      <c r="H194" s="70"/>
      <c r="I194" s="35" t="s">
        <v>67</v>
      </c>
      <c r="J194" s="59">
        <f>IF(J189&gt;0,ROUND(J192/J189,5),0)</f>
        <v>0.71528999999999998</v>
      </c>
      <c r="K194" s="35"/>
      <c r="L194" s="5"/>
      <c r="M194" s="5"/>
    </row>
    <row r="195" spans="1:15">
      <c r="A195" s="778"/>
      <c r="C195" s="604"/>
      <c r="D195" s="64"/>
      <c r="E195" s="64"/>
      <c r="F195" s="64"/>
      <c r="G195" s="64"/>
      <c r="H195" s="64"/>
      <c r="I195" s="64"/>
      <c r="J195" s="64"/>
      <c r="K195" s="35"/>
      <c r="L195" s="5"/>
      <c r="M195" s="5"/>
      <c r="N195" s="220"/>
      <c r="O195" s="220"/>
    </row>
    <row r="196" spans="1:15" ht="15.75">
      <c r="A196" s="778"/>
      <c r="C196" s="360" t="str">
        <f>DEO!C196</f>
        <v xml:space="preserve">TRANSMISSION EXPENSES </v>
      </c>
      <c r="D196" s="64"/>
      <c r="E196" s="64"/>
      <c r="F196" s="64"/>
      <c r="G196" s="64"/>
      <c r="H196" s="64"/>
      <c r="I196" s="64"/>
      <c r="J196" s="64"/>
      <c r="K196" s="35"/>
      <c r="L196" s="5"/>
      <c r="M196" s="5"/>
      <c r="N196" s="220"/>
      <c r="O196" s="220"/>
    </row>
    <row r="197" spans="1:15">
      <c r="A197" s="778"/>
      <c r="C197" s="604"/>
      <c r="D197" s="64"/>
      <c r="E197" s="64"/>
      <c r="F197" s="64"/>
      <c r="G197" s="64"/>
      <c r="H197" s="64"/>
      <c r="I197" s="64"/>
      <c r="J197" s="64"/>
      <c r="K197" s="35"/>
      <c r="L197" s="5"/>
      <c r="M197" s="5"/>
      <c r="N197" s="712"/>
      <c r="O197" s="712"/>
    </row>
    <row r="198" spans="1:15">
      <c r="A198" s="778">
        <v>6</v>
      </c>
      <c r="C198" s="604" t="str">
        <f>DEO!C198</f>
        <v>Total transmission expenses    (page 3, line 1, column 3)</v>
      </c>
      <c r="D198" s="64"/>
      <c r="E198" s="63"/>
      <c r="F198" s="63"/>
      <c r="G198" s="63"/>
      <c r="H198" s="71"/>
      <c r="I198" s="63"/>
      <c r="J198" s="481">
        <f>E121</f>
        <v>17246032</v>
      </c>
      <c r="K198" s="35"/>
      <c r="L198" s="5"/>
      <c r="M198" s="5"/>
      <c r="N198" s="89"/>
      <c r="O198" s="221"/>
    </row>
    <row r="199" spans="1:15" ht="15.75" thickBot="1">
      <c r="A199" s="778">
        <v>7</v>
      </c>
      <c r="C199" s="393" t="str">
        <f>DEO!C199</f>
        <v>Less transmission expenses included in OATT Ancillary Services  (Note L)</v>
      </c>
      <c r="D199" s="65"/>
      <c r="E199" s="66"/>
      <c r="F199" s="66"/>
      <c r="G199" s="35"/>
      <c r="H199" s="35"/>
      <c r="I199" s="35"/>
      <c r="J199" s="219">
        <f>INPUT!D100</f>
        <v>588987</v>
      </c>
      <c r="K199" s="35"/>
      <c r="L199" s="5"/>
      <c r="M199" s="5"/>
      <c r="N199" s="89"/>
      <c r="O199" s="221"/>
    </row>
    <row r="200" spans="1:15">
      <c r="A200" s="778">
        <v>8</v>
      </c>
      <c r="C200" s="601" t="str">
        <f>DEO!C200</f>
        <v>Included transmission expenses (line 6 less line 7)</v>
      </c>
      <c r="D200" s="68"/>
      <c r="E200" s="69"/>
      <c r="F200" s="69"/>
      <c r="G200" s="69"/>
      <c r="H200" s="70"/>
      <c r="I200" s="69"/>
      <c r="J200" s="481">
        <f>J198-J199</f>
        <v>16657045</v>
      </c>
      <c r="K200" s="64"/>
      <c r="M200" s="5"/>
      <c r="N200" s="89"/>
      <c r="O200" s="221"/>
    </row>
    <row r="201" spans="1:15">
      <c r="A201" s="778"/>
      <c r="C201" s="601"/>
      <c r="D201" s="63"/>
      <c r="E201" s="35"/>
      <c r="F201" s="35"/>
      <c r="G201" s="35"/>
      <c r="H201" s="35"/>
      <c r="I201" s="64"/>
      <c r="J201" s="64"/>
      <c r="K201" s="64"/>
      <c r="M201" s="5"/>
      <c r="N201" s="89"/>
      <c r="O201" s="221"/>
    </row>
    <row r="202" spans="1:15">
      <c r="A202" s="778">
        <v>9</v>
      </c>
      <c r="C202" s="601" t="str">
        <f>DEO!C202</f>
        <v>Percentage of transmission expenses after adjustment (line 8 divided by line 6)</v>
      </c>
      <c r="D202" s="63"/>
      <c r="E202" s="35"/>
      <c r="F202" s="35"/>
      <c r="G202" s="35"/>
      <c r="H202" s="35"/>
      <c r="I202" s="35"/>
      <c r="J202" s="61">
        <f>IF(J198&gt;0,ROUND(J200/J198,5),0)</f>
        <v>0.96584999999999999</v>
      </c>
      <c r="K202" s="64"/>
      <c r="M202" s="5"/>
      <c r="N202" s="222"/>
      <c r="O202" s="222"/>
    </row>
    <row r="203" spans="1:15">
      <c r="A203" s="778">
        <v>10</v>
      </c>
      <c r="C203" s="601" t="str">
        <f>DEO!C203</f>
        <v>Percentage of transmission plant included in ISO Rates (line 5)</v>
      </c>
      <c r="D203" s="63"/>
      <c r="E203" s="35"/>
      <c r="F203" s="35"/>
      <c r="G203" s="35"/>
      <c r="H203" s="35"/>
      <c r="I203" s="63" t="s">
        <v>15</v>
      </c>
      <c r="J203" s="72">
        <f>J194</f>
        <v>0.71528999999999998</v>
      </c>
      <c r="K203" s="64"/>
      <c r="M203" s="5"/>
      <c r="N203" s="220"/>
      <c r="O203" s="222"/>
    </row>
    <row r="204" spans="1:15">
      <c r="A204" s="778">
        <v>11</v>
      </c>
      <c r="C204" s="601" t="str">
        <f>DEO!C204</f>
        <v>Percentage of transmission expenses included in ISO Rates (line 9 times line 10)</v>
      </c>
      <c r="D204" s="63"/>
      <c r="E204" s="63"/>
      <c r="F204" s="63"/>
      <c r="G204" s="63"/>
      <c r="H204" s="63"/>
      <c r="I204" s="63" t="s">
        <v>66</v>
      </c>
      <c r="J204" s="73">
        <f>ROUND(J203*J202,5)</f>
        <v>0.69086000000000003</v>
      </c>
      <c r="K204" s="64"/>
      <c r="M204" s="5"/>
      <c r="N204" s="220"/>
      <c r="O204" s="222"/>
    </row>
    <row r="205" spans="1:15">
      <c r="A205" s="778"/>
      <c r="C205" s="670"/>
      <c r="D205" s="1"/>
      <c r="E205" s="5"/>
      <c r="F205" s="5"/>
      <c r="G205" s="5"/>
      <c r="H205" s="6"/>
      <c r="I205" s="5"/>
      <c r="M205" s="5"/>
      <c r="N205" s="220"/>
      <c r="O205" s="223"/>
    </row>
    <row r="206" spans="1:15" ht="15.75">
      <c r="A206" s="778" t="s">
        <v>8</v>
      </c>
      <c r="C206" s="13" t="str">
        <f>DEO!C206</f>
        <v>WAGES &amp; SALARY ALLOCATOR   (WS)</v>
      </c>
      <c r="D206" s="5"/>
      <c r="E206" s="5"/>
      <c r="F206" s="5"/>
      <c r="G206" s="5"/>
      <c r="H206" s="5"/>
      <c r="I206" s="5"/>
      <c r="J206" s="5"/>
      <c r="K206" s="5"/>
      <c r="L206" s="5"/>
      <c r="M206" s="5"/>
      <c r="N206" s="89"/>
      <c r="O206" s="221"/>
    </row>
    <row r="207" spans="1:15" ht="15.75" thickBot="1">
      <c r="A207" s="778" t="s">
        <v>8</v>
      </c>
      <c r="C207" s="585"/>
      <c r="D207" s="42" t="s">
        <v>69</v>
      </c>
      <c r="E207" s="43" t="s">
        <v>70</v>
      </c>
      <c r="F207" s="43" t="s">
        <v>15</v>
      </c>
      <c r="G207" s="5"/>
      <c r="H207" s="43" t="s">
        <v>71</v>
      </c>
      <c r="I207" s="5"/>
      <c r="J207" s="5"/>
      <c r="K207" s="5"/>
      <c r="L207" s="5"/>
      <c r="M207" s="5"/>
      <c r="N207" s="89"/>
      <c r="O207" s="221"/>
    </row>
    <row r="208" spans="1:15">
      <c r="A208" s="778">
        <v>12</v>
      </c>
      <c r="C208" s="585" t="str">
        <f>DEO!C208</f>
        <v xml:space="preserve">  Production</v>
      </c>
      <c r="D208" s="622" t="str">
        <f>DEO!D208</f>
        <v>354.20.b</v>
      </c>
      <c r="E208" s="489">
        <f>INPUT!D105</f>
        <v>12343501</v>
      </c>
      <c r="F208" s="79">
        <v>0</v>
      </c>
      <c r="G208" s="21"/>
      <c r="H208" s="212">
        <f>E208*F208</f>
        <v>0</v>
      </c>
      <c r="I208" s="5"/>
      <c r="J208" s="5"/>
      <c r="K208" s="5"/>
      <c r="L208" s="5"/>
      <c r="M208" s="5"/>
      <c r="N208" s="220"/>
      <c r="O208" s="220"/>
    </row>
    <row r="209" spans="1:15">
      <c r="A209" s="778">
        <v>13</v>
      </c>
      <c r="C209" s="585" t="str">
        <f>DEO!C209</f>
        <v xml:space="preserve">  Transmission</v>
      </c>
      <c r="D209" s="622" t="str">
        <f>DEO!D209</f>
        <v>354.21.b</v>
      </c>
      <c r="E209" s="489">
        <f>INPUT!D106</f>
        <v>976914</v>
      </c>
      <c r="F209" s="21">
        <f>J194</f>
        <v>0.71528999999999998</v>
      </c>
      <c r="G209" s="21"/>
      <c r="H209" s="212">
        <f>E209*F209</f>
        <v>698776.81505999994</v>
      </c>
      <c r="I209" s="5"/>
      <c r="J209" s="5"/>
      <c r="K209" s="5"/>
      <c r="L209" s="5"/>
      <c r="M209" s="1"/>
      <c r="N209" s="220"/>
      <c r="O209" s="220"/>
    </row>
    <row r="210" spans="1:15">
      <c r="A210" s="778">
        <v>14</v>
      </c>
      <c r="C210" s="585" t="str">
        <f>DEO!C210</f>
        <v xml:space="preserve">  Distribution</v>
      </c>
      <c r="D210" s="622" t="str">
        <f>DEO!D210</f>
        <v>354.23.b</v>
      </c>
      <c r="E210" s="489">
        <f>INPUT!D107</f>
        <v>4924247</v>
      </c>
      <c r="F210" s="79">
        <v>0</v>
      </c>
      <c r="G210" s="21"/>
      <c r="H210" s="212">
        <f>E210*F210</f>
        <v>0</v>
      </c>
      <c r="I210" s="5"/>
      <c r="J210" s="6" t="str">
        <f>DEO!J210</f>
        <v>WS Allocator</v>
      </c>
      <c r="K210" s="5"/>
      <c r="L210" s="5"/>
      <c r="M210" s="5"/>
      <c r="N210" s="220"/>
      <c r="O210" s="220"/>
    </row>
    <row r="211" spans="1:15" ht="15.75" thickBot="1">
      <c r="A211" s="778">
        <v>15</v>
      </c>
      <c r="C211" s="585" t="str">
        <f>DEO!C211</f>
        <v xml:space="preserve">  Other</v>
      </c>
      <c r="D211" s="622" t="str">
        <f>DEO!D211</f>
        <v>354.24,25,26.b</v>
      </c>
      <c r="E211" s="488">
        <f>INPUT!D108</f>
        <v>2943445</v>
      </c>
      <c r="F211" s="79">
        <v>0</v>
      </c>
      <c r="G211" s="21"/>
      <c r="H211" s="213">
        <f>E211*F211</f>
        <v>0</v>
      </c>
      <c r="I211" s="5"/>
      <c r="J211" s="38" t="s">
        <v>74</v>
      </c>
      <c r="K211" s="5"/>
      <c r="L211" s="5"/>
      <c r="M211" s="5"/>
    </row>
    <row r="212" spans="1:15">
      <c r="A212" s="778">
        <v>16</v>
      </c>
      <c r="C212" s="585" t="str">
        <f>DEO!C212</f>
        <v xml:space="preserve">  Total Electric (sum lines 12-15)</v>
      </c>
      <c r="D212" s="5"/>
      <c r="E212" s="487">
        <f>SUM(E208:E211)</f>
        <v>21188107</v>
      </c>
      <c r="F212" s="5"/>
      <c r="G212" s="5"/>
      <c r="H212" s="212">
        <f>SUM(H208:H211)</f>
        <v>698776.81505999994</v>
      </c>
      <c r="I212" s="4" t="s">
        <v>75</v>
      </c>
      <c r="J212" s="14">
        <f>IF(H212&gt;0,ROUND(H212/E212,5),0)</f>
        <v>3.2980000000000002E-2</v>
      </c>
      <c r="K212" s="6" t="s">
        <v>75</v>
      </c>
      <c r="L212" s="5" t="s">
        <v>152</v>
      </c>
      <c r="M212" s="5"/>
    </row>
    <row r="213" spans="1:15">
      <c r="A213" s="778"/>
      <c r="C213" s="585"/>
      <c r="D213" s="5"/>
      <c r="E213" s="484"/>
      <c r="F213" s="5"/>
      <c r="G213" s="5"/>
      <c r="H213" s="5"/>
      <c r="I213" s="5"/>
      <c r="J213" s="5"/>
      <c r="K213" s="5"/>
      <c r="L213" s="5"/>
      <c r="M213" s="5" t="s">
        <v>8</v>
      </c>
    </row>
    <row r="214" spans="1:15" ht="15.75">
      <c r="A214" s="778"/>
      <c r="C214" s="394" t="str">
        <f>DEO!C214</f>
        <v>COMMON PLANT ALLOCATOR  (CE)</v>
      </c>
      <c r="D214" s="5"/>
      <c r="E214" s="484"/>
      <c r="F214" s="5"/>
      <c r="G214" s="5"/>
      <c r="M214" s="5"/>
    </row>
    <row r="215" spans="1:15" ht="15.75" thickBot="1">
      <c r="A215" s="778"/>
      <c r="C215" s="585"/>
      <c r="D215" s="5"/>
      <c r="E215" s="485" t="s">
        <v>70</v>
      </c>
      <c r="F215" s="5"/>
      <c r="G215" s="5"/>
      <c r="H215" s="6" t="str">
        <f>DEO!H215</f>
        <v>% Electric</v>
      </c>
      <c r="I215" s="16" t="s">
        <v>8</v>
      </c>
      <c r="J215" s="6" t="str">
        <f>DEO!J215</f>
        <v>WS Allocator</v>
      </c>
      <c r="M215" s="5"/>
    </row>
    <row r="216" spans="1:15">
      <c r="A216" s="778">
        <v>17</v>
      </c>
      <c r="C216" s="585" t="str">
        <f>DEO!C216</f>
        <v xml:space="preserve">  Electric</v>
      </c>
      <c r="D216" s="622" t="str">
        <f>DEO!D216</f>
        <v>200.3.c</v>
      </c>
      <c r="E216" s="489">
        <f>INPUT!D113</f>
        <v>1480052147</v>
      </c>
      <c r="F216" s="5"/>
      <c r="H216" s="6" t="str">
        <f>DEO!H216</f>
        <v>(line 17 / line 20)</v>
      </c>
      <c r="I216" s="32"/>
      <c r="J216" s="6" t="str">
        <f>DEO!J216</f>
        <v>(line 16)</v>
      </c>
      <c r="K216" s="5"/>
      <c r="L216" s="425" t="s">
        <v>80</v>
      </c>
      <c r="M216" s="5"/>
    </row>
    <row r="217" spans="1:15">
      <c r="A217" s="778">
        <v>18</v>
      </c>
      <c r="C217" s="585" t="str">
        <f>DEO!C217</f>
        <v xml:space="preserve">  Gas</v>
      </c>
      <c r="D217" s="622" t="str">
        <f>DEO!D217</f>
        <v>201.3.d</v>
      </c>
      <c r="E217" s="489">
        <f>INPUT!D114</f>
        <v>353950050</v>
      </c>
      <c r="F217" s="5"/>
      <c r="H217" s="19">
        <f>IF(E219&gt;0,ROUND(E216/E219,5),0)</f>
        <v>0.80701000000000001</v>
      </c>
      <c r="I217" s="6" t="s">
        <v>82</v>
      </c>
      <c r="J217" s="19">
        <f>J212</f>
        <v>3.2980000000000002E-2</v>
      </c>
      <c r="K217" s="16" t="s">
        <v>75</v>
      </c>
      <c r="L217" s="426">
        <f>ROUND(J217*H217,5)</f>
        <v>2.6620000000000001E-2</v>
      </c>
      <c r="M217" s="5"/>
    </row>
    <row r="218" spans="1:15" ht="15.75" thickBot="1">
      <c r="A218" s="778">
        <v>19</v>
      </c>
      <c r="C218" s="51" t="str">
        <f>DEO!C218</f>
        <v xml:space="preserve">  Water</v>
      </c>
      <c r="D218" s="51" t="str">
        <f>DEO!D218</f>
        <v>201.3.e</v>
      </c>
      <c r="E218" s="488">
        <f>INPUT!D115</f>
        <v>0</v>
      </c>
      <c r="F218" s="5"/>
      <c r="G218" s="5"/>
      <c r="H218" s="5" t="s">
        <v>8</v>
      </c>
      <c r="I218" s="5"/>
      <c r="J218" s="5"/>
      <c r="K218" s="5"/>
      <c r="L218" s="5"/>
      <c r="M218" s="5"/>
    </row>
    <row r="219" spans="1:15">
      <c r="A219" s="778">
        <v>20</v>
      </c>
      <c r="C219" s="585" t="str">
        <f>DEO!C219</f>
        <v xml:space="preserve">  Total  (sum lines 17 - 19)</v>
      </c>
      <c r="D219" s="5"/>
      <c r="E219" s="212">
        <f>E216+E217+E218</f>
        <v>1834002197</v>
      </c>
      <c r="F219" s="5"/>
      <c r="G219" s="5"/>
      <c r="H219" s="5"/>
      <c r="I219" s="5"/>
      <c r="J219" s="5"/>
      <c r="K219" s="5"/>
      <c r="L219" s="5"/>
      <c r="M219" s="5"/>
    </row>
    <row r="220" spans="1:15">
      <c r="A220" s="778"/>
      <c r="C220" s="585"/>
      <c r="D220" s="5"/>
      <c r="F220" s="5"/>
      <c r="G220" s="5"/>
      <c r="H220" s="5"/>
      <c r="I220" s="5"/>
      <c r="J220" s="5"/>
      <c r="K220" s="5"/>
      <c r="L220" s="5"/>
      <c r="M220" s="5"/>
    </row>
    <row r="221" spans="1:15" ht="16.5" thickBot="1">
      <c r="A221" s="778"/>
      <c r="B221" s="29"/>
      <c r="C221" s="359" t="str">
        <f>DEO!C221</f>
        <v>RETURN (R)</v>
      </c>
      <c r="D221" s="5"/>
      <c r="E221" s="5"/>
      <c r="F221" s="5"/>
      <c r="G221" s="5"/>
      <c r="H221" s="5"/>
      <c r="I221" s="5"/>
      <c r="J221" s="43" t="s">
        <v>70</v>
      </c>
      <c r="K221" s="5"/>
      <c r="L221" s="5"/>
      <c r="M221" s="5"/>
    </row>
    <row r="222" spans="1:15">
      <c r="A222" s="778">
        <v>21</v>
      </c>
      <c r="B222" s="29"/>
      <c r="C222" s="595"/>
      <c r="D222" s="622" t="str">
        <f>DEO!D222</f>
        <v>Long Term Interest (117, sum of 62.c through 67.c)</v>
      </c>
      <c r="E222" s="5"/>
      <c r="F222" s="5"/>
      <c r="G222" s="5"/>
      <c r="H222" s="5"/>
      <c r="I222" s="5"/>
      <c r="J222" s="478">
        <f>INPUT!D119</f>
        <v>15640433</v>
      </c>
      <c r="K222" s="5"/>
      <c r="L222" s="5"/>
      <c r="M222" s="5"/>
    </row>
    <row r="223" spans="1:15">
      <c r="A223" s="778"/>
      <c r="C223" s="585"/>
      <c r="D223" s="5"/>
      <c r="E223" s="5"/>
      <c r="F223" s="5"/>
      <c r="G223" s="5"/>
      <c r="H223" s="5"/>
      <c r="I223" s="5"/>
      <c r="J223" s="487"/>
      <c r="K223" s="5"/>
      <c r="L223" s="5"/>
      <c r="M223" s="5"/>
    </row>
    <row r="224" spans="1:15">
      <c r="A224" s="778">
        <v>22</v>
      </c>
      <c r="B224" s="29"/>
      <c r="C224" s="583"/>
      <c r="D224" s="622" t="str">
        <f>DEO!D224</f>
        <v>Preferred Dividends (118.29.c) (positive number)</v>
      </c>
      <c r="E224" s="5"/>
      <c r="F224" s="5"/>
      <c r="G224" s="5"/>
      <c r="H224" s="5"/>
      <c r="I224" s="35"/>
      <c r="J224" s="477">
        <f>INPUT!D121</f>
        <v>0</v>
      </c>
      <c r="K224" s="5"/>
      <c r="L224" s="5"/>
      <c r="M224" s="5"/>
    </row>
    <row r="225" spans="1:13">
      <c r="A225" s="778"/>
      <c r="B225" s="29"/>
      <c r="C225" s="583"/>
      <c r="D225" s="5"/>
      <c r="E225" s="5"/>
      <c r="F225" s="5"/>
      <c r="G225" s="5"/>
      <c r="H225" s="5"/>
      <c r="I225" s="5"/>
      <c r="J225" s="487"/>
      <c r="K225" s="5"/>
      <c r="L225" s="5"/>
      <c r="M225" s="5"/>
    </row>
    <row r="226" spans="1:13">
      <c r="A226" s="778"/>
      <c r="B226" s="29"/>
      <c r="C226" s="583" t="str">
        <f>DEO!C226</f>
        <v xml:space="preserve">                                          Development of Common Stock:</v>
      </c>
      <c r="D226" s="5"/>
      <c r="E226" s="5"/>
      <c r="F226" s="5"/>
      <c r="G226" s="5"/>
      <c r="H226" s="5"/>
      <c r="I226" s="5"/>
      <c r="J226" s="487"/>
      <c r="K226" s="5"/>
      <c r="L226" s="5"/>
      <c r="M226" s="5"/>
    </row>
    <row r="227" spans="1:13">
      <c r="A227" s="778">
        <v>23</v>
      </c>
      <c r="B227" s="29"/>
      <c r="C227" s="583"/>
      <c r="D227" s="622" t="str">
        <f>DEO!D227</f>
        <v>Proprietary Capital (112.16.c)</v>
      </c>
      <c r="E227" s="29"/>
      <c r="F227" s="5"/>
      <c r="G227" s="5"/>
      <c r="H227" s="5"/>
      <c r="I227" s="5"/>
      <c r="J227" s="489">
        <f>INPUT!D124</f>
        <v>511414427</v>
      </c>
      <c r="K227" s="5"/>
      <c r="L227" s="5"/>
      <c r="M227" s="5"/>
    </row>
    <row r="228" spans="1:13">
      <c r="A228" s="778">
        <v>24</v>
      </c>
      <c r="B228" s="29"/>
      <c r="C228" s="583"/>
      <c r="D228" s="622" t="str">
        <f>DEO!D228</f>
        <v xml:space="preserve">Less Preferred Stock (line 28) </v>
      </c>
      <c r="E228" s="5"/>
      <c r="F228" s="5"/>
      <c r="G228" s="5"/>
      <c r="H228" s="5"/>
      <c r="I228" s="5"/>
      <c r="J228" s="483">
        <f>INPUT!D125</f>
        <v>0</v>
      </c>
      <c r="K228" s="5"/>
      <c r="L228" s="5"/>
      <c r="M228" s="5"/>
    </row>
    <row r="229" spans="1:13" ht="15.75" thickBot="1">
      <c r="A229" s="778">
        <v>25</v>
      </c>
      <c r="B229" s="29"/>
      <c r="C229" s="583"/>
      <c r="D229" s="622" t="str">
        <f>DEO!D229</f>
        <v>Less Account 216.1 (112.12.c)  (enter negative)</v>
      </c>
      <c r="E229" s="5"/>
      <c r="F229" s="5"/>
      <c r="G229" s="5"/>
      <c r="H229" s="5"/>
      <c r="I229" s="5"/>
      <c r="J229" s="488">
        <f>INPUT!D126</f>
        <v>0</v>
      </c>
      <c r="K229" s="5"/>
      <c r="L229" s="5"/>
      <c r="M229" s="5"/>
    </row>
    <row r="230" spans="1:13">
      <c r="A230" s="778">
        <v>26</v>
      </c>
      <c r="B230" s="29"/>
      <c r="C230" s="595"/>
      <c r="D230" s="622" t="str">
        <f>DEO!D230</f>
        <v>Common Stock (sum lines 23-25)</v>
      </c>
      <c r="E230" s="29"/>
      <c r="F230" s="29"/>
      <c r="G230" s="29"/>
      <c r="H230" s="29"/>
      <c r="I230" s="29"/>
      <c r="J230" s="212">
        <f>J227+J228+J229</f>
        <v>511414427</v>
      </c>
      <c r="K230" s="5"/>
      <c r="L230" s="5"/>
      <c r="M230" s="5"/>
    </row>
    <row r="231" spans="1:13">
      <c r="A231" s="778"/>
      <c r="C231" s="585"/>
      <c r="D231" s="5"/>
      <c r="E231" s="5"/>
      <c r="F231" s="5"/>
      <c r="G231" s="5"/>
      <c r="H231" s="6"/>
      <c r="I231" s="5"/>
      <c r="J231" s="5"/>
      <c r="K231" s="5"/>
      <c r="L231" s="5"/>
      <c r="M231" s="5"/>
    </row>
    <row r="232" spans="1:13" ht="15.75" thickBot="1">
      <c r="A232" s="778"/>
      <c r="C232" s="585"/>
      <c r="D232" s="622" t="str">
        <f>DEO!D232</f>
        <v>(Note P)</v>
      </c>
      <c r="E232" s="38" t="s">
        <v>70</v>
      </c>
      <c r="F232" s="38" t="s">
        <v>88</v>
      </c>
      <c r="G232" s="5"/>
      <c r="H232" s="38" t="s">
        <v>87</v>
      </c>
      <c r="I232" s="5"/>
      <c r="J232" s="38" t="s">
        <v>89</v>
      </c>
      <c r="K232" s="5"/>
      <c r="L232" s="5"/>
      <c r="M232" s="5"/>
    </row>
    <row r="233" spans="1:13">
      <c r="A233" s="778">
        <v>27</v>
      </c>
      <c r="C233" s="626" t="str">
        <f>DEO!C233</f>
        <v xml:space="preserve">  Long Term Debt (112, sum of 18.c through 21.c)</v>
      </c>
      <c r="E233" s="489">
        <f>INPUT!D130</f>
        <v>451720000</v>
      </c>
      <c r="F233" s="52">
        <f>IF($E$236&gt;0,E233/$E$236,0)</f>
        <v>0.46901033473284826</v>
      </c>
      <c r="G233" s="22"/>
      <c r="H233" s="22">
        <f>IF(E233&gt;0,J222/E233,0)</f>
        <v>3.4624176481005936E-2</v>
      </c>
      <c r="J233" s="22">
        <f>ROUND(H233*F233,4)</f>
        <v>1.6199999999999999E-2</v>
      </c>
      <c r="K233" s="23" t="s">
        <v>90</v>
      </c>
      <c r="M233" s="5"/>
    </row>
    <row r="234" spans="1:13">
      <c r="A234" s="778">
        <v>28</v>
      </c>
      <c r="C234" s="626" t="str">
        <f>DEO!C234</f>
        <v xml:space="preserve">  Preferred Stock  (112.3.c)</v>
      </c>
      <c r="E234" s="489">
        <f>INPUT!D131</f>
        <v>0</v>
      </c>
      <c r="F234" s="52">
        <f>IF($E$236&gt;0,E234/$E$236,0)</f>
        <v>0</v>
      </c>
      <c r="G234" s="22"/>
      <c r="H234" s="22">
        <f>IF(E234&gt;0,J224/E234,0)</f>
        <v>0</v>
      </c>
      <c r="J234" s="22">
        <f>ROUND(H234*F234,4)</f>
        <v>0</v>
      </c>
      <c r="K234" s="5"/>
      <c r="M234" s="5"/>
    </row>
    <row r="235" spans="1:13" ht="16.5" thickBot="1">
      <c r="A235" s="778">
        <v>29</v>
      </c>
      <c r="C235" s="583" t="str">
        <f>DEO!C235</f>
        <v xml:space="preserve">  Common Stock  (line 26)</v>
      </c>
      <c r="E235" s="213">
        <f>J230</f>
        <v>511414427</v>
      </c>
      <c r="F235" s="52">
        <f>IF($E$236&gt;0,E235/$E$236,0)</f>
        <v>0.53098966526715174</v>
      </c>
      <c r="G235" s="22"/>
      <c r="H235" s="198">
        <f>ROE</f>
        <v>0.1138</v>
      </c>
      <c r="J235" s="58">
        <f>ROUND(H235*F235,4)</f>
        <v>6.0400000000000002E-2</v>
      </c>
      <c r="K235" s="5"/>
      <c r="M235" s="5"/>
    </row>
    <row r="236" spans="1:13">
      <c r="A236" s="778">
        <v>30</v>
      </c>
      <c r="C236" s="585" t="str">
        <f>DEO!C236</f>
        <v>Total  (sum lines 27-29)</v>
      </c>
      <c r="E236" s="212">
        <f>E235+E234+E233</f>
        <v>963134427</v>
      </c>
      <c r="F236" s="5" t="s">
        <v>8</v>
      </c>
      <c r="G236" s="5"/>
      <c r="H236" s="5"/>
      <c r="I236" s="5"/>
      <c r="J236" s="22">
        <f>SUM(J233:J235)</f>
        <v>7.6600000000000001E-2</v>
      </c>
      <c r="K236" s="23" t="s">
        <v>92</v>
      </c>
      <c r="M236" s="5"/>
    </row>
    <row r="237" spans="1:13">
      <c r="C237" s="670"/>
      <c r="F237" s="5"/>
      <c r="G237" s="5"/>
      <c r="H237" s="5"/>
      <c r="I237" s="5"/>
      <c r="M237" s="5"/>
    </row>
    <row r="238" spans="1:13">
      <c r="C238" s="670"/>
      <c r="L238" s="5"/>
      <c r="M238" s="5"/>
    </row>
    <row r="239" spans="1:13" ht="15.75">
      <c r="A239" s="778"/>
      <c r="C239" s="359" t="str">
        <f>DEO!C239</f>
        <v>REVENUE CREDITS</v>
      </c>
      <c r="D239" s="29"/>
      <c r="E239" s="29"/>
      <c r="F239" s="29"/>
      <c r="G239" s="29"/>
      <c r="H239" s="29"/>
      <c r="I239" s="29"/>
      <c r="J239" s="29"/>
      <c r="K239" s="29"/>
      <c r="L239" s="29"/>
      <c r="M239" s="5"/>
    </row>
    <row r="240" spans="1:13" ht="15.75" thickBot="1">
      <c r="A240" s="778"/>
      <c r="C240" s="583"/>
      <c r="D240" s="27"/>
      <c r="E240" s="27"/>
      <c r="F240" s="27"/>
      <c r="G240" s="27"/>
      <c r="H240" s="27"/>
      <c r="I240" s="27"/>
      <c r="J240" s="38" t="s">
        <v>135</v>
      </c>
      <c r="K240" s="55"/>
    </row>
    <row r="241" spans="1:13">
      <c r="A241" s="778"/>
      <c r="C241" s="584" t="str">
        <f>DEO!C241</f>
        <v>ACCOUNT 447 (SALES FOR RESALE)  (Note Q)</v>
      </c>
      <c r="D241" s="29"/>
      <c r="E241" s="29" t="str">
        <f>DEO!E241</f>
        <v>(310-311)</v>
      </c>
      <c r="F241" s="29"/>
      <c r="G241" s="29"/>
      <c r="H241" s="33" t="s">
        <v>8</v>
      </c>
      <c r="I241" s="26"/>
      <c r="J241" s="224"/>
      <c r="K241" s="224"/>
    </row>
    <row r="242" spans="1:13">
      <c r="A242" s="778">
        <v>31</v>
      </c>
      <c r="C242" s="670" t="str">
        <f>DEO!C242</f>
        <v xml:space="preserve">  a. Bundled Non-RQ Sales for Resale (311.x.h)</v>
      </c>
      <c r="D242" s="29"/>
      <c r="E242" s="29"/>
      <c r="G242" s="29"/>
      <c r="I242" s="26"/>
      <c r="J242" s="377">
        <v>0</v>
      </c>
      <c r="K242" s="225"/>
    </row>
    <row r="243" spans="1:13" ht="15.75" thickBot="1">
      <c r="A243" s="778">
        <v>32</v>
      </c>
      <c r="C243" s="53" t="str">
        <f>DEO!C243</f>
        <v xml:space="preserve">  b. Bundled Sales for Resale included in Divisor on page 1</v>
      </c>
      <c r="D243" s="50"/>
      <c r="E243" s="53"/>
      <c r="F243" s="49"/>
      <c r="G243" s="49"/>
      <c r="H243" s="49"/>
      <c r="I243" s="29"/>
      <c r="J243" s="378">
        <v>0</v>
      </c>
      <c r="K243" s="226"/>
    </row>
    <row r="244" spans="1:13">
      <c r="A244" s="778">
        <v>33</v>
      </c>
      <c r="C244" s="670" t="str">
        <f>DEO!C244</f>
        <v xml:space="preserve">  Total of (a)-(b)</v>
      </c>
      <c r="D244" s="1"/>
      <c r="F244" s="29"/>
      <c r="G244" s="29"/>
      <c r="H244" s="29"/>
      <c r="I244" s="29"/>
      <c r="J244" s="235">
        <f>J242-J243</f>
        <v>0</v>
      </c>
      <c r="K244" s="225"/>
    </row>
    <row r="245" spans="1:13">
      <c r="A245" s="778"/>
      <c r="C245" s="670" t="s">
        <v>8</v>
      </c>
      <c r="D245" s="1"/>
      <c r="F245" s="29"/>
      <c r="G245" s="29"/>
      <c r="H245" s="44"/>
      <c r="I245" s="29"/>
      <c r="J245" s="39" t="s">
        <v>8</v>
      </c>
      <c r="K245" s="224"/>
      <c r="L245" s="40"/>
      <c r="M245" s="5"/>
    </row>
    <row r="246" spans="1:13">
      <c r="A246" s="778">
        <v>34</v>
      </c>
      <c r="C246" s="584" t="str">
        <f>DEO!C246</f>
        <v>ACCOUNT 454 (RENT FROM ELECTRIC PROPERTY)    (Note R)</v>
      </c>
      <c r="D246" s="1"/>
      <c r="F246" s="29"/>
      <c r="G246" s="29"/>
      <c r="H246" s="54"/>
      <c r="I246" s="29"/>
      <c r="J246" s="107">
        <f>ROUND('P8 Rev Cred Support'!E25,0)</f>
        <v>14630</v>
      </c>
      <c r="K246" s="224"/>
      <c r="L246" s="40"/>
      <c r="M246" s="5"/>
    </row>
    <row r="247" spans="1:13">
      <c r="A247" s="778"/>
      <c r="C247" s="670"/>
      <c r="D247" s="29"/>
      <c r="E247" s="29"/>
      <c r="F247" s="29"/>
      <c r="G247" s="29"/>
      <c r="H247" s="29"/>
      <c r="I247" s="29"/>
      <c r="J247" s="75"/>
      <c r="K247" s="224"/>
      <c r="L247" s="40"/>
      <c r="M247" s="5"/>
    </row>
    <row r="248" spans="1:13">
      <c r="A248" s="779">
        <v>35</v>
      </c>
      <c r="B248" s="604"/>
      <c r="C248" s="392" t="str">
        <f>DEO!C248</f>
        <v>ACCOUNT 456.1 (OTHER ELECTRIC REVENUES)        (Note U)</v>
      </c>
      <c r="D248" s="601"/>
      <c r="E248" s="601" t="str">
        <f>DEO!E248</f>
        <v>(330.x.n)</v>
      </c>
      <c r="F248" s="29"/>
      <c r="G248" s="29"/>
      <c r="H248" s="29"/>
      <c r="I248" s="29"/>
      <c r="J248" s="107">
        <f>'P8 Rev Cred Support'!E51</f>
        <v>27598</v>
      </c>
      <c r="L248" s="41"/>
      <c r="M248" s="5"/>
    </row>
    <row r="249" spans="1:13">
      <c r="A249" s="779">
        <v>36</v>
      </c>
      <c r="B249" s="604"/>
      <c r="C249" s="392" t="str">
        <f>DEO!C249</f>
        <v>ACCOUNT 456.1 (OTHER ELECTRIC REVENUES)        (Note W)</v>
      </c>
      <c r="D249" s="601"/>
      <c r="E249" s="601" t="str">
        <f>DEO!E249</f>
        <v>(330.x.n)</v>
      </c>
      <c r="F249" s="595"/>
      <c r="G249" s="595"/>
      <c r="H249" s="595"/>
      <c r="I249" s="595"/>
      <c r="J249" s="107">
        <f>'P8 Rev Cred Support'!E43</f>
        <v>0</v>
      </c>
      <c r="K249" s="30"/>
      <c r="L249" s="88"/>
      <c r="M249" s="30"/>
    </row>
    <row r="250" spans="1:13" s="670" customFormat="1">
      <c r="A250" s="778"/>
      <c r="C250" s="583"/>
      <c r="D250" s="583"/>
      <c r="E250" s="28"/>
      <c r="F250" s="583"/>
      <c r="G250" s="583"/>
      <c r="H250" s="583"/>
      <c r="I250" s="595"/>
      <c r="K250" s="596"/>
      <c r="L250" s="88"/>
      <c r="M250" s="596"/>
    </row>
    <row r="251" spans="1:13" ht="18">
      <c r="A251" s="781"/>
      <c r="C251" s="27"/>
      <c r="D251" s="27"/>
      <c r="E251" s="28"/>
      <c r="F251" s="27"/>
      <c r="G251" s="27"/>
      <c r="H251" s="27"/>
      <c r="I251" s="29"/>
      <c r="J251" s="74" t="s">
        <v>318</v>
      </c>
      <c r="K251" s="87"/>
      <c r="M251" s="87"/>
    </row>
    <row r="252" spans="1:13">
      <c r="C252" s="27"/>
      <c r="D252" s="27"/>
      <c r="E252" s="28"/>
      <c r="F252" s="27"/>
      <c r="G252" s="27"/>
      <c r="H252" s="27"/>
      <c r="I252" s="29"/>
      <c r="J252" s="74" t="s">
        <v>443</v>
      </c>
      <c r="M252" s="74"/>
    </row>
    <row r="253" spans="1:13">
      <c r="C253" s="27"/>
      <c r="D253" s="27"/>
      <c r="E253" s="28"/>
      <c r="F253" s="27"/>
      <c r="G253" s="27"/>
      <c r="H253" s="27"/>
      <c r="I253" s="29"/>
      <c r="J253" s="74"/>
      <c r="M253" s="74"/>
    </row>
    <row r="254" spans="1:13">
      <c r="C254" s="27"/>
      <c r="D254" s="27"/>
      <c r="E254" s="28"/>
      <c r="F254" s="27"/>
      <c r="G254" s="27"/>
      <c r="H254" s="27"/>
      <c r="I254" s="29"/>
      <c r="M254" s="74"/>
    </row>
    <row r="255" spans="1:13">
      <c r="C255" s="27"/>
      <c r="D255" s="27"/>
      <c r="E255" s="28"/>
      <c r="F255" s="27"/>
      <c r="G255" s="27"/>
      <c r="H255" s="27"/>
      <c r="I255" s="29"/>
      <c r="K255" s="1"/>
      <c r="M255" s="74"/>
    </row>
    <row r="256" spans="1:13">
      <c r="C256" s="27" t="s">
        <v>7</v>
      </c>
      <c r="D256" s="27"/>
      <c r="E256" s="28"/>
      <c r="F256" s="27"/>
      <c r="G256" s="27"/>
      <c r="H256" s="27"/>
      <c r="I256" s="29"/>
      <c r="J256" s="74"/>
      <c r="K256" s="1"/>
      <c r="M256" s="74"/>
    </row>
    <row r="257" spans="1:15">
      <c r="C257" s="27"/>
      <c r="D257" s="27"/>
      <c r="E257" s="28"/>
      <c r="F257" s="27"/>
      <c r="G257" s="27"/>
      <c r="H257" s="27"/>
      <c r="I257" s="29"/>
      <c r="J257" s="88" t="str">
        <f>$J$7</f>
        <v>For the 12 months ended: 12/31/2017</v>
      </c>
      <c r="K257" s="1"/>
      <c r="M257" s="74"/>
    </row>
    <row r="258" spans="1:15">
      <c r="A258" s="795" t="str">
        <f>$A$8</f>
        <v>Rate Formula Template</v>
      </c>
      <c r="B258" s="260"/>
      <c r="C258" s="260"/>
      <c r="D258" s="258"/>
      <c r="E258" s="260"/>
      <c r="F258" s="258"/>
      <c r="G258" s="258"/>
      <c r="H258" s="258"/>
      <c r="I258" s="258"/>
      <c r="J258" s="260"/>
      <c r="K258" s="57"/>
      <c r="L258" s="260"/>
      <c r="M258" s="1"/>
    </row>
    <row r="259" spans="1:15">
      <c r="A259" s="790" t="s">
        <v>289</v>
      </c>
      <c r="B259" s="260"/>
      <c r="C259" s="258"/>
      <c r="D259" s="261"/>
      <c r="E259" s="260"/>
      <c r="F259" s="261"/>
      <c r="G259" s="261"/>
      <c r="H259" s="261"/>
      <c r="I259" s="258"/>
      <c r="J259" s="258"/>
      <c r="K259" s="57"/>
      <c r="L259" s="255"/>
      <c r="M259" s="1"/>
    </row>
    <row r="260" spans="1:15">
      <c r="A260" s="783"/>
      <c r="B260" s="260"/>
      <c r="C260" s="255"/>
      <c r="D260" s="255"/>
      <c r="E260" s="260"/>
      <c r="F260" s="255"/>
      <c r="G260" s="255"/>
      <c r="H260" s="255"/>
      <c r="I260" s="255"/>
      <c r="J260" s="255"/>
      <c r="K260" s="57"/>
      <c r="L260" s="255"/>
      <c r="M260" s="29"/>
    </row>
    <row r="261" spans="1:15" ht="15.75">
      <c r="A261" s="967" t="str">
        <f>$A$11</f>
        <v>DUKE ENERGY KENTUCKY (DEK)</v>
      </c>
      <c r="B261" s="260"/>
      <c r="C261" s="255"/>
      <c r="D261" s="255"/>
      <c r="E261" s="260"/>
      <c r="F261" s="255"/>
      <c r="G261" s="255"/>
      <c r="H261" s="255"/>
      <c r="I261" s="255"/>
      <c r="J261" s="255"/>
      <c r="K261" s="57"/>
      <c r="L261" s="255"/>
      <c r="M261" s="29"/>
    </row>
    <row r="262" spans="1:15" ht="15.75">
      <c r="A262" s="792"/>
      <c r="B262" s="29"/>
      <c r="C262" s="37"/>
      <c r="D262" s="30"/>
      <c r="E262" s="5"/>
      <c r="F262" s="5"/>
      <c r="G262" s="5"/>
      <c r="H262" s="5"/>
      <c r="I262" s="29"/>
      <c r="J262" s="228"/>
      <c r="K262" s="57"/>
      <c r="L262" s="227"/>
      <c r="M262" s="29"/>
    </row>
    <row r="263" spans="1:15" ht="20.25">
      <c r="A263" s="778"/>
      <c r="B263" s="29"/>
      <c r="C263" s="27" t="s">
        <v>97</v>
      </c>
      <c r="D263" s="30"/>
      <c r="E263" s="5"/>
      <c r="F263" s="5"/>
      <c r="G263" s="5"/>
      <c r="H263" s="5"/>
      <c r="I263" s="29"/>
      <c r="J263" s="5"/>
      <c r="K263" s="57"/>
      <c r="L263" s="5"/>
      <c r="M263" s="229"/>
    </row>
    <row r="264" spans="1:15" ht="20.25">
      <c r="A264" s="778"/>
      <c r="B264" s="29"/>
      <c r="C264" s="27" t="s">
        <v>671</v>
      </c>
      <c r="D264" s="29"/>
      <c r="E264" s="5"/>
      <c r="F264" s="5"/>
      <c r="G264" s="5"/>
      <c r="H264" s="5"/>
      <c r="I264" s="29"/>
      <c r="J264" s="5"/>
      <c r="K264" s="57"/>
      <c r="L264" s="5"/>
      <c r="M264" s="229"/>
    </row>
    <row r="265" spans="1:15" ht="20.25">
      <c r="A265" s="787" t="s">
        <v>669</v>
      </c>
      <c r="B265" s="29"/>
      <c r="C265" s="27"/>
      <c r="D265" s="29"/>
      <c r="E265" s="5"/>
      <c r="F265" s="5"/>
      <c r="G265" s="5"/>
      <c r="H265" s="5"/>
      <c r="I265" s="29"/>
      <c r="J265" s="5"/>
      <c r="K265" s="57"/>
      <c r="L265" s="5"/>
      <c r="M265" s="229"/>
    </row>
    <row r="266" spans="1:15" ht="20.25">
      <c r="A266" s="778" t="s">
        <v>100</v>
      </c>
      <c r="B266" s="595"/>
      <c r="C266" s="855" t="s">
        <v>677</v>
      </c>
      <c r="D266" s="57"/>
      <c r="E266" s="35"/>
      <c r="F266" s="35"/>
      <c r="G266" s="35"/>
      <c r="H266" s="35"/>
      <c r="I266" s="57"/>
      <c r="J266" s="35"/>
      <c r="K266" s="57"/>
      <c r="L266" s="35"/>
      <c r="M266" s="230"/>
      <c r="N266" s="557"/>
      <c r="O266" s="557"/>
    </row>
    <row r="267" spans="1:15" ht="20.25">
      <c r="A267" s="779" t="s">
        <v>101</v>
      </c>
      <c r="B267" s="601"/>
      <c r="C267" s="855" t="s">
        <v>784</v>
      </c>
      <c r="D267" s="57"/>
      <c r="E267" s="35"/>
      <c r="F267" s="35"/>
      <c r="G267" s="35"/>
      <c r="H267" s="35"/>
      <c r="I267" s="57"/>
      <c r="J267" s="35"/>
      <c r="K267" s="57"/>
      <c r="L267" s="35"/>
      <c r="M267" s="230"/>
      <c r="N267" s="557"/>
      <c r="O267" s="557"/>
    </row>
    <row r="268" spans="1:15" ht="20.25">
      <c r="A268" s="779" t="s">
        <v>102</v>
      </c>
      <c r="B268" s="601"/>
      <c r="C268" s="630" t="str">
        <f>DEO!C268</f>
        <v>Reserved</v>
      </c>
      <c r="D268" s="57"/>
      <c r="E268" s="57"/>
      <c r="F268" s="57"/>
      <c r="G268" s="57"/>
      <c r="H268" s="57"/>
      <c r="I268" s="57"/>
      <c r="J268" s="35"/>
      <c r="K268" s="57"/>
      <c r="L268" s="57"/>
      <c r="M268" s="230"/>
      <c r="N268" s="557"/>
      <c r="O268" s="557"/>
    </row>
    <row r="269" spans="1:15" s="594" customFormat="1" ht="20.25">
      <c r="A269" s="779" t="s">
        <v>103</v>
      </c>
      <c r="B269" s="601"/>
      <c r="C269" s="630" t="str">
        <f>DEO!C269</f>
        <v>Reserved</v>
      </c>
      <c r="D269" s="598"/>
      <c r="E269" s="598"/>
      <c r="F269" s="598"/>
      <c r="G269" s="598"/>
      <c r="H269" s="598"/>
      <c r="I269" s="598"/>
      <c r="J269" s="597"/>
      <c r="K269" s="598"/>
      <c r="L269" s="598"/>
      <c r="M269" s="599"/>
    </row>
    <row r="270" spans="1:15" s="594" customFormat="1" ht="20.25">
      <c r="A270" s="779" t="s">
        <v>104</v>
      </c>
      <c r="B270" s="601"/>
      <c r="C270" s="630" t="str">
        <f>DEO!C270</f>
        <v xml:space="preserve">DEOK will provide, in connection with each Annual Update, a copy of the entire annual actuarial valuation report supporting the derivation of the annual Postretirement Benefits </v>
      </c>
      <c r="D270" s="598"/>
      <c r="E270" s="598"/>
      <c r="F270" s="598"/>
      <c r="G270" s="598"/>
      <c r="H270" s="598"/>
      <c r="I270" s="598"/>
      <c r="J270" s="597"/>
      <c r="K270" s="598"/>
      <c r="L270" s="598"/>
      <c r="M270" s="599"/>
    </row>
    <row r="271" spans="1:15" ht="20.25">
      <c r="A271" s="779"/>
      <c r="B271" s="601"/>
      <c r="C271" s="630" t="str">
        <f>DEO!C271</f>
        <v>Other than Pensions (“PBOP”) expense as charged to FERC account 926, and the amount of such expense included in Total Admin and General Expenses provided on</v>
      </c>
      <c r="D271" s="57"/>
      <c r="E271" s="57"/>
      <c r="F271" s="57"/>
      <c r="G271" s="57"/>
      <c r="H271" s="57"/>
      <c r="I271" s="57"/>
      <c r="J271" s="35"/>
      <c r="K271" s="57"/>
      <c r="L271" s="57"/>
      <c r="M271" s="230"/>
    </row>
    <row r="272" spans="1:15" s="670" customFormat="1" ht="20.25">
      <c r="A272" s="779"/>
      <c r="B272" s="601"/>
      <c r="C272" s="630" t="str">
        <f>DEO!C272</f>
        <v xml:space="preserve">Attachment H-22A, page 3 of 6, line 3 of the Formula Rate.  DEOK will provide, in connection with each Annual Update, a worksheet that shows the actual PBOP expense </v>
      </c>
      <c r="D272" s="601"/>
      <c r="E272" s="601"/>
      <c r="F272" s="601"/>
      <c r="G272" s="601"/>
      <c r="H272" s="601"/>
      <c r="I272" s="601"/>
      <c r="J272" s="597"/>
      <c r="K272" s="601"/>
      <c r="L272" s="601"/>
      <c r="M272" s="599"/>
    </row>
    <row r="273" spans="1:13" s="670" customFormat="1" ht="20.25">
      <c r="A273" s="779"/>
      <c r="B273" s="601"/>
      <c r="C273" s="630" t="str">
        <f>DEO!C273</f>
        <v xml:space="preserve">components and calculation derivation (including, for each account to which PBOP expense is recorded, the account number, expense amount, description, calculation </v>
      </c>
      <c r="D273" s="601"/>
      <c r="E273" s="601"/>
      <c r="F273" s="601"/>
      <c r="G273" s="601"/>
      <c r="H273" s="601"/>
      <c r="I273" s="601"/>
      <c r="J273" s="597"/>
      <c r="K273" s="601"/>
      <c r="L273" s="601"/>
      <c r="M273" s="599"/>
    </row>
    <row r="274" spans="1:13" s="670" customFormat="1" ht="20.25">
      <c r="A274" s="779"/>
      <c r="B274" s="601"/>
      <c r="C274" s="630" t="str">
        <f>DEO!C274</f>
        <v>derivation and source).</v>
      </c>
      <c r="D274" s="601"/>
      <c r="E274" s="601"/>
      <c r="F274" s="601"/>
      <c r="G274" s="601"/>
      <c r="H274" s="601"/>
      <c r="I274" s="601"/>
      <c r="J274" s="597"/>
      <c r="K274" s="601"/>
      <c r="L274" s="601"/>
      <c r="M274" s="599"/>
    </row>
    <row r="275" spans="1:13" ht="20.25">
      <c r="A275" s="778" t="s">
        <v>105</v>
      </c>
      <c r="B275" s="595"/>
      <c r="C275" s="630" t="str">
        <f>DEO!C275</f>
        <v>The balances in Accounts 190, 281, 282 and 283, as adjusted by any amounts in contra accounts identified as regulatory assets or liabilities related to FASB 106 or 109.</v>
      </c>
      <c r="D275" s="57"/>
      <c r="E275" s="57"/>
      <c r="F275" s="57"/>
      <c r="G275" s="57"/>
      <c r="H275" s="57"/>
      <c r="I275" s="57"/>
      <c r="J275" s="35"/>
      <c r="K275" s="57"/>
      <c r="L275" s="57"/>
      <c r="M275" s="230"/>
    </row>
    <row r="276" spans="1:13" ht="20.25">
      <c r="A276" s="778"/>
      <c r="B276" s="595"/>
      <c r="C276" s="630" t="str">
        <f>DEO!C276</f>
        <v>Balance of Account 255 is reduced by prior flow throughs and excluded if the utility chose to utilize amortization of tax credits against taxable income as discussed</v>
      </c>
      <c r="D276" s="57"/>
      <c r="E276" s="57"/>
      <c r="F276" s="57"/>
      <c r="G276" s="57"/>
      <c r="H276" s="57"/>
      <c r="I276" s="57"/>
      <c r="J276" s="35"/>
      <c r="K276" s="57"/>
      <c r="L276" s="57"/>
      <c r="M276" s="230"/>
    </row>
    <row r="277" spans="1:13" ht="20.25">
      <c r="A277" s="778"/>
      <c r="B277" s="595"/>
      <c r="C277" s="630" t="str">
        <f>DEO!C277</f>
        <v>in Note K.  Account 281 is not allocated.</v>
      </c>
      <c r="D277" s="57"/>
      <c r="E277" s="57"/>
      <c r="F277" s="57"/>
      <c r="G277" s="57"/>
      <c r="H277" s="57"/>
      <c r="I277" s="57"/>
      <c r="J277" s="57"/>
      <c r="K277" s="57"/>
      <c r="L277" s="57"/>
      <c r="M277" s="230"/>
    </row>
    <row r="278" spans="1:13" ht="20.25">
      <c r="A278" s="778" t="s">
        <v>106</v>
      </c>
      <c r="B278" s="595"/>
      <c r="C278" s="630" t="str">
        <f>DEO!C278</f>
        <v>Identified in Form 1 as being only transmission related.</v>
      </c>
      <c r="D278" s="57"/>
      <c r="E278" s="57"/>
      <c r="F278" s="57"/>
      <c r="G278" s="57"/>
      <c r="H278" s="57"/>
      <c r="I278" s="57"/>
      <c r="J278" s="57"/>
      <c r="K278" s="57"/>
      <c r="L278" s="57"/>
      <c r="M278" s="230"/>
    </row>
    <row r="279" spans="1:13" ht="20.25">
      <c r="A279" s="778" t="s">
        <v>108</v>
      </c>
      <c r="B279" s="595"/>
      <c r="C279" s="630" t="str">
        <f>DEO!C279</f>
        <v>Cash Working Capital assigned to transmission is one-eighth of O&amp;M allocated to transmission at page 3, line 8, column 5.</v>
      </c>
      <c r="D279" s="57"/>
      <c r="E279" s="57"/>
      <c r="F279" s="57"/>
      <c r="G279" s="57"/>
      <c r="H279" s="57"/>
      <c r="I279" s="57"/>
      <c r="J279" s="57"/>
      <c r="K279" s="57"/>
      <c r="L279" s="57"/>
      <c r="M279" s="230"/>
    </row>
    <row r="280" spans="1:13" ht="20.25">
      <c r="A280" s="778"/>
      <c r="B280" s="595"/>
      <c r="C280" s="630" t="str">
        <f>DEO!C280</f>
        <v>Prepayments are the electric related prepayments booked to Account No. 165 and reported on Page 111 line 57 in the Form 1.</v>
      </c>
      <c r="D280" s="57"/>
      <c r="E280" s="57"/>
      <c r="F280" s="57"/>
      <c r="G280" s="57"/>
      <c r="H280" s="57"/>
      <c r="I280" s="57"/>
      <c r="J280" s="57"/>
      <c r="K280" s="57"/>
      <c r="L280" s="57"/>
      <c r="M280" s="230"/>
    </row>
    <row r="281" spans="1:13" ht="20.25">
      <c r="A281" s="778" t="s">
        <v>110</v>
      </c>
      <c r="B281" s="595"/>
      <c r="C281" s="630" t="str">
        <f>DEO!C281</f>
        <v xml:space="preserve">Line 5 - EPRI Annual Membership Dues listed in Form 1 at 353.f, all Regulatory Commission Expenses itemized at 351.h, and non-safety related advertising included </v>
      </c>
      <c r="D281" s="57"/>
      <c r="E281" s="57"/>
      <c r="F281" s="57"/>
      <c r="G281" s="57"/>
      <c r="H281" s="57"/>
      <c r="I281" s="57"/>
      <c r="J281" s="57"/>
      <c r="K281" s="57"/>
      <c r="L281" s="57"/>
      <c r="M281" s="230"/>
    </row>
    <row r="282" spans="1:13" ht="20.25">
      <c r="A282" s="778"/>
      <c r="B282" s="595"/>
      <c r="C282" s="630" t="str">
        <f>DEO!C282</f>
        <v xml:space="preserve">in Account 930.1.  Line 5a - Regulatory Commission Expenses directly related to transmission service, ISO filings, or transmission siting itemized at 351.h. </v>
      </c>
      <c r="D282" s="57"/>
      <c r="E282" s="57"/>
      <c r="F282" s="57"/>
      <c r="G282" s="57"/>
      <c r="H282" s="57"/>
      <c r="I282" s="57"/>
      <c r="J282" s="57"/>
      <c r="K282" s="57"/>
      <c r="L282" s="57"/>
      <c r="M282" s="230"/>
    </row>
    <row r="283" spans="1:13" ht="20.25">
      <c r="A283" s="778" t="s">
        <v>111</v>
      </c>
      <c r="B283" s="595"/>
      <c r="C283" s="630" t="str">
        <f>DEO!C283</f>
        <v>Includes only FICA, unemployment, highway, property, gross receipts, and other assessments charged in the current year.  Taxes related to income are excluded.</v>
      </c>
      <c r="D283" s="57"/>
      <c r="E283" s="57"/>
      <c r="F283" s="57"/>
      <c r="G283" s="57"/>
      <c r="H283" s="57"/>
      <c r="I283" s="57"/>
      <c r="J283" s="57"/>
      <c r="K283" s="57"/>
      <c r="L283" s="57"/>
      <c r="M283" s="230"/>
    </row>
    <row r="284" spans="1:13" ht="20.25">
      <c r="A284" s="778"/>
      <c r="B284" s="595"/>
      <c r="C284" s="630" t="str">
        <f>DEO!C284</f>
        <v>Gross receipts taxes are not included in transmission revenue requirement in the Rate Formula Template, since they are recovered elsewhere.</v>
      </c>
      <c r="D284" s="57"/>
      <c r="E284" s="57"/>
      <c r="F284" s="57"/>
      <c r="G284" s="57"/>
      <c r="H284" s="57"/>
      <c r="I284" s="57"/>
      <c r="J284" s="57"/>
      <c r="K284" s="57"/>
      <c r="L284" s="57"/>
      <c r="M284" s="230"/>
    </row>
    <row r="285" spans="1:13" ht="20.25">
      <c r="A285" s="778" t="s">
        <v>112</v>
      </c>
      <c r="B285" s="595"/>
      <c r="C285" s="630" t="str">
        <f>DEO!C285</f>
        <v>The currently effective income tax rate, where FIT is the Federal income tax rate; SIT is the State income tax rate, and p =</v>
      </c>
      <c r="D285" s="57"/>
      <c r="E285" s="57"/>
      <c r="F285" s="57"/>
      <c r="G285" s="57"/>
      <c r="H285" s="57"/>
      <c r="I285" s="57"/>
      <c r="J285" s="57"/>
      <c r="K285" s="57"/>
      <c r="L285" s="57"/>
      <c r="M285" s="230"/>
    </row>
    <row r="286" spans="1:13" ht="20.25">
      <c r="A286" s="778"/>
      <c r="B286" s="595"/>
      <c r="C286" s="630" t="str">
        <f>DEO!C286</f>
        <v xml:space="preserve">"the percentage of federal income tax deductible for state income taxes".  If the utility is taxed in more than one state it must attach a work paper showing the name </v>
      </c>
      <c r="D286" s="57"/>
      <c r="E286" s="57"/>
      <c r="F286" s="57"/>
      <c r="G286" s="57"/>
      <c r="H286" s="57"/>
      <c r="I286" s="57"/>
      <c r="J286" s="57"/>
      <c r="K286" s="57"/>
      <c r="L286" s="57"/>
      <c r="M286" s="230"/>
    </row>
    <row r="287" spans="1:13" ht="20.25">
      <c r="A287" s="778"/>
      <c r="B287" s="595"/>
      <c r="C287" s="630" t="str">
        <f>DEO!C287</f>
        <v>of each state and how the blended or composite SIT was developed.  Furthermore, a utility that elected to utilize amortization of tax credits</v>
      </c>
      <c r="D287" s="57"/>
      <c r="E287" s="57"/>
      <c r="F287" s="57"/>
      <c r="G287" s="57"/>
      <c r="H287" s="57"/>
      <c r="I287" s="57"/>
      <c r="J287" s="57"/>
      <c r="K287" s="57"/>
      <c r="L287" s="57"/>
      <c r="M287" s="230"/>
    </row>
    <row r="288" spans="1:13" ht="20.25">
      <c r="A288" s="778"/>
      <c r="B288" s="595"/>
      <c r="C288" s="630" t="str">
        <f>DEO!C288</f>
        <v xml:space="preserve">against taxable income, rather than book tax credits to Account No. 255 and reduce rate base, must reduce its income tax expense by </v>
      </c>
      <c r="D288" s="57"/>
      <c r="E288" s="57"/>
      <c r="F288" s="57"/>
      <c r="G288" s="57"/>
      <c r="H288" s="57"/>
      <c r="I288" s="57"/>
      <c r="J288" s="57"/>
      <c r="K288" s="57"/>
      <c r="L288" s="57"/>
      <c r="M288" s="230"/>
    </row>
    <row r="289" spans="1:13" ht="20.25">
      <c r="A289" s="778"/>
      <c r="B289" s="595"/>
      <c r="C289" s="630" t="str">
        <f>DEO!C289</f>
        <v>the amount of the Amortized Investment Tax Credit (Form 1, 266.8.f) multiplied by (1/1-T) (page 3, line 26).</v>
      </c>
      <c r="D289" s="57"/>
      <c r="E289" s="57"/>
      <c r="F289" s="57"/>
      <c r="G289" s="57"/>
      <c r="H289" s="57"/>
      <c r="I289" s="57"/>
      <c r="J289" s="57"/>
      <c r="K289" s="57"/>
      <c r="L289" s="57"/>
      <c r="M289" s="230"/>
    </row>
    <row r="290" spans="1:13" ht="20.25">
      <c r="A290" s="778"/>
      <c r="B290" s="29"/>
      <c r="C290" s="600"/>
      <c r="D290" s="57"/>
      <c r="E290" s="57"/>
      <c r="F290" s="57"/>
      <c r="G290" s="57"/>
      <c r="H290" s="57"/>
      <c r="I290" s="57"/>
      <c r="J290" s="57"/>
      <c r="K290" s="57"/>
      <c r="L290" s="57"/>
      <c r="M290" s="230"/>
    </row>
    <row r="291" spans="1:13" ht="20.25">
      <c r="A291" s="778" t="s">
        <v>8</v>
      </c>
      <c r="B291" s="29"/>
      <c r="C291" s="57" t="s">
        <v>148</v>
      </c>
      <c r="D291" s="57" t="s">
        <v>138</v>
      </c>
      <c r="E291" s="492">
        <f>FIT</f>
        <v>0.21</v>
      </c>
      <c r="F291" s="57"/>
      <c r="H291" s="57"/>
      <c r="I291" s="57"/>
      <c r="J291" s="57"/>
      <c r="K291" s="57"/>
      <c r="L291" s="57"/>
      <c r="M291" s="230"/>
    </row>
    <row r="292" spans="1:13" ht="20.25">
      <c r="A292" s="778"/>
      <c r="B292" s="29"/>
      <c r="C292" s="57"/>
      <c r="D292" s="57" t="s">
        <v>139</v>
      </c>
      <c r="E292" s="380">
        <f>INPUT!D87</f>
        <v>0.05</v>
      </c>
      <c r="F292" s="57" t="s">
        <v>140</v>
      </c>
      <c r="H292" s="57"/>
      <c r="I292" s="57"/>
      <c r="J292" s="57"/>
      <c r="K292" s="57"/>
      <c r="L292" s="57"/>
      <c r="M292" s="230"/>
    </row>
    <row r="293" spans="1:13" ht="20.25">
      <c r="A293" s="778"/>
      <c r="B293" s="29"/>
      <c r="C293" s="57"/>
      <c r="D293" s="57" t="s">
        <v>141</v>
      </c>
      <c r="E293" s="379">
        <v>0</v>
      </c>
      <c r="F293" s="57" t="s">
        <v>142</v>
      </c>
      <c r="H293" s="57"/>
      <c r="I293" s="57"/>
      <c r="J293" s="57"/>
      <c r="K293" s="57"/>
      <c r="L293" s="57"/>
      <c r="M293" s="230"/>
    </row>
    <row r="294" spans="1:13" ht="20.25">
      <c r="A294" s="778" t="s">
        <v>113</v>
      </c>
      <c r="B294" s="29"/>
      <c r="C294" s="630" t="str">
        <f>DEO!C294</f>
        <v>Removes dollar amount of transmission expenses included in the OATT ancillary services rates, including Account Nos. 561.1, 561.2 and 561.3.</v>
      </c>
      <c r="D294" s="57"/>
      <c r="E294" s="57"/>
      <c r="F294" s="57"/>
      <c r="G294" s="57"/>
      <c r="H294" s="57"/>
      <c r="I294" s="57"/>
      <c r="J294" s="57"/>
      <c r="K294" s="57"/>
      <c r="L294" s="57"/>
      <c r="M294" s="230"/>
    </row>
    <row r="295" spans="1:13" ht="20.25">
      <c r="A295" s="778" t="s">
        <v>114</v>
      </c>
      <c r="B295" s="29"/>
      <c r="C295" s="630" t="str">
        <f>DEO!C295</f>
        <v>Removes transmission plant determined by Commission order to be state-jurisdictional according to the seven-factor test (until Form 1</v>
      </c>
      <c r="D295" s="57"/>
      <c r="E295" s="57"/>
      <c r="F295" s="57"/>
      <c r="G295" s="57"/>
      <c r="H295" s="57"/>
      <c r="I295" s="57"/>
      <c r="J295" s="57"/>
      <c r="K295" s="57"/>
      <c r="L295" s="57"/>
      <c r="M295" s="230"/>
    </row>
    <row r="296" spans="1:13" ht="20.25">
      <c r="A296" s="778"/>
      <c r="B296" s="29"/>
      <c r="C296" s="630" t="str">
        <f>DEO!C296</f>
        <v xml:space="preserve">balances are adjusted to reflect application of seven-factor test).  </v>
      </c>
      <c r="D296" s="57"/>
      <c r="E296" s="57"/>
      <c r="F296" s="57"/>
      <c r="G296" s="57"/>
      <c r="H296" s="57"/>
      <c r="I296" s="57"/>
      <c r="J296" s="57"/>
      <c r="K296" s="57"/>
      <c r="L296" s="57"/>
      <c r="M296" s="230"/>
    </row>
    <row r="297" spans="1:13" ht="20.25">
      <c r="A297" s="778" t="s">
        <v>116</v>
      </c>
      <c r="B297" s="29"/>
      <c r="C297" s="630" t="str">
        <f>DEO!C297</f>
        <v>Removes dollar amount of transmission plant included in the development of OATT ancillary services rates and generation</v>
      </c>
      <c r="D297" s="57"/>
      <c r="E297" s="57"/>
      <c r="F297" s="57"/>
      <c r="G297" s="57"/>
      <c r="H297" s="57"/>
      <c r="I297" s="57"/>
      <c r="J297" s="57"/>
      <c r="K297" s="57"/>
      <c r="L297" s="57"/>
      <c r="M297" s="230"/>
    </row>
    <row r="298" spans="1:13" ht="20.25">
      <c r="A298" s="778"/>
      <c r="B298" s="29"/>
      <c r="C298" s="630" t="str">
        <f>DEO!C298</f>
        <v>step-up facilities, which are deemed to be included in OATT ancillary services.  For these purposes, generation step-up</v>
      </c>
      <c r="D298" s="57"/>
      <c r="E298" s="57"/>
      <c r="F298" s="57"/>
      <c r="G298" s="57"/>
      <c r="H298" s="57"/>
      <c r="I298" s="57"/>
      <c r="J298" s="57"/>
      <c r="K298" s="57"/>
      <c r="L298" s="57"/>
      <c r="M298" s="230"/>
    </row>
    <row r="299" spans="1:13" ht="20.25">
      <c r="A299" s="778"/>
      <c r="B299" s="29"/>
      <c r="C299" s="630" t="str">
        <f>DEO!C299</f>
        <v>facilities are those facilities at a generator substation on which there is no through-flow when the generator is shut down.</v>
      </c>
      <c r="D299" s="57"/>
      <c r="E299" s="57"/>
      <c r="F299" s="57"/>
      <c r="G299" s="57"/>
      <c r="H299" s="57"/>
      <c r="I299" s="57"/>
      <c r="J299" s="57"/>
      <c r="K299" s="57"/>
      <c r="L299" s="57"/>
      <c r="M299" s="230"/>
    </row>
    <row r="300" spans="1:13" ht="20.25">
      <c r="A300" s="778" t="s">
        <v>117</v>
      </c>
      <c r="B300" s="29"/>
      <c r="C300" s="630" t="str">
        <f>DEO!C300</f>
        <v>Reserved</v>
      </c>
      <c r="D300" s="57"/>
      <c r="E300" s="57"/>
      <c r="F300" s="57"/>
      <c r="G300" s="57"/>
      <c r="H300" s="57"/>
      <c r="I300" s="57"/>
      <c r="J300" s="57"/>
      <c r="K300" s="57"/>
      <c r="L300" s="57"/>
      <c r="M300" s="230"/>
    </row>
    <row r="301" spans="1:13" ht="20.25">
      <c r="A301" s="778" t="s">
        <v>118</v>
      </c>
      <c r="B301" s="29"/>
      <c r="C301" s="630" t="str">
        <f>DEO!C301</f>
        <v>Debt cost rate = long-term interest (line 21) / long term debt (line 27).  Preferred cost rate = preferred dividends (line 22) / preferred outstanding (line 28).</v>
      </c>
      <c r="D301" s="57"/>
      <c r="E301" s="57"/>
      <c r="F301" s="57"/>
      <c r="G301" s="57"/>
      <c r="H301" s="57"/>
      <c r="I301" s="57"/>
      <c r="J301" s="57"/>
      <c r="K301" s="57"/>
      <c r="L301" s="57"/>
      <c r="M301" s="230"/>
    </row>
    <row r="302" spans="1:13" ht="20.25">
      <c r="A302" s="778"/>
      <c r="B302" s="29"/>
      <c r="C302" s="630" t="str">
        <f>DEO!C302</f>
        <v>ROE will be supported in the original filing and no change in ROE may be made absent a filing with FERC.  Capitalization adjusted to exclude impacts of purchase accounting.</v>
      </c>
      <c r="D302" s="57"/>
      <c r="E302" s="57"/>
      <c r="F302" s="57"/>
      <c r="G302" s="57"/>
      <c r="H302" s="57"/>
      <c r="I302" s="57"/>
      <c r="J302" s="57"/>
      <c r="K302" s="57"/>
      <c r="L302" s="57"/>
      <c r="M302" s="230"/>
    </row>
    <row r="303" spans="1:13" ht="20.25">
      <c r="A303" s="778" t="s">
        <v>119</v>
      </c>
      <c r="B303" s="29"/>
      <c r="C303" s="630" t="str">
        <f>DEO!C303</f>
        <v>Line 33 must equal zero since all short-term power sales must be unbundled and the transmission component reflected in Account</v>
      </c>
      <c r="D303" s="57"/>
      <c r="E303" s="57"/>
      <c r="F303" s="57"/>
      <c r="G303" s="57"/>
      <c r="H303" s="57"/>
      <c r="I303" s="57"/>
      <c r="J303" s="57"/>
      <c r="K303" s="57"/>
      <c r="L303" s="57"/>
      <c r="M303" s="230"/>
    </row>
    <row r="304" spans="1:13" ht="20.25">
      <c r="A304" s="778"/>
      <c r="B304" s="29"/>
      <c r="C304" s="630" t="str">
        <f>DEO!C304</f>
        <v>No. 456.1 and all other uses are to be included in the divisor.</v>
      </c>
      <c r="D304" s="57"/>
      <c r="E304" s="57"/>
      <c r="F304" s="57"/>
      <c r="G304" s="57"/>
      <c r="H304" s="57"/>
      <c r="I304" s="57"/>
      <c r="J304" s="57"/>
      <c r="K304" s="57"/>
      <c r="L304" s="57"/>
      <c r="M304" s="230"/>
    </row>
    <row r="305" spans="1:15" ht="20.25" customHeight="1">
      <c r="A305" s="778" t="s">
        <v>120</v>
      </c>
      <c r="B305" s="29"/>
      <c r="C305" s="630" t="str">
        <f>DEO!C305</f>
        <v>Includes income related only to transmission facilities, such as pole attachments, rentals and special use.</v>
      </c>
      <c r="D305" s="57"/>
      <c r="E305" s="57"/>
      <c r="F305" s="57"/>
      <c r="G305" s="57"/>
      <c r="H305" s="57"/>
      <c r="I305" s="57"/>
      <c r="J305" s="57"/>
      <c r="K305" s="57"/>
      <c r="L305" s="57"/>
      <c r="M305" s="57"/>
    </row>
    <row r="306" spans="1:15" ht="20.25" customHeight="1">
      <c r="A306" s="778" t="s">
        <v>159</v>
      </c>
      <c r="C306" s="630" t="str">
        <f>DEO!C306</f>
        <v>Reserved</v>
      </c>
      <c r="D306" s="63"/>
      <c r="E306" s="63"/>
      <c r="F306" s="63"/>
      <c r="G306" s="63"/>
      <c r="H306" s="63"/>
      <c r="I306" s="63"/>
      <c r="J306" s="63"/>
      <c r="K306" s="63"/>
      <c r="L306" s="63"/>
      <c r="M306" s="63"/>
    </row>
    <row r="307" spans="1:15" ht="20.25" customHeight="1">
      <c r="A307" s="793" t="s">
        <v>160</v>
      </c>
      <c r="C307" s="630" t="str">
        <f>DEO!C307</f>
        <v>The revenues credited on page 1 lines 2-5 shall include only the amounts received directly (in the case of grandfathered agreements)</v>
      </c>
      <c r="D307" s="232"/>
      <c r="E307" s="63"/>
      <c r="F307" s="63"/>
      <c r="G307" s="63"/>
      <c r="H307" s="63"/>
      <c r="I307" s="63"/>
      <c r="J307" s="63"/>
      <c r="K307" s="63"/>
      <c r="L307" s="63"/>
      <c r="M307" s="63"/>
    </row>
    <row r="308" spans="1:15" ht="20.25" customHeight="1">
      <c r="C308" s="630" t="str">
        <f>DEO!C308</f>
        <v>from the ISO (for service under this tariff) reflecting the Transmission Owner's integrated transmission facilities.  They do not include</v>
      </c>
      <c r="D308" s="63"/>
      <c r="E308" s="63"/>
      <c r="F308" s="63"/>
      <c r="G308" s="63"/>
      <c r="H308" s="63"/>
      <c r="I308" s="63"/>
      <c r="J308" s="63"/>
      <c r="K308" s="63"/>
      <c r="L308" s="63"/>
      <c r="M308" s="233"/>
      <c r="N308" s="76"/>
      <c r="O308" s="76"/>
    </row>
    <row r="309" spans="1:15" ht="20.25" customHeight="1">
      <c r="C309" s="630" t="str">
        <f>DEO!C309</f>
        <v>revenues associated with FERC annual charges, gross receipts taxes, ancillary services, or facilities not included in this template (e.g., direct</v>
      </c>
      <c r="D309" s="63"/>
      <c r="E309" s="232"/>
      <c r="F309" s="63"/>
      <c r="G309" s="63"/>
      <c r="H309" s="63"/>
      <c r="I309" s="63"/>
      <c r="J309" s="63"/>
      <c r="K309" s="63"/>
      <c r="L309" s="63"/>
      <c r="M309" s="233"/>
      <c r="N309" s="76"/>
      <c r="O309" s="76"/>
    </row>
    <row r="310" spans="1:15" ht="20.25" customHeight="1">
      <c r="C310" s="630" t="str">
        <f>DEO!C310</f>
        <v xml:space="preserve">assignment facilities and GSUs) which are not recovered under this Rate Formula Template. </v>
      </c>
      <c r="D310" s="63"/>
      <c r="E310" s="232"/>
      <c r="F310" s="63"/>
      <c r="G310" s="63"/>
      <c r="H310" s="63"/>
      <c r="I310" s="63"/>
      <c r="J310" s="63"/>
      <c r="K310" s="63"/>
      <c r="L310" s="63"/>
      <c r="M310" s="233"/>
      <c r="N310" s="76"/>
      <c r="O310" s="76"/>
    </row>
    <row r="311" spans="1:15" ht="18">
      <c r="A311" s="781"/>
      <c r="C311" s="27"/>
      <c r="D311" s="27"/>
      <c r="E311" s="28"/>
      <c r="F311" s="27"/>
      <c r="G311" s="27"/>
      <c r="H311" s="27"/>
      <c r="I311" s="29"/>
      <c r="J311" s="74" t="s">
        <v>318</v>
      </c>
      <c r="K311" s="87"/>
      <c r="M311" s="87"/>
    </row>
    <row r="312" spans="1:15">
      <c r="C312" s="27"/>
      <c r="D312" s="27"/>
      <c r="E312" s="28"/>
      <c r="F312" s="27"/>
      <c r="G312" s="27"/>
      <c r="H312" s="27"/>
      <c r="I312" s="29"/>
      <c r="J312" s="74" t="s">
        <v>439</v>
      </c>
      <c r="M312" s="74"/>
    </row>
    <row r="313" spans="1:15">
      <c r="C313" s="27"/>
      <c r="D313" s="27"/>
      <c r="E313" s="28"/>
      <c r="F313" s="27"/>
      <c r="G313" s="27"/>
      <c r="H313" s="27"/>
      <c r="I313" s="29"/>
      <c r="J313" s="74"/>
      <c r="M313" s="74"/>
    </row>
    <row r="314" spans="1:15">
      <c r="C314" s="27"/>
      <c r="D314" s="27"/>
      <c r="E314" s="28"/>
      <c r="F314" s="27"/>
      <c r="G314" s="27"/>
      <c r="H314" s="27"/>
      <c r="I314" s="29"/>
      <c r="M314" s="74"/>
    </row>
    <row r="315" spans="1:15">
      <c r="C315" s="27"/>
      <c r="D315" s="27"/>
      <c r="E315" s="28"/>
      <c r="F315" s="27"/>
      <c r="G315" s="27"/>
      <c r="H315" s="27"/>
      <c r="I315" s="29"/>
      <c r="K315" s="1"/>
      <c r="M315" s="74"/>
    </row>
    <row r="316" spans="1:15">
      <c r="C316" s="27" t="s">
        <v>7</v>
      </c>
      <c r="D316" s="27"/>
      <c r="E316" s="28"/>
      <c r="F316" s="27"/>
      <c r="G316" s="27"/>
      <c r="H316" s="27"/>
      <c r="I316" s="29"/>
      <c r="J316" s="74"/>
      <c r="K316" s="1"/>
      <c r="M316" s="74"/>
    </row>
    <row r="317" spans="1:15">
      <c r="C317" s="27"/>
      <c r="D317" s="27"/>
      <c r="E317" s="28"/>
      <c r="F317" s="27"/>
      <c r="G317" s="27"/>
      <c r="H317" s="27"/>
      <c r="I317" s="29"/>
      <c r="J317" s="88" t="str">
        <f>$J$7</f>
        <v>For the 12 months ended: 12/31/2017</v>
      </c>
      <c r="K317" s="1"/>
      <c r="M317" s="74"/>
    </row>
    <row r="318" spans="1:15">
      <c r="A318" s="795" t="str">
        <f>$A$8</f>
        <v>Rate Formula Template</v>
      </c>
      <c r="B318" s="260"/>
      <c r="C318" s="260"/>
      <c r="D318" s="258"/>
      <c r="E318" s="260"/>
      <c r="F318" s="258"/>
      <c r="G318" s="258"/>
      <c r="H318" s="258"/>
      <c r="I318" s="258"/>
      <c r="J318" s="260"/>
      <c r="K318" s="57"/>
      <c r="L318" s="260"/>
      <c r="M318" s="1"/>
    </row>
    <row r="319" spans="1:15">
      <c r="A319" s="790" t="s">
        <v>289</v>
      </c>
      <c r="B319" s="260"/>
      <c r="C319" s="258"/>
      <c r="D319" s="261"/>
      <c r="E319" s="260"/>
      <c r="F319" s="261"/>
      <c r="G319" s="261"/>
      <c r="H319" s="261"/>
      <c r="I319" s="258"/>
      <c r="J319" s="258"/>
      <c r="K319" s="57"/>
      <c r="L319" s="255"/>
      <c r="M319" s="1"/>
    </row>
    <row r="320" spans="1:15">
      <c r="A320" s="783"/>
      <c r="B320" s="260"/>
      <c r="C320" s="255"/>
      <c r="D320" s="255"/>
      <c r="E320" s="260"/>
      <c r="F320" s="255"/>
      <c r="G320" s="255"/>
      <c r="H320" s="255"/>
      <c r="I320" s="255"/>
      <c r="J320" s="255"/>
      <c r="K320" s="57"/>
      <c r="L320" s="255"/>
      <c r="M320" s="29"/>
    </row>
    <row r="321" spans="1:15" ht="15.75">
      <c r="A321" s="967" t="str">
        <f>$A$11</f>
        <v>DUKE ENERGY KENTUCKY (DEK)</v>
      </c>
      <c r="B321" s="260"/>
      <c r="C321" s="255"/>
      <c r="D321" s="255"/>
      <c r="E321" s="260"/>
      <c r="F321" s="255"/>
      <c r="G321" s="255"/>
      <c r="H321" s="255"/>
      <c r="I321" s="255"/>
      <c r="J321" s="255"/>
      <c r="K321" s="57"/>
      <c r="L321" s="255"/>
      <c r="M321" s="29"/>
    </row>
    <row r="322" spans="1:15" ht="15.75">
      <c r="A322" s="792"/>
      <c r="B322" s="29"/>
      <c r="C322" s="37"/>
      <c r="D322" s="30"/>
      <c r="E322" s="5"/>
      <c r="F322" s="5"/>
      <c r="G322" s="5"/>
      <c r="H322" s="5"/>
      <c r="I322" s="29"/>
      <c r="J322" s="228"/>
      <c r="K322" s="57"/>
      <c r="L322" s="227"/>
      <c r="M322" s="29"/>
    </row>
    <row r="323" spans="1:15" ht="20.25">
      <c r="A323" s="778"/>
      <c r="B323" s="29"/>
      <c r="C323" s="27" t="s">
        <v>97</v>
      </c>
      <c r="D323" s="30"/>
      <c r="E323" s="5"/>
      <c r="F323" s="5"/>
      <c r="G323" s="5"/>
      <c r="H323" s="5"/>
      <c r="I323" s="29"/>
      <c r="J323" s="5"/>
      <c r="K323" s="57"/>
      <c r="L323" s="5"/>
      <c r="M323" s="229"/>
    </row>
    <row r="324" spans="1:15" ht="20.25">
      <c r="A324" s="778"/>
      <c r="B324" s="29"/>
      <c r="C324" s="27" t="s">
        <v>671</v>
      </c>
      <c r="D324" s="29"/>
      <c r="E324" s="5"/>
      <c r="F324" s="5"/>
      <c r="G324" s="5"/>
      <c r="H324" s="5"/>
      <c r="I324" s="29"/>
      <c r="J324" s="5"/>
      <c r="K324" s="57"/>
      <c r="L324" s="5"/>
      <c r="M324" s="229"/>
    </row>
    <row r="325" spans="1:15" ht="20.25">
      <c r="A325" s="787" t="s">
        <v>669</v>
      </c>
      <c r="B325" s="29"/>
      <c r="C325" s="27"/>
      <c r="D325" s="29"/>
      <c r="E325" s="5"/>
      <c r="F325" s="5"/>
      <c r="G325" s="5"/>
      <c r="H325" s="5"/>
      <c r="I325" s="29"/>
      <c r="J325" s="5"/>
      <c r="K325" s="57"/>
      <c r="L325" s="5"/>
      <c r="M325" s="229"/>
    </row>
    <row r="326" spans="1:15" ht="20.25" customHeight="1">
      <c r="A326" s="793" t="s">
        <v>180</v>
      </c>
      <c r="C326" s="630" t="str">
        <f>DEO!C326</f>
        <v xml:space="preserve">On Line 35, enter revenues from RTO settlements that are associated with firm Point-to-Point Service for which the load is not included in the divisor to derive Duke Energy Ohio's </v>
      </c>
      <c r="D326" s="1"/>
      <c r="E326" s="1"/>
      <c r="F326" s="1"/>
      <c r="G326" s="1"/>
      <c r="H326" s="1"/>
      <c r="I326" s="1"/>
      <c r="J326" s="1"/>
      <c r="K326" s="1"/>
      <c r="L326" s="1"/>
      <c r="M326" s="234"/>
      <c r="N326" s="76"/>
      <c r="O326" s="76"/>
    </row>
    <row r="327" spans="1:15" ht="20.25" customHeight="1">
      <c r="A327" s="793"/>
      <c r="C327" s="630" t="str">
        <f>DEO!C327</f>
        <v xml:space="preserve">and Duke Energy Kentucky's zonal rates.  Exclude NITS, non-firm Point-to-Point revenues, revenues related to MTEP and RTEP projects, revenues from grandfathered interzonal </v>
      </c>
      <c r="D327" s="1"/>
      <c r="E327" s="1"/>
      <c r="F327" s="1"/>
      <c r="G327" s="1"/>
      <c r="H327" s="1"/>
      <c r="I327" s="1"/>
      <c r="J327" s="1"/>
      <c r="K327" s="1"/>
      <c r="L327" s="1"/>
      <c r="M327" s="234"/>
      <c r="N327" s="76"/>
      <c r="O327" s="76"/>
    </row>
    <row r="328" spans="1:15" ht="20.25" customHeight="1">
      <c r="A328" s="793"/>
      <c r="C328" s="630" t="str">
        <f>DEO!C328</f>
        <v>transactions and revenues from service provided by ISO at a discount.</v>
      </c>
      <c r="D328" s="1"/>
      <c r="E328" s="1"/>
      <c r="F328" s="1"/>
      <c r="G328" s="1"/>
      <c r="H328" s="1"/>
      <c r="I328" s="1"/>
      <c r="J328" s="1"/>
      <c r="K328" s="1"/>
      <c r="L328" s="1"/>
      <c r="M328" s="234"/>
      <c r="N328" s="76"/>
      <c r="O328" s="76"/>
    </row>
    <row r="329" spans="1:15" ht="20.25" customHeight="1">
      <c r="A329" s="793" t="s">
        <v>3</v>
      </c>
      <c r="C329" s="630" t="str">
        <f>DEO!C329</f>
        <v>Account Nos. 561.4 and 561.8 consist of RTO expenses billed to load-serving entities and are not included in Transmission Owner revenue requirements.</v>
      </c>
      <c r="D329" s="234"/>
      <c r="E329" s="234"/>
      <c r="F329" s="234"/>
      <c r="G329" s="234"/>
      <c r="H329" s="234"/>
      <c r="I329" s="234"/>
      <c r="J329" s="234"/>
      <c r="K329" s="234"/>
      <c r="L329" s="234"/>
      <c r="M329" s="234"/>
      <c r="N329" s="76"/>
      <c r="O329" s="76"/>
    </row>
    <row r="330" spans="1:15" ht="20.25" customHeight="1">
      <c r="A330" s="793" t="s">
        <v>392</v>
      </c>
      <c r="C330" s="630" t="str">
        <f>DEO!C330</f>
        <v xml:space="preserve">On Line 36, enter revenues from RTO settlements that are associated with MTEP projects.  Exclude NITS, firm Point-to-Point, non-firm Point-to-Point revenues, revenues related to </v>
      </c>
    </row>
    <row r="331" spans="1:15" s="670" customFormat="1" ht="20.25" customHeight="1">
      <c r="A331" s="793"/>
      <c r="C331" s="630" t="str">
        <f>DEO!C331</f>
        <v>RTEP projects, revenues from grandfathered interzonal transactions and revenues from service provided by ISO at a discount.</v>
      </c>
    </row>
    <row r="332" spans="1:15" ht="20.25" customHeight="1">
      <c r="A332" s="793" t="s">
        <v>502</v>
      </c>
      <c r="C332" s="630" t="str">
        <f>DEO!C332</f>
        <v xml:space="preserve">Midcontinent ISO Exit Fees include (1) the charge that DEOK paid to the Midcontinent ISO pursuant to the Settlement Agreement filed on July 29, 2011 in Docket No. ER11-2059 and (2) the exit </v>
      </c>
    </row>
    <row r="333" spans="1:15" ht="20.25" customHeight="1">
      <c r="C333" s="630" t="str">
        <f>DEO!C333</f>
        <v>fees that DEOK paid to the Midcontinent ISO pursuant to the Exit Fee Agreement filed on October 5, 2011 in Docket No. ER12-33.</v>
      </c>
    </row>
    <row r="334" spans="1:15" s="604" customFormat="1" ht="20.25" customHeight="1">
      <c r="A334" s="794" t="s">
        <v>503</v>
      </c>
      <c r="C334" s="630" t="str">
        <f>DEO!C334</f>
        <v>PJM Integration Costs are the fees that PJM assessed DEOK for the costs that PJM incurred in connection with DEOK's move into PJM.  Internal Integration Costs are the internal</v>
      </c>
    </row>
    <row r="335" spans="1:15" s="604" customFormat="1" ht="20.25" customHeight="1">
      <c r="A335" s="794"/>
      <c r="C335" s="630" t="str">
        <f>DEO!C335</f>
        <v>administrative costs incurred by Duke Energy Ohio and Duke Energy Kentucky to accomplish their move from the Midcontinent ISO into PJM.</v>
      </c>
    </row>
    <row r="336" spans="1:15" s="604" customFormat="1" ht="20.25" customHeight="1">
      <c r="A336" s="794" t="s">
        <v>635</v>
      </c>
      <c r="C336" s="630" t="str">
        <f>DEO!C336</f>
        <v xml:space="preserve">This amount reflects corrections to the prior year rate calculation, plus accumulated interest, and is included here in accordance with the formula rate protocols.  </v>
      </c>
    </row>
    <row r="337" spans="1:10" s="604" customFormat="1" ht="20.25" customHeight="1">
      <c r="A337" s="785"/>
      <c r="C337" s="630" t="str">
        <f>DEO!C337</f>
        <v>It is shown on a combined basis, and not separately entered on the DEO and DEK tabs.</v>
      </c>
    </row>
    <row r="338" spans="1:10" s="625" customFormat="1">
      <c r="A338" s="780"/>
    </row>
    <row r="339" spans="1:10" ht="18">
      <c r="C339" s="769" t="s">
        <v>863</v>
      </c>
      <c r="D339" s="604"/>
      <c r="E339" s="604"/>
      <c r="F339" s="604"/>
      <c r="G339" s="604"/>
      <c r="H339" s="604"/>
      <c r="I339" s="604"/>
      <c r="J339" s="604"/>
    </row>
    <row r="340" spans="1:10">
      <c r="C340" s="769" t="s">
        <v>759</v>
      </c>
      <c r="D340" s="604"/>
      <c r="E340" s="604"/>
      <c r="F340" s="604"/>
      <c r="G340" s="604"/>
      <c r="H340" s="604"/>
      <c r="I340" s="604"/>
      <c r="J340" s="604"/>
    </row>
  </sheetData>
  <phoneticPr fontId="0" type="noConversion"/>
  <printOptions horizontalCentered="1"/>
  <pageMargins left="0.75" right="0.75" top="0.75" bottom="0.5" header="0.25" footer="0.25"/>
  <pageSetup scale="43" orientation="portrait" blackAndWhite="1" r:id="rId1"/>
  <headerFooter alignWithMargins="0"/>
  <rowBreaks count="5" manualBreakCount="5">
    <brk id="43" max="11" man="1"/>
    <brk id="103" max="11" man="1"/>
    <brk id="173" max="11" man="1"/>
    <brk id="250" max="11" man="1"/>
    <brk id="310" max="11"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663300"/>
    <pageSetUpPr fitToPage="1"/>
  </sheetPr>
  <dimension ref="A1:J959"/>
  <sheetViews>
    <sheetView zoomScale="75" zoomScaleNormal="75" workbookViewId="0"/>
  </sheetViews>
  <sheetFormatPr defaultColWidth="9.33203125" defaultRowHeight="15"/>
  <cols>
    <col min="1" max="1" width="4" style="283" customWidth="1"/>
    <col min="2" max="2" width="4.77734375" style="284" bestFit="1" customWidth="1"/>
    <col min="3" max="3" width="1.6640625" style="283" customWidth="1"/>
    <col min="4" max="4" width="64.109375" style="283" customWidth="1"/>
    <col min="5" max="5" width="28.5546875" style="283" customWidth="1"/>
    <col min="6" max="6" width="2.109375" style="283" customWidth="1"/>
    <col min="7" max="7" width="16" style="283" bestFit="1" customWidth="1"/>
    <col min="8" max="8" width="6.5546875" style="283" customWidth="1"/>
    <col min="9" max="9" width="2.21875" style="283" customWidth="1"/>
    <col min="10" max="10" width="2.33203125" style="283" customWidth="1"/>
    <col min="11" max="16384" width="9.33203125" style="283"/>
  </cols>
  <sheetData>
    <row r="1" spans="1:10">
      <c r="G1" s="283" t="s">
        <v>318</v>
      </c>
    </row>
    <row r="2" spans="1:10">
      <c r="G2" s="283" t="s">
        <v>305</v>
      </c>
    </row>
    <row r="3" spans="1:10">
      <c r="A3" s="289"/>
      <c r="B3" s="289"/>
      <c r="C3" s="289"/>
      <c r="D3" s="289"/>
      <c r="E3" s="289"/>
      <c r="F3" s="289"/>
      <c r="G3" s="283" t="s">
        <v>306</v>
      </c>
      <c r="H3" s="293"/>
      <c r="J3" s="330"/>
    </row>
    <row r="4" spans="1:10">
      <c r="A4" s="289"/>
      <c r="B4" s="289"/>
      <c r="C4" s="289"/>
      <c r="D4" s="289"/>
      <c r="E4" s="289"/>
      <c r="F4" s="289"/>
      <c r="H4" s="293"/>
      <c r="J4" s="330"/>
    </row>
    <row r="5" spans="1:10">
      <c r="A5" s="289"/>
      <c r="B5" s="289"/>
      <c r="C5" s="289"/>
      <c r="D5" s="289"/>
      <c r="E5" s="289"/>
      <c r="F5" s="289"/>
      <c r="G5" s="275" t="str">
        <f>"For the 12 months ended: "&amp;TEXT(INPUT!B1,"mm/dd/yyyy")</f>
        <v>For the 12 months ended: 12/31/2017</v>
      </c>
      <c r="H5" s="293"/>
      <c r="J5" s="330"/>
    </row>
    <row r="6" spans="1:10" ht="15.75">
      <c r="A6" s="728" t="str">
        <f>DEOK!A11</f>
        <v>DUKE ENERGY OHIO AND DUKE ENERGY KENTUCKY (DEOK)</v>
      </c>
      <c r="B6" s="327"/>
      <c r="C6" s="327"/>
      <c r="D6" s="327"/>
      <c r="E6" s="327"/>
      <c r="F6" s="327"/>
      <c r="G6" s="327"/>
      <c r="H6" s="321"/>
      <c r="I6" s="326"/>
    </row>
    <row r="7" spans="1:10" ht="15.75">
      <c r="A7" s="327" t="s">
        <v>303</v>
      </c>
      <c r="B7" s="327"/>
      <c r="C7" s="327"/>
      <c r="D7" s="327"/>
      <c r="E7" s="327"/>
      <c r="F7" s="327"/>
      <c r="G7" s="327"/>
      <c r="H7" s="321"/>
      <c r="I7" s="326"/>
    </row>
    <row r="8" spans="1:10" ht="15.75">
      <c r="A8" s="329" t="s">
        <v>289</v>
      </c>
      <c r="B8" s="329"/>
      <c r="C8" s="329"/>
      <c r="D8" s="329"/>
      <c r="E8" s="329"/>
      <c r="F8" s="329"/>
      <c r="G8" s="329"/>
      <c r="H8" s="321"/>
      <c r="I8" s="328"/>
    </row>
    <row r="9" spans="1:10" ht="15.75">
      <c r="A9" s="327" t="str">
        <f>"For Rates Effective "&amp;TEXT(INPUT!B2,"mmmm d, yyyy")</f>
        <v>For Rates Effective June 1, 2018</v>
      </c>
      <c r="B9" s="327"/>
      <c r="C9" s="327"/>
      <c r="D9" s="327"/>
      <c r="E9" s="327"/>
      <c r="F9" s="327"/>
      <c r="G9" s="327"/>
      <c r="H9" s="321"/>
      <c r="I9" s="326"/>
    </row>
    <row r="10" spans="1:10" ht="15.75">
      <c r="B10" s="304"/>
      <c r="C10" s="303"/>
      <c r="D10" s="300"/>
      <c r="H10" s="321"/>
    </row>
    <row r="11" spans="1:10" ht="15.75">
      <c r="A11" s="325" t="s">
        <v>315</v>
      </c>
      <c r="B11" s="325"/>
      <c r="C11" s="325"/>
      <c r="D11" s="325"/>
      <c r="E11" s="325"/>
      <c r="F11" s="325"/>
      <c r="G11" s="325"/>
      <c r="H11" s="321"/>
      <c r="I11" s="324"/>
    </row>
    <row r="12" spans="1:10" ht="15.75">
      <c r="A12" s="323"/>
      <c r="B12" s="304"/>
      <c r="C12" s="303"/>
      <c r="D12" s="300"/>
      <c r="H12" s="321"/>
    </row>
    <row r="13" spans="1:10" ht="15.75">
      <c r="B13" s="304"/>
      <c r="C13" s="303"/>
      <c r="D13" s="300"/>
      <c r="E13" s="300"/>
      <c r="F13" s="322"/>
      <c r="G13" s="306"/>
      <c r="H13" s="321"/>
    </row>
    <row r="14" spans="1:10" ht="15.75">
      <c r="B14" s="304" t="s">
        <v>9</v>
      </c>
      <c r="C14" s="303"/>
      <c r="D14" s="300"/>
      <c r="E14" s="300"/>
      <c r="F14" s="300"/>
      <c r="G14" s="335" t="s">
        <v>302</v>
      </c>
      <c r="H14" s="321"/>
    </row>
    <row r="15" spans="1:10" ht="15.75">
      <c r="B15" s="382" t="s">
        <v>11</v>
      </c>
      <c r="C15" s="305"/>
      <c r="D15" s="300"/>
      <c r="E15" s="382" t="s">
        <v>313</v>
      </c>
      <c r="F15" s="300"/>
      <c r="G15" s="382" t="s">
        <v>301</v>
      </c>
      <c r="H15" s="321"/>
    </row>
    <row r="16" spans="1:10">
      <c r="B16" s="320"/>
      <c r="C16" s="305"/>
      <c r="D16" s="309"/>
      <c r="E16" s="305"/>
      <c r="F16" s="300"/>
      <c r="H16" s="300"/>
    </row>
    <row r="17" spans="1:10">
      <c r="A17" s="335" t="s">
        <v>300</v>
      </c>
      <c r="B17" s="381" t="s">
        <v>304</v>
      </c>
      <c r="C17" s="305"/>
      <c r="D17" s="300"/>
      <c r="E17" s="305"/>
      <c r="F17" s="300"/>
      <c r="H17" s="300"/>
    </row>
    <row r="18" spans="1:10">
      <c r="B18" s="837">
        <v>1</v>
      </c>
      <c r="C18" s="303"/>
      <c r="D18" s="309" t="s">
        <v>299</v>
      </c>
      <c r="E18" s="335" t="s">
        <v>307</v>
      </c>
      <c r="F18" s="302"/>
      <c r="G18" s="318">
        <f>DEO!J199+DEK!J199</f>
        <v>4576902</v>
      </c>
      <c r="H18" s="319"/>
    </row>
    <row r="19" spans="1:10">
      <c r="B19" s="837"/>
      <c r="C19" s="303"/>
      <c r="D19" s="309"/>
      <c r="E19" s="303"/>
      <c r="F19" s="302"/>
      <c r="G19" s="310"/>
      <c r="H19" s="311"/>
    </row>
    <row r="20" spans="1:10">
      <c r="B20" s="837">
        <v>2</v>
      </c>
      <c r="C20" s="303"/>
      <c r="D20" s="309" t="s">
        <v>308</v>
      </c>
      <c r="E20" s="302"/>
      <c r="F20" s="293"/>
      <c r="G20" s="856">
        <f>INPUT!E156</f>
        <v>131834</v>
      </c>
      <c r="H20" s="317"/>
    </row>
    <row r="21" spans="1:10" ht="15.75" thickBot="1">
      <c r="B21" s="837"/>
      <c r="C21" s="303"/>
      <c r="D21" s="309"/>
      <c r="E21" s="300"/>
      <c r="F21" s="302"/>
      <c r="G21" s="316"/>
      <c r="H21" s="311"/>
    </row>
    <row r="22" spans="1:10" ht="15.75" thickBot="1">
      <c r="B22" s="837">
        <v>3</v>
      </c>
      <c r="C22" s="303"/>
      <c r="D22" s="315" t="s">
        <v>298</v>
      </c>
      <c r="E22" s="314"/>
      <c r="F22" s="313"/>
      <c r="G22" s="312">
        <f>G18-G20</f>
        <v>4445068</v>
      </c>
      <c r="H22" s="311"/>
    </row>
    <row r="23" spans="1:10">
      <c r="B23" s="837"/>
      <c r="C23" s="303"/>
      <c r="D23" s="309"/>
      <c r="E23" s="300"/>
      <c r="F23" s="302"/>
      <c r="G23" s="307"/>
      <c r="H23" s="308"/>
    </row>
    <row r="24" spans="1:10">
      <c r="A24" s="335" t="s">
        <v>297</v>
      </c>
      <c r="B24" s="838" t="s">
        <v>296</v>
      </c>
      <c r="C24" s="305"/>
      <c r="D24" s="300"/>
      <c r="E24" s="305"/>
      <c r="F24" s="300"/>
      <c r="G24" s="285"/>
      <c r="H24" s="290"/>
    </row>
    <row r="25" spans="1:10">
      <c r="B25" s="837">
        <f>+B22+1</f>
        <v>4</v>
      </c>
      <c r="C25" s="303"/>
      <c r="D25" s="294" t="str">
        <f>TEXT(INPUT!B1,"yyyy")&amp;" Annual MWh - Note B"</f>
        <v>2017 Annual MWh - Note B</v>
      </c>
      <c r="E25" s="685" t="s">
        <v>662</v>
      </c>
      <c r="F25" s="302"/>
      <c r="G25" s="544">
        <f>-'P14 Sch 1A Denominator'!D36</f>
        <v>26625497</v>
      </c>
      <c r="H25" s="290" t="s">
        <v>295</v>
      </c>
    </row>
    <row r="26" spans="1:10">
      <c r="B26" s="837"/>
      <c r="C26" s="303"/>
      <c r="D26" s="294"/>
      <c r="E26" s="300"/>
      <c r="F26" s="302"/>
      <c r="G26" s="301"/>
      <c r="H26" s="300"/>
    </row>
    <row r="27" spans="1:10">
      <c r="A27" s="285"/>
      <c r="B27" s="839">
        <f>+B25+1</f>
        <v>5</v>
      </c>
      <c r="C27" s="295"/>
      <c r="D27" s="294" t="s">
        <v>852</v>
      </c>
      <c r="E27" s="299" t="str">
        <f>"(Line "&amp;B22&amp;" / Line "&amp;B25&amp;")"</f>
        <v>(Line 3 / Line 4)</v>
      </c>
      <c r="F27" s="292"/>
      <c r="G27" s="297">
        <f>+G22/G25</f>
        <v>0.16694779443929253</v>
      </c>
      <c r="H27" s="298" t="s">
        <v>294</v>
      </c>
    </row>
    <row r="28" spans="1:10">
      <c r="A28" s="285"/>
      <c r="B28" s="839"/>
      <c r="C28" s="295"/>
      <c r="D28" s="294"/>
      <c r="E28" s="292"/>
      <c r="F28" s="292"/>
      <c r="H28" s="292"/>
    </row>
    <row r="29" spans="1:10">
      <c r="A29" s="285"/>
      <c r="B29" s="296"/>
      <c r="C29" s="295"/>
      <c r="D29" s="294"/>
      <c r="E29" s="292"/>
      <c r="F29" s="295"/>
      <c r="H29" s="292"/>
    </row>
    <row r="30" spans="1:10">
      <c r="B30" s="296"/>
      <c r="C30" s="295"/>
      <c r="D30" s="294"/>
      <c r="E30" s="292"/>
      <c r="F30" s="292"/>
      <c r="H30" s="292"/>
      <c r="I30" s="287"/>
      <c r="J30" s="287"/>
    </row>
    <row r="31" spans="1:10">
      <c r="B31" s="332" t="s">
        <v>309</v>
      </c>
      <c r="C31" s="295"/>
      <c r="D31" s="294"/>
      <c r="E31" s="292"/>
      <c r="F31" s="292"/>
      <c r="H31" s="292"/>
      <c r="I31" s="287"/>
      <c r="J31" s="287"/>
    </row>
    <row r="32" spans="1:10">
      <c r="B32" s="333" t="s">
        <v>100</v>
      </c>
      <c r="C32" s="292"/>
      <c r="D32" s="292" t="s">
        <v>357</v>
      </c>
      <c r="E32" s="292"/>
      <c r="F32" s="292"/>
      <c r="G32" s="287"/>
      <c r="H32" s="292"/>
      <c r="I32" s="287"/>
      <c r="J32" s="287"/>
    </row>
    <row r="33" spans="1:10">
      <c r="B33" s="334"/>
      <c r="C33" s="292"/>
      <c r="D33" s="292" t="s">
        <v>422</v>
      </c>
      <c r="E33" s="292"/>
      <c r="F33" s="292"/>
      <c r="G33" s="287"/>
      <c r="H33" s="292"/>
      <c r="I33" s="287"/>
      <c r="J33" s="287"/>
    </row>
    <row r="34" spans="1:10">
      <c r="B34" s="334"/>
      <c r="C34" s="292"/>
      <c r="D34" s="292" t="s">
        <v>310</v>
      </c>
      <c r="E34" s="292"/>
      <c r="F34" s="292"/>
      <c r="G34" s="287"/>
      <c r="H34" s="292"/>
      <c r="I34" s="287"/>
      <c r="J34" s="287"/>
    </row>
    <row r="35" spans="1:10">
      <c r="B35" s="296"/>
      <c r="C35" s="290"/>
      <c r="D35" s="289"/>
      <c r="E35" s="289"/>
      <c r="F35" s="289"/>
      <c r="G35" s="289" t="s">
        <v>8</v>
      </c>
      <c r="I35" s="289"/>
      <c r="J35" s="287"/>
    </row>
    <row r="36" spans="1:10">
      <c r="B36" s="331" t="s">
        <v>101</v>
      </c>
      <c r="C36" s="290"/>
      <c r="D36" s="292" t="s">
        <v>697</v>
      </c>
      <c r="E36" s="289"/>
      <c r="F36" s="289"/>
      <c r="G36" s="289"/>
      <c r="H36" s="289"/>
      <c r="I36" s="289"/>
      <c r="J36" s="287"/>
    </row>
    <row r="37" spans="1:10">
      <c r="B37" s="296"/>
      <c r="C37" s="290"/>
      <c r="D37" s="292"/>
      <c r="E37" s="289"/>
      <c r="F37" s="289"/>
      <c r="G37" s="289"/>
      <c r="H37" s="289"/>
      <c r="I37" s="289"/>
      <c r="J37" s="287"/>
    </row>
    <row r="38" spans="1:10">
      <c r="B38" s="296"/>
      <c r="C38" s="290"/>
      <c r="D38" s="292"/>
      <c r="E38" s="289"/>
      <c r="F38" s="289"/>
      <c r="G38" s="289"/>
      <c r="H38" s="289"/>
      <c r="I38" s="289"/>
      <c r="J38" s="287"/>
    </row>
    <row r="39" spans="1:10">
      <c r="A39" s="344"/>
      <c r="B39" s="296"/>
      <c r="C39" s="290"/>
      <c r="D39" s="295"/>
      <c r="E39" s="289"/>
      <c r="F39" s="289"/>
      <c r="G39" s="289"/>
      <c r="H39" s="289"/>
      <c r="I39" s="289"/>
      <c r="J39" s="287"/>
    </row>
    <row r="40" spans="1:10">
      <c r="B40" s="291"/>
      <c r="C40" s="290"/>
      <c r="D40" s="295"/>
      <c r="E40" s="289"/>
      <c r="F40" s="289"/>
      <c r="G40" s="289"/>
      <c r="H40" s="289"/>
      <c r="I40" s="289"/>
      <c r="J40" s="287"/>
    </row>
    <row r="41" spans="1:10">
      <c r="B41" s="291"/>
      <c r="C41" s="290"/>
      <c r="D41" s="289"/>
      <c r="E41" s="289"/>
      <c r="F41" s="289"/>
      <c r="G41" s="289"/>
      <c r="H41" s="289"/>
      <c r="I41" s="289"/>
      <c r="J41" s="287"/>
    </row>
    <row r="42" spans="1:10">
      <c r="B42" s="288"/>
      <c r="C42" s="287"/>
      <c r="D42" s="289"/>
      <c r="E42" s="289"/>
      <c r="F42" s="289"/>
      <c r="G42" s="289"/>
      <c r="H42" s="289"/>
      <c r="I42" s="289"/>
      <c r="J42" s="287"/>
    </row>
    <row r="43" spans="1:10">
      <c r="B43" s="288"/>
      <c r="C43" s="287"/>
      <c r="D43" s="289"/>
      <c r="E43" s="289"/>
      <c r="F43" s="289"/>
      <c r="G43" s="289"/>
      <c r="H43" s="289"/>
      <c r="I43" s="289"/>
      <c r="J43" s="287"/>
    </row>
    <row r="44" spans="1:10">
      <c r="B44" s="288"/>
      <c r="C44" s="287"/>
      <c r="D44" s="289"/>
      <c r="E44" s="289"/>
      <c r="F44" s="289"/>
      <c r="G44" s="289"/>
      <c r="H44" s="289"/>
      <c r="I44" s="289"/>
      <c r="J44" s="287"/>
    </row>
    <row r="45" spans="1:10">
      <c r="B45" s="288"/>
      <c r="C45" s="287"/>
      <c r="D45" s="289"/>
      <c r="E45" s="289"/>
      <c r="F45" s="289"/>
      <c r="G45" s="289"/>
      <c r="H45" s="289"/>
      <c r="I45" s="289"/>
      <c r="J45" s="287"/>
    </row>
    <row r="46" spans="1:10">
      <c r="B46" s="288"/>
      <c r="C46" s="287"/>
      <c r="D46" s="289"/>
      <c r="E46" s="289"/>
      <c r="F46" s="289"/>
      <c r="G46" s="289"/>
      <c r="H46" s="289"/>
      <c r="I46" s="289"/>
      <c r="J46" s="287"/>
    </row>
    <row r="47" spans="1:10">
      <c r="B47" s="288"/>
      <c r="C47" s="287"/>
      <c r="D47" s="289"/>
      <c r="E47" s="289"/>
      <c r="F47" s="289"/>
      <c r="G47" s="289"/>
      <c r="H47" s="289"/>
      <c r="I47" s="289"/>
      <c r="J47" s="287"/>
    </row>
    <row r="48" spans="1:10">
      <c r="B48" s="288"/>
      <c r="C48" s="287"/>
      <c r="D48" s="289"/>
      <c r="E48" s="289"/>
      <c r="F48" s="289"/>
      <c r="G48" s="289"/>
      <c r="H48" s="289"/>
      <c r="I48" s="289"/>
      <c r="J48" s="287"/>
    </row>
    <row r="49" spans="2:10">
      <c r="B49" s="288"/>
      <c r="C49" s="287"/>
      <c r="D49" s="289"/>
      <c r="E49" s="289"/>
      <c r="F49" s="289"/>
      <c r="G49" s="289"/>
      <c r="H49" s="289"/>
      <c r="I49" s="289"/>
      <c r="J49" s="287"/>
    </row>
    <row r="50" spans="2:10">
      <c r="B50" s="288"/>
      <c r="C50" s="287"/>
      <c r="D50" s="289"/>
      <c r="E50" s="289"/>
      <c r="F50" s="289"/>
      <c r="G50" s="289"/>
      <c r="H50" s="289"/>
      <c r="I50" s="289"/>
      <c r="J50" s="287"/>
    </row>
    <row r="51" spans="2:10">
      <c r="B51" s="288"/>
      <c r="C51" s="287"/>
      <c r="D51" s="289"/>
      <c r="E51" s="289"/>
      <c r="F51" s="289"/>
      <c r="G51" s="289"/>
      <c r="H51" s="289"/>
      <c r="I51" s="289"/>
      <c r="J51" s="287"/>
    </row>
    <row r="52" spans="2:10">
      <c r="B52" s="288"/>
      <c r="C52" s="287"/>
      <c r="D52" s="287"/>
      <c r="E52" s="287"/>
      <c r="F52" s="287"/>
      <c r="G52" s="287"/>
      <c r="H52" s="287"/>
      <c r="I52" s="287"/>
      <c r="J52" s="287"/>
    </row>
    <row r="53" spans="2:10">
      <c r="B53" s="288"/>
      <c r="C53" s="287"/>
      <c r="D53" s="287"/>
      <c r="E53" s="287"/>
      <c r="F53" s="287"/>
      <c r="G53" s="287"/>
      <c r="H53" s="287"/>
      <c r="I53" s="287"/>
      <c r="J53" s="287"/>
    </row>
    <row r="54" spans="2:10">
      <c r="B54" s="288"/>
      <c r="C54" s="287"/>
      <c r="D54" s="287"/>
      <c r="E54" s="287"/>
      <c r="F54" s="287"/>
      <c r="G54" s="287"/>
      <c r="H54" s="287"/>
      <c r="I54" s="287"/>
      <c r="J54" s="287"/>
    </row>
    <row r="55" spans="2:10">
      <c r="B55" s="288"/>
      <c r="C55" s="287"/>
      <c r="D55" s="287"/>
      <c r="E55" s="287"/>
      <c r="F55" s="287"/>
      <c r="G55" s="287"/>
      <c r="H55" s="287"/>
      <c r="I55" s="287"/>
      <c r="J55" s="287"/>
    </row>
    <row r="56" spans="2:10">
      <c r="B56" s="288"/>
      <c r="C56" s="287"/>
      <c r="D56" s="287"/>
      <c r="E56" s="287"/>
      <c r="F56" s="287"/>
      <c r="G56" s="287"/>
      <c r="H56" s="287"/>
      <c r="I56" s="287"/>
      <c r="J56" s="287"/>
    </row>
    <row r="57" spans="2:10">
      <c r="B57" s="288"/>
      <c r="C57" s="287"/>
      <c r="D57" s="287"/>
      <c r="E57" s="287"/>
      <c r="F57" s="287"/>
      <c r="G57" s="287"/>
      <c r="H57" s="287"/>
      <c r="I57" s="287"/>
      <c r="J57" s="287"/>
    </row>
    <row r="58" spans="2:10">
      <c r="B58" s="288"/>
      <c r="C58" s="287"/>
      <c r="D58" s="287"/>
      <c r="E58" s="287"/>
      <c r="F58" s="287"/>
      <c r="G58" s="287"/>
      <c r="H58" s="287"/>
      <c r="I58" s="287"/>
      <c r="J58" s="287"/>
    </row>
    <row r="59" spans="2:10">
      <c r="B59" s="288"/>
      <c r="C59" s="287"/>
      <c r="D59" s="287"/>
      <c r="E59" s="287"/>
      <c r="F59" s="287"/>
      <c r="G59" s="287"/>
      <c r="H59" s="287"/>
      <c r="I59" s="287"/>
      <c r="J59" s="287"/>
    </row>
    <row r="60" spans="2:10">
      <c r="B60" s="288"/>
      <c r="C60" s="287"/>
      <c r="D60" s="287"/>
      <c r="E60" s="287"/>
      <c r="F60" s="287"/>
      <c r="G60" s="287"/>
      <c r="H60" s="287"/>
      <c r="I60" s="287"/>
      <c r="J60" s="287"/>
    </row>
    <row r="61" spans="2:10">
      <c r="B61" s="288"/>
      <c r="C61" s="287"/>
      <c r="D61" s="287"/>
      <c r="E61" s="287"/>
      <c r="F61" s="287"/>
      <c r="G61" s="287"/>
      <c r="H61" s="287"/>
      <c r="I61" s="287"/>
      <c r="J61" s="287"/>
    </row>
    <row r="62" spans="2:10">
      <c r="B62" s="288"/>
      <c r="C62" s="287"/>
      <c r="D62" s="287"/>
      <c r="E62" s="287"/>
      <c r="F62" s="287"/>
      <c r="G62" s="287"/>
      <c r="H62" s="287"/>
      <c r="I62" s="287"/>
      <c r="J62" s="287"/>
    </row>
    <row r="63" spans="2:10">
      <c r="B63" s="288"/>
      <c r="C63" s="287"/>
      <c r="D63" s="287"/>
      <c r="E63" s="287"/>
      <c r="F63" s="287"/>
      <c r="G63" s="287"/>
      <c r="H63" s="287"/>
      <c r="I63" s="287"/>
      <c r="J63" s="287"/>
    </row>
    <row r="64" spans="2:10">
      <c r="B64" s="288"/>
      <c r="C64" s="287"/>
      <c r="D64" s="287"/>
      <c r="E64" s="287"/>
      <c r="F64" s="287"/>
      <c r="G64" s="287"/>
      <c r="H64" s="287"/>
      <c r="I64" s="287"/>
      <c r="J64" s="287"/>
    </row>
    <row r="65" spans="2:10">
      <c r="B65" s="288"/>
      <c r="C65" s="287"/>
      <c r="D65" s="287"/>
      <c r="E65" s="287"/>
      <c r="F65" s="287"/>
      <c r="G65" s="287"/>
      <c r="H65" s="287"/>
      <c r="I65" s="287"/>
      <c r="J65" s="287"/>
    </row>
    <row r="66" spans="2:10">
      <c r="B66" s="288"/>
      <c r="C66" s="287"/>
      <c r="D66" s="287"/>
      <c r="E66" s="287"/>
      <c r="F66" s="287"/>
      <c r="G66" s="287"/>
      <c r="H66" s="287"/>
      <c r="I66" s="287"/>
      <c r="J66" s="287"/>
    </row>
    <row r="67" spans="2:10">
      <c r="B67" s="288"/>
      <c r="C67" s="287"/>
      <c r="D67" s="287"/>
      <c r="E67" s="287"/>
      <c r="F67" s="287"/>
      <c r="G67" s="287"/>
      <c r="H67" s="287"/>
      <c r="I67" s="287"/>
      <c r="J67" s="287"/>
    </row>
    <row r="68" spans="2:10">
      <c r="B68" s="288"/>
      <c r="C68" s="287"/>
      <c r="D68" s="287"/>
      <c r="E68" s="287"/>
      <c r="F68" s="287"/>
      <c r="G68" s="287"/>
      <c r="H68" s="287"/>
      <c r="I68" s="287"/>
      <c r="J68" s="287"/>
    </row>
    <row r="69" spans="2:10">
      <c r="B69" s="288"/>
      <c r="C69" s="287"/>
      <c r="D69" s="287"/>
      <c r="E69" s="287"/>
      <c r="F69" s="287"/>
      <c r="G69" s="287"/>
      <c r="H69" s="287"/>
      <c r="I69" s="287"/>
      <c r="J69" s="287"/>
    </row>
    <row r="70" spans="2:10">
      <c r="B70" s="288"/>
      <c r="C70" s="287"/>
      <c r="D70" s="287"/>
      <c r="E70" s="287"/>
      <c r="F70" s="287"/>
      <c r="G70" s="287"/>
      <c r="H70" s="287"/>
      <c r="I70" s="287"/>
      <c r="J70" s="287"/>
    </row>
    <row r="71" spans="2:10">
      <c r="B71" s="288"/>
      <c r="C71" s="287"/>
      <c r="D71" s="287"/>
      <c r="E71" s="287"/>
      <c r="F71" s="287"/>
      <c r="G71" s="287"/>
      <c r="H71" s="287"/>
      <c r="I71" s="287"/>
      <c r="J71" s="287"/>
    </row>
    <row r="72" spans="2:10">
      <c r="B72" s="288"/>
      <c r="C72" s="287"/>
      <c r="D72" s="287"/>
      <c r="E72" s="287"/>
      <c r="F72" s="287"/>
      <c r="G72" s="287"/>
      <c r="H72" s="287"/>
      <c r="I72" s="287"/>
      <c r="J72" s="287"/>
    </row>
    <row r="73" spans="2:10">
      <c r="B73" s="288"/>
      <c r="C73" s="287"/>
      <c r="D73" s="287"/>
      <c r="E73" s="287"/>
      <c r="F73" s="287"/>
      <c r="G73" s="287"/>
      <c r="H73" s="287"/>
      <c r="I73" s="287"/>
      <c r="J73" s="287"/>
    </row>
    <row r="74" spans="2:10">
      <c r="B74" s="288"/>
      <c r="C74" s="287"/>
      <c r="D74" s="287"/>
      <c r="E74" s="287"/>
      <c r="F74" s="287"/>
      <c r="G74" s="287"/>
      <c r="H74" s="287"/>
      <c r="I74" s="287"/>
      <c r="J74" s="287"/>
    </row>
    <row r="75" spans="2:10">
      <c r="B75" s="288"/>
      <c r="C75" s="287"/>
      <c r="D75" s="287"/>
      <c r="E75" s="287"/>
      <c r="F75" s="287"/>
      <c r="G75" s="287"/>
      <c r="H75" s="287"/>
      <c r="I75" s="287"/>
      <c r="J75" s="287"/>
    </row>
    <row r="76" spans="2:10">
      <c r="B76" s="288"/>
      <c r="C76" s="287"/>
      <c r="D76" s="287"/>
      <c r="E76" s="287"/>
      <c r="F76" s="287"/>
      <c r="G76" s="287"/>
      <c r="H76" s="287"/>
      <c r="I76" s="287"/>
      <c r="J76" s="287"/>
    </row>
    <row r="77" spans="2:10">
      <c r="B77" s="288"/>
      <c r="C77" s="287"/>
      <c r="D77" s="287"/>
      <c r="E77" s="287"/>
      <c r="F77" s="287"/>
      <c r="G77" s="287"/>
      <c r="H77" s="287"/>
      <c r="I77" s="287"/>
      <c r="J77" s="287"/>
    </row>
    <row r="78" spans="2:10">
      <c r="B78" s="288"/>
      <c r="C78" s="287"/>
      <c r="D78" s="287"/>
      <c r="E78" s="287"/>
      <c r="F78" s="287"/>
      <c r="G78" s="287"/>
      <c r="H78" s="287"/>
      <c r="I78" s="287"/>
      <c r="J78" s="287"/>
    </row>
    <row r="79" spans="2:10">
      <c r="B79" s="288"/>
      <c r="C79" s="287"/>
      <c r="D79" s="287"/>
      <c r="E79" s="287"/>
      <c r="F79" s="287"/>
      <c r="G79" s="287"/>
      <c r="H79" s="287"/>
      <c r="I79" s="287"/>
      <c r="J79" s="287"/>
    </row>
    <row r="80" spans="2:10">
      <c r="B80" s="288"/>
      <c r="C80" s="287"/>
      <c r="D80" s="287"/>
      <c r="E80" s="287"/>
      <c r="F80" s="287"/>
      <c r="G80" s="287"/>
      <c r="H80" s="287"/>
      <c r="I80" s="287"/>
      <c r="J80" s="287"/>
    </row>
    <row r="81" spans="2:10">
      <c r="B81" s="288"/>
      <c r="C81" s="287"/>
      <c r="D81" s="287"/>
      <c r="E81" s="287"/>
      <c r="F81" s="287"/>
      <c r="G81" s="287"/>
      <c r="H81" s="287"/>
      <c r="I81" s="287"/>
      <c r="J81" s="287"/>
    </row>
    <row r="82" spans="2:10">
      <c r="B82" s="288"/>
      <c r="C82" s="287"/>
      <c r="D82" s="287"/>
      <c r="E82" s="287"/>
      <c r="F82" s="287"/>
      <c r="G82" s="287"/>
      <c r="H82" s="287"/>
      <c r="I82" s="287"/>
      <c r="J82" s="287"/>
    </row>
    <row r="83" spans="2:10">
      <c r="B83" s="288"/>
      <c r="C83" s="287"/>
      <c r="D83" s="287"/>
      <c r="E83" s="287"/>
      <c r="F83" s="287"/>
      <c r="G83" s="287"/>
      <c r="H83" s="287"/>
      <c r="I83" s="287"/>
      <c r="J83" s="287"/>
    </row>
    <row r="84" spans="2:10">
      <c r="B84" s="288"/>
      <c r="C84" s="287"/>
      <c r="D84" s="287"/>
      <c r="E84" s="287"/>
      <c r="F84" s="287"/>
      <c r="G84" s="287"/>
      <c r="H84" s="287"/>
      <c r="I84" s="287"/>
      <c r="J84" s="287"/>
    </row>
    <row r="85" spans="2:10">
      <c r="B85" s="288"/>
      <c r="C85" s="287"/>
      <c r="D85" s="287"/>
      <c r="E85" s="287"/>
      <c r="F85" s="287"/>
      <c r="G85" s="287"/>
      <c r="H85" s="287"/>
      <c r="I85" s="287"/>
      <c r="J85" s="287"/>
    </row>
    <row r="86" spans="2:10">
      <c r="B86" s="288"/>
      <c r="C86" s="287"/>
      <c r="D86" s="287"/>
      <c r="E86" s="287"/>
      <c r="F86" s="287"/>
      <c r="G86" s="287"/>
      <c r="H86" s="287"/>
      <c r="I86" s="287"/>
      <c r="J86" s="287"/>
    </row>
    <row r="87" spans="2:10">
      <c r="B87" s="288"/>
      <c r="C87" s="287"/>
      <c r="D87" s="287"/>
      <c r="E87" s="287"/>
      <c r="F87" s="287"/>
      <c r="G87" s="287"/>
      <c r="H87" s="287"/>
      <c r="I87" s="287"/>
      <c r="J87" s="287"/>
    </row>
    <row r="88" spans="2:10">
      <c r="B88" s="288"/>
      <c r="C88" s="287"/>
      <c r="D88" s="287"/>
      <c r="E88" s="287"/>
      <c r="F88" s="287"/>
      <c r="G88" s="287"/>
      <c r="H88" s="287"/>
      <c r="I88" s="287"/>
      <c r="J88" s="287"/>
    </row>
    <row r="89" spans="2:10">
      <c r="B89" s="288"/>
      <c r="C89" s="287"/>
      <c r="D89" s="287"/>
      <c r="E89" s="287"/>
      <c r="F89" s="287"/>
      <c r="G89" s="287"/>
      <c r="H89" s="287"/>
      <c r="I89" s="287"/>
      <c r="J89" s="287"/>
    </row>
    <row r="90" spans="2:10">
      <c r="B90" s="288"/>
      <c r="C90" s="287"/>
      <c r="D90" s="287"/>
      <c r="E90" s="287"/>
      <c r="F90" s="287"/>
      <c r="G90" s="287"/>
      <c r="H90" s="287"/>
      <c r="I90" s="287"/>
      <c r="J90" s="287"/>
    </row>
    <row r="91" spans="2:10">
      <c r="B91" s="288"/>
      <c r="C91" s="287"/>
      <c r="D91" s="287"/>
      <c r="E91" s="287"/>
      <c r="F91" s="287"/>
      <c r="G91" s="287"/>
      <c r="H91" s="287"/>
      <c r="I91" s="287"/>
      <c r="J91" s="287"/>
    </row>
    <row r="92" spans="2:10">
      <c r="B92" s="288"/>
      <c r="C92" s="287"/>
      <c r="D92" s="287"/>
      <c r="E92" s="287"/>
      <c r="F92" s="287"/>
      <c r="G92" s="287"/>
      <c r="H92" s="287"/>
      <c r="I92" s="287"/>
      <c r="J92" s="287"/>
    </row>
    <row r="93" spans="2:10">
      <c r="B93" s="288"/>
      <c r="C93" s="287"/>
      <c r="D93" s="287"/>
      <c r="E93" s="287"/>
      <c r="F93" s="287"/>
      <c r="G93" s="287"/>
      <c r="H93" s="287"/>
      <c r="I93" s="287"/>
      <c r="J93" s="287"/>
    </row>
    <row r="94" spans="2:10">
      <c r="B94" s="288"/>
      <c r="C94" s="287"/>
      <c r="D94" s="287"/>
      <c r="E94" s="287"/>
      <c r="F94" s="287"/>
      <c r="G94" s="287"/>
      <c r="H94" s="287"/>
      <c r="I94" s="287"/>
      <c r="J94" s="287"/>
    </row>
    <row r="95" spans="2:10">
      <c r="B95" s="288"/>
      <c r="C95" s="287"/>
      <c r="D95" s="287"/>
      <c r="E95" s="287"/>
      <c r="F95" s="287"/>
      <c r="G95" s="287"/>
      <c r="H95" s="287"/>
      <c r="I95" s="287"/>
      <c r="J95" s="287"/>
    </row>
    <row r="96" spans="2:10">
      <c r="B96" s="288"/>
      <c r="C96" s="287"/>
      <c r="D96" s="287"/>
      <c r="E96" s="287"/>
      <c r="F96" s="287"/>
      <c r="G96" s="287"/>
      <c r="H96" s="287"/>
      <c r="I96" s="287"/>
      <c r="J96" s="287"/>
    </row>
    <row r="97" spans="2:10">
      <c r="B97" s="288"/>
      <c r="C97" s="287"/>
      <c r="D97" s="287"/>
      <c r="E97" s="287"/>
      <c r="F97" s="287"/>
      <c r="G97" s="287"/>
      <c r="H97" s="287"/>
      <c r="I97" s="287"/>
      <c r="J97" s="287"/>
    </row>
    <row r="98" spans="2:10">
      <c r="B98" s="288"/>
      <c r="C98" s="287"/>
      <c r="D98" s="287"/>
      <c r="E98" s="287"/>
      <c r="F98" s="287"/>
      <c r="G98" s="287"/>
      <c r="H98" s="287"/>
      <c r="I98" s="287"/>
      <c r="J98" s="287"/>
    </row>
    <row r="99" spans="2:10">
      <c r="B99" s="288"/>
      <c r="C99" s="287"/>
      <c r="D99" s="287"/>
      <c r="E99" s="287"/>
      <c r="F99" s="287"/>
      <c r="G99" s="287"/>
      <c r="H99" s="287"/>
      <c r="I99" s="287"/>
      <c r="J99" s="287"/>
    </row>
    <row r="100" spans="2:10">
      <c r="B100" s="288"/>
      <c r="C100" s="287"/>
      <c r="D100" s="287"/>
      <c r="E100" s="287"/>
      <c r="F100" s="287"/>
      <c r="G100" s="287"/>
      <c r="H100" s="287"/>
      <c r="I100" s="287"/>
      <c r="J100" s="287"/>
    </row>
    <row r="101" spans="2:10">
      <c r="B101" s="288"/>
      <c r="C101" s="287"/>
      <c r="D101" s="287"/>
      <c r="E101" s="287"/>
      <c r="F101" s="287"/>
      <c r="G101" s="287"/>
      <c r="H101" s="287"/>
      <c r="I101" s="287"/>
      <c r="J101" s="287"/>
    </row>
    <row r="102" spans="2:10">
      <c r="B102" s="286"/>
      <c r="C102" s="285"/>
      <c r="D102" s="285"/>
      <c r="E102" s="285"/>
      <c r="F102" s="285"/>
      <c r="H102" s="285"/>
    </row>
    <row r="103" spans="2:10">
      <c r="B103" s="286"/>
      <c r="C103" s="285"/>
      <c r="D103" s="285"/>
      <c r="E103" s="285"/>
      <c r="F103" s="285"/>
      <c r="H103" s="285"/>
    </row>
    <row r="104" spans="2:10">
      <c r="B104" s="286"/>
      <c r="C104" s="285"/>
      <c r="D104" s="285"/>
      <c r="E104" s="285"/>
      <c r="F104" s="285"/>
      <c r="H104" s="285"/>
    </row>
    <row r="105" spans="2:10">
      <c r="B105" s="286"/>
      <c r="C105" s="285"/>
      <c r="D105" s="285"/>
      <c r="E105" s="285"/>
      <c r="F105" s="285"/>
      <c r="H105" s="285"/>
    </row>
    <row r="106" spans="2:10">
      <c r="B106" s="286"/>
      <c r="C106" s="285"/>
      <c r="D106" s="285"/>
      <c r="E106" s="285"/>
      <c r="F106" s="285"/>
      <c r="H106" s="285"/>
    </row>
    <row r="107" spans="2:10">
      <c r="B107" s="286"/>
      <c r="C107" s="285"/>
      <c r="D107" s="285"/>
      <c r="E107" s="285"/>
      <c r="F107" s="285"/>
      <c r="H107" s="285"/>
    </row>
    <row r="108" spans="2:10">
      <c r="B108" s="286"/>
      <c r="C108" s="285"/>
      <c r="D108" s="285"/>
      <c r="E108" s="285"/>
      <c r="F108" s="285"/>
      <c r="H108" s="285"/>
    </row>
    <row r="109" spans="2:10">
      <c r="B109" s="286"/>
      <c r="C109" s="285"/>
      <c r="D109" s="285"/>
      <c r="E109" s="285"/>
      <c r="F109" s="285"/>
      <c r="H109" s="285"/>
    </row>
    <row r="110" spans="2:10">
      <c r="B110" s="286"/>
      <c r="C110" s="285"/>
      <c r="D110" s="285"/>
      <c r="E110" s="285"/>
      <c r="F110" s="285"/>
      <c r="H110" s="285"/>
    </row>
    <row r="111" spans="2:10">
      <c r="B111" s="286"/>
      <c r="C111" s="285"/>
      <c r="D111" s="285"/>
      <c r="E111" s="285"/>
      <c r="F111" s="285"/>
      <c r="H111" s="285"/>
    </row>
    <row r="112" spans="2:10">
      <c r="B112" s="286"/>
      <c r="C112" s="285"/>
      <c r="D112" s="285"/>
      <c r="E112" s="285"/>
      <c r="F112" s="285"/>
      <c r="H112" s="285"/>
    </row>
    <row r="113" spans="2:8">
      <c r="B113" s="286"/>
      <c r="C113" s="285"/>
      <c r="D113" s="285"/>
      <c r="E113" s="285"/>
      <c r="F113" s="285"/>
      <c r="H113" s="285"/>
    </row>
    <row r="114" spans="2:8">
      <c r="B114" s="286"/>
      <c r="C114" s="285"/>
      <c r="D114" s="285"/>
      <c r="E114" s="285"/>
      <c r="F114" s="285"/>
      <c r="H114" s="285"/>
    </row>
    <row r="115" spans="2:8">
      <c r="B115" s="286"/>
      <c r="C115" s="285"/>
      <c r="D115" s="285"/>
      <c r="E115" s="285"/>
      <c r="F115" s="285"/>
      <c r="H115" s="285"/>
    </row>
    <row r="116" spans="2:8">
      <c r="B116" s="286"/>
      <c r="C116" s="285"/>
      <c r="D116" s="285"/>
      <c r="E116" s="285"/>
      <c r="F116" s="285"/>
      <c r="H116" s="285"/>
    </row>
    <row r="117" spans="2:8">
      <c r="B117" s="286"/>
      <c r="C117" s="285"/>
      <c r="D117" s="285"/>
      <c r="E117" s="285"/>
      <c r="F117" s="285"/>
      <c r="H117" s="285"/>
    </row>
    <row r="118" spans="2:8">
      <c r="B118" s="286"/>
      <c r="C118" s="285"/>
      <c r="D118" s="285"/>
      <c r="E118" s="285"/>
      <c r="F118" s="285"/>
      <c r="H118" s="285"/>
    </row>
    <row r="119" spans="2:8">
      <c r="B119" s="286"/>
      <c r="C119" s="285"/>
      <c r="D119" s="285"/>
      <c r="E119" s="285"/>
      <c r="F119" s="285"/>
      <c r="H119" s="285"/>
    </row>
    <row r="120" spans="2:8">
      <c r="B120" s="286"/>
      <c r="C120" s="285"/>
      <c r="D120" s="285"/>
      <c r="E120" s="285"/>
      <c r="F120" s="285"/>
      <c r="H120" s="285"/>
    </row>
    <row r="121" spans="2:8">
      <c r="B121" s="286"/>
      <c r="C121" s="285"/>
      <c r="D121" s="285"/>
      <c r="E121" s="285"/>
      <c r="F121" s="285"/>
      <c r="H121" s="285"/>
    </row>
    <row r="122" spans="2:8">
      <c r="B122" s="286"/>
      <c r="C122" s="285"/>
      <c r="D122" s="285"/>
      <c r="E122" s="285"/>
      <c r="F122" s="285"/>
      <c r="H122" s="285"/>
    </row>
    <row r="123" spans="2:8">
      <c r="B123" s="286"/>
      <c r="C123" s="285"/>
      <c r="D123" s="285"/>
      <c r="E123" s="285"/>
      <c r="F123" s="285"/>
      <c r="H123" s="285"/>
    </row>
    <row r="124" spans="2:8">
      <c r="B124" s="286"/>
      <c r="C124" s="285"/>
      <c r="D124" s="285"/>
      <c r="E124" s="285"/>
      <c r="F124" s="285"/>
      <c r="H124" s="285"/>
    </row>
    <row r="125" spans="2:8">
      <c r="B125" s="286"/>
      <c r="C125" s="285"/>
      <c r="D125" s="285"/>
      <c r="E125" s="285"/>
      <c r="F125" s="285"/>
      <c r="H125" s="285"/>
    </row>
    <row r="126" spans="2:8">
      <c r="B126" s="286"/>
      <c r="C126" s="285"/>
      <c r="D126" s="285"/>
      <c r="E126" s="285"/>
      <c r="F126" s="285"/>
      <c r="H126" s="285"/>
    </row>
    <row r="127" spans="2:8">
      <c r="B127" s="286"/>
      <c r="C127" s="285"/>
      <c r="D127" s="285"/>
      <c r="E127" s="285"/>
      <c r="F127" s="285"/>
      <c r="H127" s="285"/>
    </row>
    <row r="128" spans="2:8">
      <c r="B128" s="286"/>
      <c r="C128" s="285"/>
      <c r="D128" s="285"/>
      <c r="E128" s="285"/>
      <c r="F128" s="285"/>
      <c r="H128" s="285"/>
    </row>
    <row r="129" spans="2:8">
      <c r="B129" s="286"/>
      <c r="C129" s="285"/>
      <c r="D129" s="285"/>
      <c r="E129" s="285"/>
      <c r="F129" s="285"/>
      <c r="H129" s="285"/>
    </row>
    <row r="130" spans="2:8">
      <c r="B130" s="286"/>
      <c r="C130" s="285"/>
      <c r="D130" s="285"/>
      <c r="E130" s="285"/>
      <c r="F130" s="285"/>
      <c r="H130" s="285"/>
    </row>
    <row r="131" spans="2:8">
      <c r="B131" s="286"/>
      <c r="C131" s="285"/>
      <c r="D131" s="285"/>
      <c r="E131" s="285"/>
      <c r="F131" s="285"/>
      <c r="H131" s="285"/>
    </row>
    <row r="132" spans="2:8">
      <c r="B132" s="286"/>
      <c r="C132" s="285"/>
      <c r="D132" s="285"/>
      <c r="E132" s="285"/>
      <c r="F132" s="285"/>
      <c r="H132" s="285"/>
    </row>
    <row r="133" spans="2:8">
      <c r="B133" s="286"/>
      <c r="C133" s="285"/>
      <c r="D133" s="285"/>
      <c r="E133" s="285"/>
      <c r="F133" s="285"/>
      <c r="H133" s="285"/>
    </row>
    <row r="134" spans="2:8">
      <c r="B134" s="286"/>
      <c r="C134" s="285"/>
      <c r="D134" s="285"/>
      <c r="E134" s="285"/>
      <c r="F134" s="285"/>
      <c r="H134" s="285"/>
    </row>
    <row r="135" spans="2:8">
      <c r="B135" s="286"/>
      <c r="C135" s="285"/>
      <c r="D135" s="285"/>
      <c r="E135" s="285"/>
      <c r="F135" s="285"/>
      <c r="H135" s="285"/>
    </row>
    <row r="136" spans="2:8">
      <c r="B136" s="286"/>
      <c r="C136" s="285"/>
      <c r="D136" s="285"/>
      <c r="E136" s="285"/>
      <c r="F136" s="285"/>
      <c r="H136" s="285"/>
    </row>
    <row r="137" spans="2:8">
      <c r="B137" s="286"/>
      <c r="C137" s="285"/>
      <c r="D137" s="285"/>
      <c r="E137" s="285"/>
      <c r="F137" s="285"/>
      <c r="H137" s="285"/>
    </row>
    <row r="138" spans="2:8">
      <c r="B138" s="286"/>
      <c r="C138" s="285"/>
      <c r="D138" s="285"/>
      <c r="E138" s="285"/>
      <c r="F138" s="285"/>
      <c r="H138" s="285"/>
    </row>
    <row r="139" spans="2:8">
      <c r="B139" s="286"/>
      <c r="C139" s="285"/>
      <c r="D139" s="285"/>
      <c r="E139" s="285"/>
      <c r="F139" s="285"/>
      <c r="H139" s="285"/>
    </row>
    <row r="140" spans="2:8">
      <c r="B140" s="286"/>
      <c r="C140" s="285"/>
      <c r="D140" s="285"/>
      <c r="E140" s="285"/>
      <c r="F140" s="285"/>
      <c r="H140" s="285"/>
    </row>
    <row r="141" spans="2:8">
      <c r="B141" s="286"/>
      <c r="C141" s="285"/>
      <c r="D141" s="285"/>
      <c r="E141" s="285"/>
      <c r="F141" s="285"/>
      <c r="H141" s="285"/>
    </row>
    <row r="142" spans="2:8">
      <c r="B142" s="286"/>
      <c r="C142" s="285"/>
      <c r="D142" s="285"/>
      <c r="E142" s="285"/>
      <c r="F142" s="285"/>
      <c r="H142" s="285"/>
    </row>
    <row r="143" spans="2:8">
      <c r="B143" s="286"/>
      <c r="C143" s="285"/>
      <c r="D143" s="285"/>
      <c r="E143" s="285"/>
      <c r="F143" s="285"/>
      <c r="H143" s="285"/>
    </row>
    <row r="144" spans="2:8">
      <c r="B144" s="286"/>
      <c r="C144" s="285"/>
      <c r="D144" s="285"/>
      <c r="E144" s="285"/>
      <c r="F144" s="285"/>
      <c r="H144" s="285"/>
    </row>
    <row r="145" spans="2:8">
      <c r="B145" s="286"/>
      <c r="C145" s="285"/>
      <c r="D145" s="285"/>
      <c r="E145" s="285"/>
      <c r="F145" s="285"/>
      <c r="H145" s="285"/>
    </row>
    <row r="146" spans="2:8">
      <c r="B146" s="286"/>
      <c r="C146" s="285"/>
      <c r="D146" s="285"/>
      <c r="E146" s="285"/>
      <c r="F146" s="285"/>
      <c r="H146" s="285"/>
    </row>
    <row r="147" spans="2:8">
      <c r="B147" s="286"/>
      <c r="C147" s="285"/>
      <c r="D147" s="285"/>
      <c r="E147" s="285"/>
      <c r="F147" s="285"/>
      <c r="H147" s="285"/>
    </row>
    <row r="148" spans="2:8">
      <c r="B148" s="286"/>
      <c r="C148" s="285"/>
      <c r="D148" s="285"/>
      <c r="E148" s="285"/>
      <c r="F148" s="285"/>
      <c r="H148" s="285"/>
    </row>
    <row r="149" spans="2:8">
      <c r="B149" s="286"/>
      <c r="C149" s="285"/>
      <c r="D149" s="285"/>
      <c r="E149" s="285"/>
      <c r="F149" s="285"/>
      <c r="H149" s="285"/>
    </row>
    <row r="150" spans="2:8">
      <c r="B150" s="286"/>
      <c r="C150" s="285"/>
      <c r="D150" s="285"/>
      <c r="E150" s="285"/>
      <c r="F150" s="285"/>
      <c r="H150" s="285"/>
    </row>
    <row r="151" spans="2:8">
      <c r="B151" s="286"/>
      <c r="C151" s="285"/>
      <c r="D151" s="285"/>
      <c r="E151" s="285"/>
      <c r="F151" s="285"/>
      <c r="H151" s="285"/>
    </row>
    <row r="152" spans="2:8">
      <c r="B152" s="286"/>
      <c r="C152" s="285"/>
      <c r="D152" s="285"/>
      <c r="E152" s="285"/>
      <c r="F152" s="285"/>
      <c r="H152" s="285"/>
    </row>
    <row r="153" spans="2:8">
      <c r="B153" s="286"/>
      <c r="C153" s="285"/>
      <c r="D153" s="285"/>
      <c r="E153" s="285"/>
      <c r="F153" s="285"/>
      <c r="H153" s="285"/>
    </row>
    <row r="154" spans="2:8">
      <c r="B154" s="286"/>
      <c r="C154" s="285"/>
      <c r="D154" s="285"/>
      <c r="E154" s="285"/>
      <c r="F154" s="285"/>
      <c r="H154" s="285"/>
    </row>
    <row r="155" spans="2:8">
      <c r="B155" s="286"/>
      <c r="C155" s="285"/>
      <c r="D155" s="285"/>
      <c r="E155" s="285"/>
      <c r="F155" s="285"/>
      <c r="H155" s="285"/>
    </row>
    <row r="156" spans="2:8">
      <c r="B156" s="286"/>
      <c r="C156" s="285"/>
      <c r="D156" s="285"/>
      <c r="E156" s="285"/>
      <c r="F156" s="285"/>
      <c r="H156" s="285"/>
    </row>
    <row r="157" spans="2:8">
      <c r="B157" s="286"/>
      <c r="C157" s="285"/>
      <c r="D157" s="285"/>
      <c r="E157" s="285"/>
      <c r="F157" s="285"/>
      <c r="H157" s="285"/>
    </row>
    <row r="158" spans="2:8">
      <c r="B158" s="286"/>
      <c r="C158" s="285"/>
      <c r="D158" s="285"/>
      <c r="E158" s="285"/>
      <c r="F158" s="285"/>
      <c r="H158" s="285"/>
    </row>
    <row r="159" spans="2:8">
      <c r="B159" s="286"/>
      <c r="C159" s="285"/>
      <c r="D159" s="285"/>
      <c r="E159" s="285"/>
      <c r="F159" s="285"/>
      <c r="H159" s="285"/>
    </row>
    <row r="160" spans="2:8">
      <c r="B160" s="286"/>
      <c r="C160" s="285"/>
      <c r="D160" s="285"/>
      <c r="E160" s="285"/>
      <c r="F160" s="285"/>
      <c r="H160" s="285"/>
    </row>
    <row r="161" spans="2:8">
      <c r="B161" s="286"/>
      <c r="C161" s="285"/>
      <c r="D161" s="285"/>
      <c r="E161" s="285"/>
      <c r="F161" s="285"/>
      <c r="H161" s="285"/>
    </row>
    <row r="162" spans="2:8">
      <c r="B162" s="286"/>
      <c r="C162" s="285"/>
      <c r="D162" s="285"/>
      <c r="E162" s="285"/>
      <c r="F162" s="285"/>
      <c r="H162" s="285"/>
    </row>
    <row r="163" spans="2:8">
      <c r="B163" s="286"/>
      <c r="C163" s="285"/>
      <c r="D163" s="285"/>
      <c r="E163" s="285"/>
      <c r="F163" s="285"/>
      <c r="H163" s="285"/>
    </row>
    <row r="164" spans="2:8">
      <c r="B164" s="286"/>
      <c r="C164" s="285"/>
      <c r="D164" s="285"/>
      <c r="E164" s="285"/>
      <c r="F164" s="285"/>
      <c r="H164" s="285"/>
    </row>
    <row r="165" spans="2:8">
      <c r="B165" s="286"/>
      <c r="C165" s="285"/>
      <c r="D165" s="285"/>
      <c r="E165" s="285"/>
      <c r="F165" s="285"/>
      <c r="H165" s="285"/>
    </row>
    <row r="166" spans="2:8">
      <c r="B166" s="286"/>
      <c r="C166" s="285"/>
      <c r="D166" s="285"/>
      <c r="E166" s="285"/>
      <c r="F166" s="285"/>
      <c r="H166" s="285"/>
    </row>
    <row r="167" spans="2:8">
      <c r="B167" s="286"/>
      <c r="C167" s="285"/>
      <c r="D167" s="285"/>
      <c r="E167" s="285"/>
      <c r="F167" s="285"/>
      <c r="H167" s="285"/>
    </row>
    <row r="168" spans="2:8">
      <c r="B168" s="286"/>
      <c r="C168" s="285"/>
      <c r="D168" s="285"/>
      <c r="E168" s="285"/>
      <c r="F168" s="285"/>
      <c r="H168" s="285"/>
    </row>
    <row r="169" spans="2:8">
      <c r="B169" s="286"/>
      <c r="C169" s="285"/>
      <c r="D169" s="285"/>
      <c r="E169" s="285"/>
      <c r="F169" s="285"/>
      <c r="H169" s="285"/>
    </row>
    <row r="170" spans="2:8">
      <c r="B170" s="286"/>
      <c r="C170" s="285"/>
      <c r="D170" s="285"/>
      <c r="E170" s="285"/>
      <c r="F170" s="285"/>
      <c r="H170" s="285"/>
    </row>
    <row r="171" spans="2:8">
      <c r="B171" s="286"/>
      <c r="C171" s="285"/>
      <c r="D171" s="285"/>
      <c r="E171" s="285"/>
      <c r="F171" s="285"/>
      <c r="H171" s="285"/>
    </row>
    <row r="172" spans="2:8">
      <c r="B172" s="286"/>
      <c r="C172" s="285"/>
      <c r="D172" s="285"/>
      <c r="E172" s="285"/>
      <c r="F172" s="285"/>
      <c r="H172" s="285"/>
    </row>
    <row r="173" spans="2:8">
      <c r="B173" s="286"/>
      <c r="C173" s="285"/>
      <c r="D173" s="285"/>
      <c r="E173" s="285"/>
      <c r="F173" s="285"/>
      <c r="H173" s="285"/>
    </row>
    <row r="174" spans="2:8">
      <c r="B174" s="286"/>
      <c r="C174" s="285"/>
      <c r="D174" s="285"/>
      <c r="E174" s="285"/>
      <c r="F174" s="285"/>
      <c r="H174" s="285"/>
    </row>
    <row r="175" spans="2:8">
      <c r="B175" s="286"/>
      <c r="C175" s="285"/>
      <c r="D175" s="285"/>
      <c r="E175" s="285"/>
      <c r="F175" s="285"/>
      <c r="H175" s="285"/>
    </row>
    <row r="176" spans="2:8">
      <c r="B176" s="286"/>
      <c r="C176" s="285"/>
      <c r="D176" s="285"/>
      <c r="E176" s="285"/>
      <c r="F176" s="285"/>
      <c r="H176" s="285"/>
    </row>
    <row r="177" spans="2:8">
      <c r="B177" s="286"/>
      <c r="C177" s="285"/>
      <c r="D177" s="285"/>
      <c r="E177" s="285"/>
      <c r="F177" s="285"/>
      <c r="H177" s="285"/>
    </row>
    <row r="178" spans="2:8">
      <c r="B178" s="286"/>
      <c r="C178" s="285"/>
      <c r="D178" s="285"/>
      <c r="E178" s="285"/>
      <c r="F178" s="285"/>
      <c r="H178" s="285"/>
    </row>
    <row r="179" spans="2:8">
      <c r="B179" s="286"/>
      <c r="C179" s="285"/>
      <c r="D179" s="285"/>
      <c r="E179" s="285"/>
      <c r="F179" s="285"/>
      <c r="H179" s="285"/>
    </row>
    <row r="180" spans="2:8">
      <c r="B180" s="286"/>
      <c r="C180" s="285"/>
      <c r="D180" s="285"/>
      <c r="E180" s="285"/>
      <c r="F180" s="285"/>
      <c r="H180" s="285"/>
    </row>
    <row r="181" spans="2:8">
      <c r="B181" s="286"/>
      <c r="C181" s="285"/>
      <c r="D181" s="285"/>
      <c r="E181" s="285"/>
      <c r="F181" s="285"/>
      <c r="H181" s="285"/>
    </row>
    <row r="182" spans="2:8">
      <c r="B182" s="286"/>
      <c r="C182" s="285"/>
      <c r="D182" s="285"/>
      <c r="E182" s="285"/>
      <c r="F182" s="285"/>
      <c r="H182" s="285"/>
    </row>
    <row r="183" spans="2:8">
      <c r="B183" s="286"/>
      <c r="C183" s="285"/>
      <c r="D183" s="285"/>
      <c r="E183" s="285"/>
      <c r="F183" s="285"/>
      <c r="H183" s="285"/>
    </row>
    <row r="184" spans="2:8">
      <c r="B184" s="286"/>
      <c r="C184" s="285"/>
      <c r="D184" s="285"/>
      <c r="E184" s="285"/>
      <c r="F184" s="285"/>
      <c r="H184" s="285"/>
    </row>
    <row r="185" spans="2:8">
      <c r="B185" s="286"/>
      <c r="C185" s="285"/>
      <c r="D185" s="285"/>
      <c r="E185" s="285"/>
      <c r="F185" s="285"/>
      <c r="H185" s="285"/>
    </row>
    <row r="186" spans="2:8">
      <c r="B186" s="286"/>
      <c r="C186" s="285"/>
      <c r="D186" s="285"/>
      <c r="E186" s="285"/>
      <c r="F186" s="285"/>
      <c r="H186" s="285"/>
    </row>
    <row r="187" spans="2:8">
      <c r="B187" s="286"/>
      <c r="C187" s="285"/>
      <c r="D187" s="285"/>
      <c r="E187" s="285"/>
      <c r="F187" s="285"/>
      <c r="H187" s="285"/>
    </row>
    <row r="188" spans="2:8">
      <c r="B188" s="286"/>
      <c r="C188" s="285"/>
      <c r="D188" s="285"/>
      <c r="E188" s="285"/>
      <c r="F188" s="285"/>
      <c r="H188" s="285"/>
    </row>
    <row r="189" spans="2:8">
      <c r="B189" s="286"/>
      <c r="C189" s="285"/>
      <c r="D189" s="285"/>
      <c r="E189" s="285"/>
      <c r="F189" s="285"/>
      <c r="H189" s="285"/>
    </row>
    <row r="190" spans="2:8">
      <c r="B190" s="286"/>
      <c r="C190" s="285"/>
      <c r="D190" s="285"/>
      <c r="E190" s="285"/>
      <c r="F190" s="285"/>
      <c r="H190" s="285"/>
    </row>
    <row r="191" spans="2:8">
      <c r="B191" s="286"/>
      <c r="C191" s="285"/>
      <c r="D191" s="285"/>
      <c r="E191" s="285"/>
      <c r="F191" s="285"/>
      <c r="H191" s="285"/>
    </row>
    <row r="192" spans="2:8">
      <c r="B192" s="286"/>
      <c r="C192" s="285"/>
      <c r="D192" s="285"/>
      <c r="E192" s="285"/>
      <c r="F192" s="285"/>
      <c r="H192" s="285"/>
    </row>
    <row r="193" spans="2:8">
      <c r="B193" s="286"/>
      <c r="C193" s="285"/>
      <c r="D193" s="285"/>
      <c r="E193" s="285"/>
      <c r="F193" s="285"/>
      <c r="H193" s="285"/>
    </row>
    <row r="194" spans="2:8">
      <c r="B194" s="286"/>
      <c r="C194" s="285"/>
      <c r="D194" s="285"/>
      <c r="E194" s="285"/>
      <c r="F194" s="285"/>
      <c r="H194" s="285"/>
    </row>
    <row r="195" spans="2:8">
      <c r="B195" s="286"/>
      <c r="C195" s="285"/>
      <c r="D195" s="285"/>
      <c r="E195" s="285"/>
      <c r="F195" s="285"/>
      <c r="H195" s="285"/>
    </row>
    <row r="196" spans="2:8">
      <c r="B196" s="286"/>
      <c r="C196" s="285"/>
      <c r="D196" s="285"/>
      <c r="E196" s="285"/>
      <c r="F196" s="285"/>
      <c r="H196" s="285"/>
    </row>
    <row r="197" spans="2:8">
      <c r="B197" s="286"/>
      <c r="C197" s="285"/>
      <c r="D197" s="285"/>
      <c r="E197" s="285"/>
      <c r="F197" s="285"/>
      <c r="H197" s="285"/>
    </row>
    <row r="198" spans="2:8">
      <c r="B198" s="286"/>
      <c r="C198" s="285"/>
      <c r="D198" s="285"/>
      <c r="E198" s="285"/>
      <c r="F198" s="285"/>
      <c r="H198" s="285"/>
    </row>
    <row r="199" spans="2:8">
      <c r="B199" s="286"/>
      <c r="C199" s="285"/>
      <c r="D199" s="285"/>
      <c r="E199" s="285"/>
      <c r="F199" s="285"/>
      <c r="H199" s="285"/>
    </row>
    <row r="200" spans="2:8">
      <c r="B200" s="286"/>
      <c r="C200" s="285"/>
      <c r="D200" s="285"/>
      <c r="E200" s="285"/>
      <c r="F200" s="285"/>
      <c r="H200" s="285"/>
    </row>
    <row r="201" spans="2:8">
      <c r="B201" s="286"/>
      <c r="C201" s="285"/>
      <c r="D201" s="285"/>
      <c r="E201" s="285"/>
      <c r="F201" s="285"/>
      <c r="H201" s="285"/>
    </row>
    <row r="202" spans="2:8">
      <c r="B202" s="286"/>
      <c r="C202" s="285"/>
      <c r="D202" s="285"/>
      <c r="E202" s="285"/>
      <c r="F202" s="285"/>
      <c r="H202" s="285"/>
    </row>
    <row r="203" spans="2:8">
      <c r="B203" s="286"/>
      <c r="C203" s="285"/>
      <c r="D203" s="285"/>
      <c r="E203" s="285"/>
      <c r="F203" s="285"/>
      <c r="H203" s="285"/>
    </row>
    <row r="204" spans="2:8">
      <c r="B204" s="286"/>
      <c r="C204" s="285"/>
      <c r="D204" s="285"/>
      <c r="E204" s="285"/>
      <c r="F204" s="285"/>
      <c r="H204" s="285"/>
    </row>
    <row r="205" spans="2:8">
      <c r="B205" s="286"/>
      <c r="C205" s="285"/>
      <c r="D205" s="285"/>
      <c r="E205" s="285"/>
      <c r="F205" s="285"/>
      <c r="H205" s="285"/>
    </row>
    <row r="206" spans="2:8">
      <c r="B206" s="286"/>
      <c r="C206" s="285"/>
      <c r="D206" s="285"/>
      <c r="E206" s="285"/>
      <c r="F206" s="285"/>
      <c r="H206" s="285"/>
    </row>
    <row r="207" spans="2:8">
      <c r="B207" s="286"/>
      <c r="C207" s="285"/>
      <c r="D207" s="285"/>
      <c r="E207" s="285"/>
      <c r="F207" s="285"/>
      <c r="H207" s="285"/>
    </row>
    <row r="208" spans="2:8">
      <c r="B208" s="286"/>
      <c r="C208" s="285"/>
      <c r="D208" s="285"/>
      <c r="E208" s="285"/>
      <c r="F208" s="285"/>
      <c r="H208" s="285"/>
    </row>
    <row r="209" spans="2:8">
      <c r="B209" s="286"/>
      <c r="C209" s="285"/>
      <c r="D209" s="285"/>
      <c r="E209" s="285"/>
      <c r="F209" s="285"/>
      <c r="H209" s="285"/>
    </row>
    <row r="210" spans="2:8">
      <c r="B210" s="286"/>
      <c r="C210" s="285"/>
      <c r="D210" s="285"/>
      <c r="E210" s="285"/>
      <c r="F210" s="285"/>
      <c r="H210" s="285"/>
    </row>
    <row r="211" spans="2:8">
      <c r="B211" s="286"/>
      <c r="C211" s="285"/>
      <c r="D211" s="285"/>
      <c r="E211" s="285"/>
      <c r="F211" s="285"/>
      <c r="H211" s="285"/>
    </row>
    <row r="212" spans="2:8">
      <c r="B212" s="286"/>
      <c r="C212" s="285"/>
      <c r="D212" s="285"/>
      <c r="E212" s="285"/>
      <c r="F212" s="285"/>
      <c r="H212" s="285"/>
    </row>
    <row r="213" spans="2:8">
      <c r="B213" s="286"/>
      <c r="C213" s="285"/>
      <c r="D213" s="285"/>
      <c r="E213" s="285"/>
      <c r="F213" s="285"/>
      <c r="H213" s="285"/>
    </row>
    <row r="214" spans="2:8">
      <c r="B214" s="286"/>
      <c r="C214" s="285"/>
      <c r="D214" s="285"/>
      <c r="E214" s="285"/>
      <c r="F214" s="285"/>
      <c r="H214" s="285"/>
    </row>
    <row r="215" spans="2:8">
      <c r="B215" s="286"/>
      <c r="C215" s="285"/>
      <c r="D215" s="285"/>
      <c r="E215" s="285"/>
      <c r="F215" s="285"/>
      <c r="H215" s="285"/>
    </row>
    <row r="216" spans="2:8">
      <c r="B216" s="286"/>
      <c r="C216" s="285"/>
      <c r="D216" s="285"/>
      <c r="E216" s="285"/>
      <c r="F216" s="285"/>
      <c r="H216" s="285"/>
    </row>
    <row r="217" spans="2:8">
      <c r="B217" s="286"/>
      <c r="C217" s="285"/>
      <c r="D217" s="285"/>
      <c r="E217" s="285"/>
      <c r="F217" s="285"/>
      <c r="H217" s="285"/>
    </row>
    <row r="218" spans="2:8">
      <c r="B218" s="286"/>
      <c r="C218" s="285"/>
      <c r="D218" s="285"/>
      <c r="E218" s="285"/>
      <c r="F218" s="285"/>
      <c r="H218" s="285"/>
    </row>
    <row r="219" spans="2:8">
      <c r="B219" s="286"/>
      <c r="C219" s="285"/>
      <c r="D219" s="285"/>
      <c r="E219" s="285"/>
      <c r="F219" s="285"/>
      <c r="H219" s="285"/>
    </row>
    <row r="220" spans="2:8">
      <c r="B220" s="286"/>
      <c r="C220" s="285"/>
      <c r="D220" s="285"/>
      <c r="E220" s="285"/>
      <c r="F220" s="285"/>
      <c r="H220" s="285"/>
    </row>
    <row r="221" spans="2:8">
      <c r="B221" s="286"/>
      <c r="C221" s="285"/>
      <c r="D221" s="285"/>
      <c r="E221" s="285"/>
      <c r="F221" s="285"/>
      <c r="H221" s="285"/>
    </row>
    <row r="222" spans="2:8">
      <c r="B222" s="286"/>
      <c r="C222" s="285"/>
      <c r="D222" s="285"/>
      <c r="E222" s="285"/>
      <c r="F222" s="285"/>
      <c r="H222" s="285"/>
    </row>
    <row r="223" spans="2:8">
      <c r="B223" s="286"/>
      <c r="C223" s="285"/>
      <c r="D223" s="285"/>
      <c r="E223" s="285"/>
      <c r="F223" s="285"/>
      <c r="H223" s="285"/>
    </row>
    <row r="224" spans="2:8">
      <c r="B224" s="286"/>
      <c r="C224" s="285"/>
      <c r="D224" s="285"/>
      <c r="E224" s="285"/>
      <c r="F224" s="285"/>
      <c r="H224" s="285"/>
    </row>
    <row r="225" spans="2:8">
      <c r="B225" s="286"/>
      <c r="C225" s="285"/>
      <c r="D225" s="285"/>
      <c r="E225" s="285"/>
      <c r="F225" s="285"/>
      <c r="H225" s="285"/>
    </row>
    <row r="226" spans="2:8">
      <c r="B226" s="286"/>
      <c r="C226" s="285"/>
      <c r="D226" s="285"/>
      <c r="E226" s="285"/>
      <c r="F226" s="285"/>
      <c r="H226" s="285"/>
    </row>
    <row r="227" spans="2:8">
      <c r="B227" s="286"/>
      <c r="C227" s="285"/>
      <c r="D227" s="285"/>
      <c r="E227" s="285"/>
      <c r="F227" s="285"/>
      <c r="H227" s="285"/>
    </row>
    <row r="228" spans="2:8">
      <c r="B228" s="286"/>
      <c r="C228" s="285"/>
      <c r="D228" s="285"/>
      <c r="E228" s="285"/>
      <c r="F228" s="285"/>
      <c r="H228" s="285"/>
    </row>
    <row r="229" spans="2:8">
      <c r="B229" s="286"/>
      <c r="C229" s="285"/>
      <c r="D229" s="285"/>
      <c r="E229" s="285"/>
      <c r="F229" s="285"/>
      <c r="H229" s="285"/>
    </row>
    <row r="230" spans="2:8">
      <c r="B230" s="286"/>
      <c r="C230" s="285"/>
      <c r="D230" s="285"/>
      <c r="E230" s="285"/>
      <c r="F230" s="285"/>
      <c r="H230" s="285"/>
    </row>
    <row r="231" spans="2:8">
      <c r="B231" s="286"/>
      <c r="C231" s="285"/>
      <c r="D231" s="285"/>
      <c r="E231" s="285"/>
      <c r="F231" s="285"/>
      <c r="H231" s="285"/>
    </row>
    <row r="232" spans="2:8">
      <c r="B232" s="286"/>
      <c r="C232" s="285"/>
      <c r="D232" s="285"/>
      <c r="E232" s="285"/>
      <c r="F232" s="285"/>
      <c r="H232" s="285"/>
    </row>
    <row r="233" spans="2:8">
      <c r="B233" s="286"/>
      <c r="C233" s="285"/>
      <c r="D233" s="285"/>
      <c r="E233" s="285"/>
      <c r="F233" s="285"/>
      <c r="H233" s="285"/>
    </row>
    <row r="234" spans="2:8">
      <c r="B234" s="286"/>
      <c r="C234" s="285"/>
      <c r="D234" s="285"/>
      <c r="E234" s="285"/>
      <c r="F234" s="285"/>
      <c r="H234" s="285"/>
    </row>
    <row r="235" spans="2:8">
      <c r="B235" s="286"/>
      <c r="C235" s="285"/>
      <c r="D235" s="285"/>
      <c r="E235" s="285"/>
      <c r="F235" s="285"/>
      <c r="H235" s="285"/>
    </row>
    <row r="236" spans="2:8">
      <c r="B236" s="286"/>
      <c r="C236" s="285"/>
      <c r="D236" s="285"/>
      <c r="E236" s="285"/>
      <c r="F236" s="285"/>
      <c r="H236" s="285"/>
    </row>
    <row r="237" spans="2:8">
      <c r="B237" s="286"/>
      <c r="C237" s="285"/>
      <c r="D237" s="285"/>
      <c r="E237" s="285"/>
      <c r="F237" s="285"/>
      <c r="H237" s="285"/>
    </row>
    <row r="238" spans="2:8">
      <c r="B238" s="286"/>
      <c r="C238" s="285"/>
      <c r="D238" s="285"/>
      <c r="E238" s="285"/>
      <c r="F238" s="285"/>
      <c r="H238" s="285"/>
    </row>
    <row r="239" spans="2:8">
      <c r="B239" s="286"/>
      <c r="C239" s="285"/>
      <c r="D239" s="285"/>
      <c r="E239" s="285"/>
      <c r="F239" s="285"/>
      <c r="H239" s="285"/>
    </row>
    <row r="240" spans="2:8">
      <c r="B240" s="286"/>
      <c r="C240" s="285"/>
      <c r="D240" s="285"/>
      <c r="E240" s="285"/>
      <c r="F240" s="285"/>
      <c r="H240" s="285"/>
    </row>
    <row r="241" spans="2:8">
      <c r="B241" s="286"/>
      <c r="C241" s="285"/>
      <c r="D241" s="285"/>
      <c r="E241" s="285"/>
      <c r="F241" s="285"/>
      <c r="H241" s="285"/>
    </row>
    <row r="242" spans="2:8">
      <c r="B242" s="286"/>
      <c r="C242" s="285"/>
      <c r="D242" s="285"/>
      <c r="E242" s="285"/>
      <c r="F242" s="285"/>
      <c r="H242" s="285"/>
    </row>
    <row r="243" spans="2:8">
      <c r="B243" s="286"/>
      <c r="C243" s="285"/>
      <c r="D243" s="285"/>
      <c r="E243" s="285"/>
      <c r="F243" s="285"/>
      <c r="H243" s="285"/>
    </row>
    <row r="244" spans="2:8">
      <c r="B244" s="286"/>
      <c r="C244" s="285"/>
      <c r="D244" s="285"/>
      <c r="E244" s="285"/>
      <c r="F244" s="285"/>
      <c r="H244" s="285"/>
    </row>
    <row r="245" spans="2:8">
      <c r="B245" s="286"/>
      <c r="C245" s="285"/>
      <c r="D245" s="285"/>
      <c r="E245" s="285"/>
      <c r="F245" s="285"/>
      <c r="H245" s="285"/>
    </row>
    <row r="246" spans="2:8">
      <c r="B246" s="286"/>
      <c r="C246" s="285"/>
      <c r="D246" s="285"/>
      <c r="E246" s="285"/>
      <c r="F246" s="285"/>
      <c r="H246" s="285"/>
    </row>
    <row r="247" spans="2:8">
      <c r="B247" s="286"/>
      <c r="C247" s="285"/>
      <c r="D247" s="285"/>
      <c r="E247" s="285"/>
      <c r="F247" s="285"/>
      <c r="H247" s="285"/>
    </row>
    <row r="248" spans="2:8">
      <c r="B248" s="286"/>
      <c r="C248" s="285"/>
      <c r="D248" s="285"/>
      <c r="E248" s="285"/>
      <c r="F248" s="285"/>
      <c r="H248" s="285"/>
    </row>
    <row r="249" spans="2:8">
      <c r="B249" s="286"/>
      <c r="C249" s="285"/>
      <c r="D249" s="285"/>
      <c r="E249" s="285"/>
      <c r="F249" s="285"/>
      <c r="H249" s="285"/>
    </row>
    <row r="250" spans="2:8">
      <c r="B250" s="286"/>
      <c r="C250" s="285"/>
      <c r="D250" s="285"/>
      <c r="E250" s="285"/>
      <c r="F250" s="285"/>
      <c r="H250" s="285"/>
    </row>
    <row r="251" spans="2:8">
      <c r="B251" s="286"/>
      <c r="C251" s="285"/>
      <c r="D251" s="285"/>
      <c r="E251" s="285"/>
      <c r="F251" s="285"/>
      <c r="H251" s="285"/>
    </row>
    <row r="252" spans="2:8">
      <c r="B252" s="286"/>
      <c r="C252" s="285"/>
      <c r="D252" s="285"/>
      <c r="E252" s="285"/>
      <c r="F252" s="285"/>
      <c r="H252" s="285"/>
    </row>
    <row r="253" spans="2:8">
      <c r="B253" s="286"/>
      <c r="C253" s="285"/>
      <c r="D253" s="285"/>
      <c r="E253" s="285"/>
      <c r="F253" s="285"/>
      <c r="H253" s="285"/>
    </row>
    <row r="254" spans="2:8">
      <c r="B254" s="286"/>
      <c r="C254" s="285"/>
      <c r="D254" s="285"/>
      <c r="E254" s="285"/>
      <c r="F254" s="285"/>
      <c r="H254" s="285"/>
    </row>
    <row r="255" spans="2:8">
      <c r="B255" s="286"/>
      <c r="C255" s="285"/>
      <c r="D255" s="285"/>
      <c r="E255" s="285"/>
      <c r="F255" s="285"/>
      <c r="H255" s="285"/>
    </row>
    <row r="256" spans="2:8">
      <c r="B256" s="286"/>
      <c r="C256" s="285"/>
      <c r="D256" s="285"/>
      <c r="E256" s="285"/>
      <c r="F256" s="285"/>
      <c r="H256" s="285"/>
    </row>
    <row r="257" spans="2:8">
      <c r="B257" s="286"/>
      <c r="C257" s="285"/>
      <c r="D257" s="285"/>
      <c r="E257" s="285"/>
      <c r="F257" s="285"/>
      <c r="H257" s="285"/>
    </row>
    <row r="258" spans="2:8">
      <c r="B258" s="286"/>
      <c r="C258" s="285"/>
      <c r="D258" s="285"/>
      <c r="E258" s="285"/>
      <c r="F258" s="285"/>
      <c r="H258" s="285"/>
    </row>
    <row r="259" spans="2:8">
      <c r="B259" s="286"/>
      <c r="C259" s="285"/>
      <c r="D259" s="285"/>
      <c r="E259" s="285"/>
      <c r="F259" s="285"/>
      <c r="H259" s="285"/>
    </row>
    <row r="260" spans="2:8">
      <c r="B260" s="286"/>
      <c r="C260" s="285"/>
      <c r="D260" s="285"/>
      <c r="E260" s="285"/>
      <c r="F260" s="285"/>
      <c r="H260" s="285"/>
    </row>
    <row r="261" spans="2:8">
      <c r="B261" s="286"/>
      <c r="C261" s="285"/>
      <c r="D261" s="285"/>
      <c r="E261" s="285"/>
      <c r="F261" s="285"/>
      <c r="H261" s="285"/>
    </row>
    <row r="262" spans="2:8">
      <c r="B262" s="286"/>
      <c r="C262" s="285"/>
      <c r="D262" s="285"/>
      <c r="E262" s="285"/>
      <c r="F262" s="285"/>
      <c r="H262" s="285"/>
    </row>
    <row r="263" spans="2:8">
      <c r="B263" s="286"/>
      <c r="C263" s="285"/>
      <c r="D263" s="285"/>
      <c r="E263" s="285"/>
      <c r="F263" s="285"/>
      <c r="H263" s="285"/>
    </row>
    <row r="264" spans="2:8">
      <c r="B264" s="286"/>
      <c r="C264" s="285"/>
      <c r="D264" s="285"/>
      <c r="E264" s="285"/>
      <c r="F264" s="285"/>
      <c r="H264" s="285"/>
    </row>
    <row r="265" spans="2:8">
      <c r="B265" s="286"/>
      <c r="C265" s="285"/>
      <c r="D265" s="285"/>
      <c r="E265" s="285"/>
      <c r="F265" s="285"/>
      <c r="H265" s="285"/>
    </row>
    <row r="266" spans="2:8">
      <c r="B266" s="286"/>
      <c r="C266" s="285"/>
      <c r="D266" s="285"/>
      <c r="E266" s="285"/>
      <c r="F266" s="285"/>
      <c r="H266" s="285"/>
    </row>
    <row r="267" spans="2:8">
      <c r="B267" s="286"/>
      <c r="C267" s="285"/>
      <c r="D267" s="285"/>
      <c r="E267" s="285"/>
      <c r="F267" s="285"/>
      <c r="H267" s="285"/>
    </row>
    <row r="268" spans="2:8">
      <c r="B268" s="286"/>
      <c r="C268" s="285"/>
      <c r="D268" s="285"/>
      <c r="E268" s="285"/>
      <c r="F268" s="285"/>
      <c r="H268" s="285"/>
    </row>
    <row r="269" spans="2:8">
      <c r="B269" s="286"/>
      <c r="C269" s="285"/>
      <c r="D269" s="285"/>
      <c r="E269" s="285"/>
      <c r="F269" s="285"/>
      <c r="H269" s="285"/>
    </row>
    <row r="270" spans="2:8">
      <c r="B270" s="286"/>
      <c r="C270" s="285"/>
      <c r="D270" s="285"/>
      <c r="E270" s="285"/>
      <c r="F270" s="285"/>
      <c r="H270" s="285"/>
    </row>
    <row r="271" spans="2:8">
      <c r="B271" s="286"/>
      <c r="C271" s="285"/>
      <c r="D271" s="285"/>
      <c r="E271" s="285"/>
      <c r="F271" s="285"/>
      <c r="H271" s="285"/>
    </row>
    <row r="272" spans="2:8">
      <c r="B272" s="286"/>
      <c r="C272" s="285"/>
      <c r="D272" s="285"/>
      <c r="E272" s="285"/>
      <c r="F272" s="285"/>
      <c r="H272" s="285"/>
    </row>
    <row r="273" spans="2:8">
      <c r="B273" s="286"/>
      <c r="C273" s="285"/>
      <c r="D273" s="285"/>
      <c r="E273" s="285"/>
      <c r="F273" s="285"/>
      <c r="H273" s="285"/>
    </row>
    <row r="274" spans="2:8">
      <c r="B274" s="286"/>
      <c r="C274" s="285"/>
      <c r="D274" s="285"/>
      <c r="E274" s="285"/>
      <c r="F274" s="285"/>
      <c r="H274" s="285"/>
    </row>
    <row r="275" spans="2:8">
      <c r="B275" s="286"/>
      <c r="C275" s="285"/>
      <c r="D275" s="285"/>
      <c r="E275" s="285"/>
      <c r="F275" s="285"/>
      <c r="H275" s="285"/>
    </row>
    <row r="276" spans="2:8">
      <c r="B276" s="286"/>
      <c r="C276" s="285"/>
      <c r="D276" s="285"/>
      <c r="E276" s="285"/>
      <c r="F276" s="285"/>
      <c r="H276" s="285"/>
    </row>
    <row r="277" spans="2:8">
      <c r="B277" s="286"/>
      <c r="C277" s="285"/>
      <c r="D277" s="285"/>
      <c r="E277" s="285"/>
      <c r="F277" s="285"/>
      <c r="H277" s="285"/>
    </row>
    <row r="278" spans="2:8">
      <c r="B278" s="286"/>
      <c r="C278" s="285"/>
      <c r="D278" s="285"/>
      <c r="E278" s="285"/>
      <c r="F278" s="285"/>
      <c r="H278" s="285"/>
    </row>
    <row r="279" spans="2:8">
      <c r="B279" s="286"/>
      <c r="C279" s="285"/>
      <c r="D279" s="285"/>
      <c r="E279" s="285"/>
      <c r="F279" s="285"/>
      <c r="H279" s="285"/>
    </row>
    <row r="280" spans="2:8">
      <c r="B280" s="286"/>
      <c r="C280" s="285"/>
      <c r="D280" s="285"/>
      <c r="E280" s="285"/>
      <c r="F280" s="285"/>
      <c r="H280" s="285"/>
    </row>
    <row r="281" spans="2:8">
      <c r="B281" s="286"/>
      <c r="C281" s="285"/>
      <c r="D281" s="285"/>
      <c r="E281" s="285"/>
      <c r="F281" s="285"/>
      <c r="H281" s="285"/>
    </row>
    <row r="282" spans="2:8">
      <c r="B282" s="286"/>
      <c r="C282" s="285"/>
      <c r="D282" s="285"/>
      <c r="E282" s="285"/>
      <c r="F282" s="285"/>
      <c r="H282" s="285"/>
    </row>
    <row r="283" spans="2:8">
      <c r="B283" s="286"/>
      <c r="C283" s="285"/>
      <c r="D283" s="285"/>
      <c r="E283" s="285"/>
      <c r="F283" s="285"/>
      <c r="H283" s="285"/>
    </row>
    <row r="284" spans="2:8">
      <c r="B284" s="286"/>
      <c r="C284" s="285"/>
      <c r="D284" s="285"/>
      <c r="E284" s="285"/>
      <c r="F284" s="285"/>
      <c r="H284" s="285"/>
    </row>
    <row r="285" spans="2:8">
      <c r="B285" s="286"/>
      <c r="C285" s="285"/>
      <c r="D285" s="285"/>
      <c r="E285" s="285"/>
      <c r="F285" s="285"/>
      <c r="H285" s="285"/>
    </row>
    <row r="286" spans="2:8">
      <c r="B286" s="286"/>
      <c r="C286" s="285"/>
      <c r="D286" s="285"/>
      <c r="E286" s="285"/>
      <c r="F286" s="285"/>
      <c r="H286" s="285"/>
    </row>
    <row r="287" spans="2:8">
      <c r="B287" s="286"/>
      <c r="C287" s="285"/>
      <c r="D287" s="285"/>
      <c r="E287" s="285"/>
      <c r="F287" s="285"/>
      <c r="H287" s="285"/>
    </row>
    <row r="288" spans="2:8">
      <c r="B288" s="286"/>
      <c r="C288" s="285"/>
      <c r="D288" s="285"/>
      <c r="E288" s="285"/>
      <c r="F288" s="285"/>
      <c r="H288" s="285"/>
    </row>
    <row r="289" spans="2:8">
      <c r="B289" s="286"/>
      <c r="C289" s="285"/>
      <c r="D289" s="285"/>
      <c r="E289" s="285"/>
      <c r="F289" s="285"/>
      <c r="H289" s="285"/>
    </row>
    <row r="290" spans="2:8">
      <c r="B290" s="286"/>
      <c r="C290" s="285"/>
      <c r="D290" s="285"/>
      <c r="E290" s="285"/>
      <c r="F290" s="285"/>
      <c r="H290" s="285"/>
    </row>
    <row r="291" spans="2:8">
      <c r="B291" s="286"/>
      <c r="C291" s="285"/>
      <c r="D291" s="285"/>
      <c r="E291" s="285"/>
      <c r="F291" s="285"/>
      <c r="H291" s="285"/>
    </row>
    <row r="292" spans="2:8">
      <c r="B292" s="286"/>
      <c r="C292" s="285"/>
      <c r="D292" s="285"/>
      <c r="E292" s="285"/>
      <c r="F292" s="285"/>
      <c r="H292" s="285"/>
    </row>
    <row r="293" spans="2:8">
      <c r="B293" s="286"/>
      <c r="C293" s="285"/>
      <c r="D293" s="285"/>
      <c r="E293" s="285"/>
      <c r="F293" s="285"/>
      <c r="H293" s="285"/>
    </row>
    <row r="294" spans="2:8">
      <c r="B294" s="286"/>
      <c r="C294" s="285"/>
      <c r="D294" s="285"/>
      <c r="E294" s="285"/>
      <c r="F294" s="285"/>
      <c r="H294" s="285"/>
    </row>
    <row r="295" spans="2:8">
      <c r="B295" s="286"/>
      <c r="C295" s="285"/>
      <c r="D295" s="285"/>
      <c r="E295" s="285"/>
      <c r="F295" s="285"/>
      <c r="H295" s="285"/>
    </row>
    <row r="296" spans="2:8">
      <c r="B296" s="286"/>
      <c r="C296" s="285"/>
      <c r="D296" s="285"/>
      <c r="E296" s="285"/>
      <c r="F296" s="285"/>
      <c r="H296" s="285"/>
    </row>
    <row r="297" spans="2:8">
      <c r="B297" s="286"/>
      <c r="C297" s="285"/>
      <c r="D297" s="285"/>
      <c r="E297" s="285"/>
      <c r="F297" s="285"/>
      <c r="H297" s="285"/>
    </row>
    <row r="298" spans="2:8">
      <c r="B298" s="286"/>
      <c r="C298" s="285"/>
      <c r="D298" s="285"/>
      <c r="E298" s="285"/>
      <c r="F298" s="285"/>
      <c r="H298" s="285"/>
    </row>
    <row r="299" spans="2:8">
      <c r="B299" s="286"/>
      <c r="C299" s="285"/>
      <c r="D299" s="285"/>
      <c r="E299" s="285"/>
      <c r="F299" s="285"/>
      <c r="H299" s="285"/>
    </row>
    <row r="300" spans="2:8">
      <c r="B300" s="286"/>
      <c r="C300" s="285"/>
      <c r="D300" s="285"/>
      <c r="E300" s="285"/>
      <c r="F300" s="285"/>
      <c r="H300" s="285"/>
    </row>
    <row r="301" spans="2:8">
      <c r="B301" s="286"/>
      <c r="C301" s="285"/>
      <c r="D301" s="285"/>
      <c r="E301" s="285"/>
      <c r="F301" s="285"/>
      <c r="H301" s="285"/>
    </row>
    <row r="302" spans="2:8">
      <c r="B302" s="286"/>
      <c r="C302" s="285"/>
      <c r="D302" s="285"/>
      <c r="E302" s="285"/>
      <c r="F302" s="285"/>
      <c r="H302" s="285"/>
    </row>
    <row r="303" spans="2:8">
      <c r="B303" s="286"/>
      <c r="C303" s="285"/>
      <c r="D303" s="285"/>
      <c r="E303" s="285"/>
      <c r="F303" s="285"/>
      <c r="H303" s="285"/>
    </row>
    <row r="304" spans="2:8">
      <c r="B304" s="286"/>
      <c r="C304" s="285"/>
      <c r="D304" s="285"/>
      <c r="E304" s="285"/>
      <c r="F304" s="285"/>
      <c r="H304" s="285"/>
    </row>
    <row r="305" spans="2:8">
      <c r="B305" s="286"/>
      <c r="C305" s="285"/>
      <c r="D305" s="285"/>
      <c r="E305" s="285"/>
      <c r="F305" s="285"/>
      <c r="H305" s="285"/>
    </row>
    <row r="306" spans="2:8">
      <c r="B306" s="286"/>
      <c r="C306" s="285"/>
      <c r="D306" s="285"/>
      <c r="E306" s="285"/>
      <c r="F306" s="285"/>
      <c r="H306" s="285"/>
    </row>
    <row r="307" spans="2:8">
      <c r="B307" s="286"/>
      <c r="C307" s="285"/>
      <c r="D307" s="285"/>
      <c r="E307" s="285"/>
      <c r="F307" s="285"/>
      <c r="H307" s="285"/>
    </row>
    <row r="308" spans="2:8">
      <c r="B308" s="286"/>
      <c r="C308" s="285"/>
      <c r="D308" s="285"/>
      <c r="E308" s="285"/>
      <c r="F308" s="285"/>
      <c r="H308" s="285"/>
    </row>
    <row r="309" spans="2:8">
      <c r="B309" s="286"/>
      <c r="C309" s="285"/>
      <c r="D309" s="285"/>
      <c r="E309" s="285"/>
      <c r="F309" s="285"/>
      <c r="H309" s="285"/>
    </row>
    <row r="310" spans="2:8">
      <c r="B310" s="286"/>
      <c r="C310" s="285"/>
      <c r="D310" s="285"/>
      <c r="E310" s="285"/>
      <c r="F310" s="285"/>
      <c r="H310" s="285"/>
    </row>
    <row r="311" spans="2:8">
      <c r="B311" s="286"/>
      <c r="C311" s="285"/>
      <c r="D311" s="285"/>
      <c r="E311" s="285"/>
      <c r="F311" s="285"/>
      <c r="H311" s="285"/>
    </row>
    <row r="312" spans="2:8">
      <c r="B312" s="286"/>
      <c r="C312" s="285"/>
      <c r="D312" s="285"/>
      <c r="E312" s="285"/>
      <c r="F312" s="285"/>
      <c r="H312" s="285"/>
    </row>
    <row r="313" spans="2:8">
      <c r="B313" s="286"/>
      <c r="C313" s="285"/>
      <c r="D313" s="285"/>
      <c r="E313" s="285"/>
      <c r="F313" s="285"/>
      <c r="H313" s="285"/>
    </row>
    <row r="314" spans="2:8">
      <c r="B314" s="286"/>
      <c r="C314" s="285"/>
      <c r="D314" s="285"/>
      <c r="E314" s="285"/>
      <c r="F314" s="285"/>
      <c r="H314" s="285"/>
    </row>
    <row r="315" spans="2:8">
      <c r="B315" s="286"/>
      <c r="C315" s="285"/>
      <c r="D315" s="285"/>
      <c r="E315" s="285"/>
      <c r="F315" s="285"/>
      <c r="H315" s="285"/>
    </row>
    <row r="316" spans="2:8">
      <c r="B316" s="286"/>
      <c r="C316" s="285"/>
      <c r="D316" s="285"/>
      <c r="E316" s="285"/>
      <c r="F316" s="285"/>
      <c r="H316" s="285"/>
    </row>
    <row r="317" spans="2:8">
      <c r="B317" s="286"/>
      <c r="C317" s="285"/>
      <c r="D317" s="285"/>
      <c r="E317" s="285"/>
      <c r="F317" s="285"/>
      <c r="H317" s="285"/>
    </row>
    <row r="318" spans="2:8">
      <c r="B318" s="286"/>
      <c r="C318" s="285"/>
      <c r="D318" s="285"/>
      <c r="E318" s="285"/>
      <c r="F318" s="285"/>
      <c r="H318" s="285"/>
    </row>
    <row r="319" spans="2:8">
      <c r="B319" s="286"/>
      <c r="C319" s="285"/>
      <c r="D319" s="285"/>
      <c r="E319" s="285"/>
      <c r="F319" s="285"/>
      <c r="H319" s="285"/>
    </row>
    <row r="320" spans="2:8">
      <c r="B320" s="286"/>
      <c r="C320" s="285"/>
      <c r="D320" s="285"/>
      <c r="E320" s="285"/>
      <c r="F320" s="285"/>
      <c r="H320" s="285"/>
    </row>
    <row r="321" spans="2:8">
      <c r="B321" s="286"/>
      <c r="C321" s="285"/>
      <c r="D321" s="285"/>
      <c r="E321" s="285"/>
      <c r="F321" s="285"/>
      <c r="H321" s="285"/>
    </row>
    <row r="322" spans="2:8">
      <c r="B322" s="286"/>
      <c r="C322" s="285"/>
      <c r="D322" s="285"/>
      <c r="E322" s="285"/>
      <c r="F322" s="285"/>
      <c r="H322" s="285"/>
    </row>
    <row r="323" spans="2:8">
      <c r="B323" s="286"/>
      <c r="C323" s="285"/>
      <c r="D323" s="285"/>
      <c r="E323" s="285"/>
      <c r="F323" s="285"/>
      <c r="H323" s="285"/>
    </row>
    <row r="324" spans="2:8">
      <c r="B324" s="286"/>
      <c r="C324" s="285"/>
      <c r="D324" s="285"/>
      <c r="E324" s="285"/>
      <c r="F324" s="285"/>
      <c r="H324" s="285"/>
    </row>
    <row r="325" spans="2:8">
      <c r="B325" s="286"/>
      <c r="C325" s="285"/>
      <c r="D325" s="285"/>
      <c r="E325" s="285"/>
      <c r="F325" s="285"/>
      <c r="H325" s="285"/>
    </row>
    <row r="326" spans="2:8">
      <c r="B326" s="286"/>
      <c r="C326" s="285"/>
      <c r="D326" s="285"/>
      <c r="E326" s="285"/>
      <c r="F326" s="285"/>
      <c r="H326" s="285"/>
    </row>
    <row r="327" spans="2:8">
      <c r="B327" s="286"/>
      <c r="C327" s="285"/>
      <c r="D327" s="285"/>
      <c r="E327" s="285"/>
      <c r="F327" s="285"/>
      <c r="H327" s="285"/>
    </row>
    <row r="328" spans="2:8">
      <c r="B328" s="286"/>
      <c r="C328" s="285"/>
      <c r="D328" s="285"/>
      <c r="E328" s="285"/>
      <c r="F328" s="285"/>
      <c r="H328" s="285"/>
    </row>
    <row r="329" spans="2:8">
      <c r="B329" s="286"/>
      <c r="C329" s="285"/>
      <c r="D329" s="285"/>
      <c r="E329" s="285"/>
      <c r="F329" s="285"/>
      <c r="H329" s="285"/>
    </row>
    <row r="330" spans="2:8">
      <c r="B330" s="286"/>
      <c r="C330" s="285"/>
      <c r="D330" s="285"/>
      <c r="E330" s="285"/>
      <c r="F330" s="285"/>
      <c r="H330" s="285"/>
    </row>
    <row r="331" spans="2:8">
      <c r="B331" s="286"/>
      <c r="C331" s="285"/>
      <c r="D331" s="285"/>
      <c r="E331" s="285"/>
      <c r="F331" s="285"/>
      <c r="H331" s="285"/>
    </row>
    <row r="332" spans="2:8">
      <c r="B332" s="286"/>
      <c r="C332" s="285"/>
      <c r="D332" s="285"/>
      <c r="E332" s="285"/>
      <c r="F332" s="285"/>
      <c r="H332" s="285"/>
    </row>
    <row r="333" spans="2:8">
      <c r="B333" s="286"/>
      <c r="C333" s="285"/>
      <c r="D333" s="285"/>
      <c r="E333" s="285"/>
      <c r="F333" s="285"/>
      <c r="H333" s="285"/>
    </row>
    <row r="334" spans="2:8">
      <c r="B334" s="286"/>
      <c r="C334" s="285"/>
      <c r="D334" s="285"/>
      <c r="E334" s="285"/>
      <c r="F334" s="285"/>
      <c r="H334" s="285"/>
    </row>
    <row r="335" spans="2:8">
      <c r="B335" s="286"/>
      <c r="C335" s="285"/>
      <c r="D335" s="285"/>
      <c r="E335" s="285"/>
      <c r="F335" s="285"/>
      <c r="H335" s="285"/>
    </row>
    <row r="336" spans="2:8">
      <c r="B336" s="286"/>
      <c r="C336" s="285"/>
      <c r="D336" s="285"/>
      <c r="E336" s="285"/>
      <c r="F336" s="285"/>
      <c r="H336" s="285"/>
    </row>
    <row r="337" spans="2:8">
      <c r="B337" s="286"/>
      <c r="C337" s="285"/>
      <c r="D337" s="285"/>
      <c r="E337" s="285"/>
      <c r="F337" s="285"/>
      <c r="H337" s="285"/>
    </row>
    <row r="338" spans="2:8">
      <c r="B338" s="286"/>
      <c r="C338" s="285"/>
      <c r="D338" s="285"/>
      <c r="E338" s="285"/>
      <c r="F338" s="285"/>
      <c r="H338" s="285"/>
    </row>
    <row r="339" spans="2:8">
      <c r="B339" s="286"/>
      <c r="C339" s="285"/>
      <c r="D339" s="285"/>
      <c r="E339" s="285"/>
      <c r="F339" s="285"/>
      <c r="H339" s="285"/>
    </row>
    <row r="340" spans="2:8">
      <c r="B340" s="286"/>
      <c r="C340" s="285"/>
      <c r="D340" s="285"/>
      <c r="E340" s="285"/>
      <c r="F340" s="285"/>
      <c r="H340" s="285"/>
    </row>
    <row r="341" spans="2:8">
      <c r="B341" s="286"/>
      <c r="C341" s="285"/>
      <c r="D341" s="285"/>
      <c r="E341" s="285"/>
      <c r="F341" s="285"/>
      <c r="H341" s="285"/>
    </row>
    <row r="342" spans="2:8">
      <c r="B342" s="286"/>
      <c r="C342" s="285"/>
      <c r="D342" s="285"/>
      <c r="E342" s="285"/>
      <c r="F342" s="285"/>
      <c r="H342" s="285"/>
    </row>
    <row r="343" spans="2:8">
      <c r="B343" s="286"/>
      <c r="C343" s="285"/>
      <c r="D343" s="285"/>
      <c r="E343" s="285"/>
      <c r="F343" s="285"/>
      <c r="H343" s="285"/>
    </row>
    <row r="344" spans="2:8">
      <c r="B344" s="286"/>
      <c r="C344" s="285"/>
      <c r="D344" s="285"/>
      <c r="E344" s="285"/>
      <c r="F344" s="285"/>
      <c r="H344" s="285"/>
    </row>
    <row r="345" spans="2:8">
      <c r="B345" s="286"/>
      <c r="C345" s="285"/>
      <c r="D345" s="285"/>
      <c r="E345" s="285"/>
      <c r="F345" s="285"/>
      <c r="H345" s="285"/>
    </row>
    <row r="346" spans="2:8">
      <c r="B346" s="286"/>
      <c r="C346" s="285"/>
      <c r="D346" s="285"/>
      <c r="E346" s="285"/>
      <c r="F346" s="285"/>
      <c r="H346" s="285"/>
    </row>
    <row r="347" spans="2:8">
      <c r="B347" s="286"/>
      <c r="C347" s="285"/>
      <c r="D347" s="285"/>
      <c r="E347" s="285"/>
      <c r="F347" s="285"/>
      <c r="H347" s="285"/>
    </row>
    <row r="348" spans="2:8">
      <c r="B348" s="286"/>
      <c r="C348" s="285"/>
      <c r="D348" s="285"/>
      <c r="E348" s="285"/>
      <c r="F348" s="285"/>
      <c r="H348" s="285"/>
    </row>
    <row r="349" spans="2:8">
      <c r="B349" s="286"/>
      <c r="C349" s="285"/>
      <c r="D349" s="285"/>
      <c r="E349" s="285"/>
      <c r="F349" s="285"/>
      <c r="H349" s="285"/>
    </row>
    <row r="350" spans="2:8">
      <c r="B350" s="286"/>
      <c r="C350" s="285"/>
      <c r="D350" s="285"/>
      <c r="E350" s="285"/>
      <c r="F350" s="285"/>
      <c r="H350" s="285"/>
    </row>
    <row r="351" spans="2:8">
      <c r="B351" s="286"/>
      <c r="C351" s="285"/>
      <c r="D351" s="285"/>
      <c r="E351" s="285"/>
      <c r="F351" s="285"/>
      <c r="H351" s="285"/>
    </row>
    <row r="352" spans="2:8">
      <c r="B352" s="286"/>
      <c r="C352" s="285"/>
      <c r="D352" s="285"/>
      <c r="E352" s="285"/>
      <c r="F352" s="285"/>
      <c r="H352" s="285"/>
    </row>
    <row r="353" spans="2:8">
      <c r="B353" s="286"/>
      <c r="C353" s="285"/>
      <c r="D353" s="285"/>
      <c r="E353" s="285"/>
      <c r="F353" s="285"/>
      <c r="H353" s="285"/>
    </row>
    <row r="354" spans="2:8">
      <c r="B354" s="286"/>
      <c r="C354" s="285"/>
      <c r="D354" s="285"/>
      <c r="E354" s="285"/>
      <c r="F354" s="285"/>
      <c r="H354" s="285"/>
    </row>
    <row r="355" spans="2:8">
      <c r="B355" s="286"/>
      <c r="C355" s="285"/>
      <c r="D355" s="285"/>
      <c r="E355" s="285"/>
      <c r="F355" s="285"/>
      <c r="H355" s="285"/>
    </row>
    <row r="356" spans="2:8">
      <c r="B356" s="286"/>
      <c r="C356" s="285"/>
      <c r="D356" s="285"/>
      <c r="E356" s="285"/>
      <c r="F356" s="285"/>
      <c r="H356" s="285"/>
    </row>
    <row r="357" spans="2:8">
      <c r="B357" s="286"/>
      <c r="C357" s="285"/>
      <c r="D357" s="285"/>
      <c r="E357" s="285"/>
      <c r="F357" s="285"/>
      <c r="H357" s="285"/>
    </row>
    <row r="358" spans="2:8">
      <c r="B358" s="286"/>
      <c r="C358" s="285"/>
      <c r="D358" s="285"/>
      <c r="E358" s="285"/>
      <c r="F358" s="285"/>
      <c r="H358" s="285"/>
    </row>
    <row r="359" spans="2:8">
      <c r="B359" s="286"/>
      <c r="C359" s="285"/>
      <c r="D359" s="285"/>
      <c r="E359" s="285"/>
      <c r="F359" s="285"/>
      <c r="H359" s="285"/>
    </row>
    <row r="360" spans="2:8">
      <c r="B360" s="286"/>
      <c r="C360" s="285"/>
      <c r="D360" s="285"/>
      <c r="E360" s="285"/>
      <c r="F360" s="285"/>
      <c r="H360" s="285"/>
    </row>
    <row r="361" spans="2:8">
      <c r="B361" s="286"/>
      <c r="C361" s="285"/>
      <c r="D361" s="285"/>
      <c r="E361" s="285"/>
      <c r="F361" s="285"/>
      <c r="H361" s="285"/>
    </row>
    <row r="362" spans="2:8">
      <c r="B362" s="286"/>
      <c r="C362" s="285"/>
      <c r="D362" s="285"/>
      <c r="E362" s="285"/>
      <c r="F362" s="285"/>
      <c r="H362" s="285"/>
    </row>
    <row r="363" spans="2:8">
      <c r="B363" s="286"/>
      <c r="C363" s="285"/>
      <c r="D363" s="285"/>
      <c r="E363" s="285"/>
      <c r="F363" s="285"/>
      <c r="H363" s="285"/>
    </row>
    <row r="364" spans="2:8">
      <c r="B364" s="286"/>
      <c r="C364" s="285"/>
      <c r="D364" s="285"/>
      <c r="E364" s="285"/>
      <c r="F364" s="285"/>
      <c r="H364" s="285"/>
    </row>
    <row r="365" spans="2:8">
      <c r="B365" s="286"/>
      <c r="C365" s="285"/>
      <c r="D365" s="285"/>
      <c r="E365" s="285"/>
      <c r="F365" s="285"/>
      <c r="H365" s="285"/>
    </row>
    <row r="366" spans="2:8">
      <c r="B366" s="286"/>
      <c r="C366" s="285"/>
      <c r="D366" s="285"/>
      <c r="E366" s="285"/>
      <c r="F366" s="285"/>
      <c r="H366" s="285"/>
    </row>
    <row r="367" spans="2:8">
      <c r="B367" s="286"/>
      <c r="C367" s="285"/>
      <c r="D367" s="285"/>
      <c r="E367" s="285"/>
      <c r="F367" s="285"/>
      <c r="H367" s="285"/>
    </row>
    <row r="368" spans="2:8">
      <c r="B368" s="286"/>
      <c r="C368" s="285"/>
      <c r="D368" s="285"/>
      <c r="E368" s="285"/>
      <c r="F368" s="285"/>
      <c r="H368" s="285"/>
    </row>
    <row r="369" spans="2:8">
      <c r="B369" s="286"/>
      <c r="C369" s="285"/>
      <c r="D369" s="285"/>
      <c r="E369" s="285"/>
      <c r="F369" s="285"/>
      <c r="H369" s="285"/>
    </row>
    <row r="370" spans="2:8">
      <c r="B370" s="286"/>
      <c r="C370" s="285"/>
      <c r="D370" s="285"/>
      <c r="E370" s="285"/>
      <c r="F370" s="285"/>
      <c r="H370" s="285"/>
    </row>
    <row r="371" spans="2:8">
      <c r="B371" s="286"/>
      <c r="C371" s="285"/>
      <c r="D371" s="285"/>
      <c r="E371" s="285"/>
      <c r="F371" s="285"/>
      <c r="H371" s="285"/>
    </row>
    <row r="372" spans="2:8">
      <c r="B372" s="286"/>
      <c r="C372" s="285"/>
      <c r="D372" s="285"/>
      <c r="E372" s="285"/>
      <c r="F372" s="285"/>
      <c r="H372" s="285"/>
    </row>
    <row r="373" spans="2:8">
      <c r="B373" s="286"/>
      <c r="C373" s="285"/>
      <c r="D373" s="285"/>
      <c r="E373" s="285"/>
      <c r="F373" s="285"/>
      <c r="H373" s="285"/>
    </row>
    <row r="374" spans="2:8">
      <c r="B374" s="286"/>
      <c r="C374" s="285"/>
      <c r="D374" s="285"/>
      <c r="E374" s="285"/>
      <c r="F374" s="285"/>
      <c r="H374" s="285"/>
    </row>
    <row r="375" spans="2:8">
      <c r="B375" s="286"/>
      <c r="C375" s="285"/>
      <c r="D375" s="285"/>
      <c r="E375" s="285"/>
      <c r="F375" s="285"/>
      <c r="H375" s="285"/>
    </row>
    <row r="376" spans="2:8">
      <c r="B376" s="286"/>
      <c r="C376" s="285"/>
      <c r="D376" s="285"/>
      <c r="E376" s="285"/>
      <c r="F376" s="285"/>
      <c r="H376" s="285"/>
    </row>
    <row r="377" spans="2:8">
      <c r="B377" s="286"/>
      <c r="C377" s="285"/>
      <c r="D377" s="285"/>
      <c r="E377" s="285"/>
      <c r="F377" s="285"/>
      <c r="H377" s="285"/>
    </row>
    <row r="378" spans="2:8">
      <c r="B378" s="286"/>
      <c r="C378" s="285"/>
      <c r="D378" s="285"/>
      <c r="E378" s="285"/>
      <c r="F378" s="285"/>
      <c r="H378" s="285"/>
    </row>
    <row r="379" spans="2:8">
      <c r="B379" s="286"/>
      <c r="C379" s="285"/>
      <c r="D379" s="285"/>
      <c r="E379" s="285"/>
      <c r="F379" s="285"/>
      <c r="H379" s="285"/>
    </row>
    <row r="380" spans="2:8">
      <c r="B380" s="286"/>
      <c r="C380" s="285"/>
      <c r="D380" s="285"/>
      <c r="E380" s="285"/>
      <c r="F380" s="285"/>
      <c r="H380" s="285"/>
    </row>
    <row r="381" spans="2:8">
      <c r="B381" s="286"/>
      <c r="C381" s="285"/>
      <c r="D381" s="285"/>
      <c r="E381" s="285"/>
      <c r="F381" s="285"/>
      <c r="H381" s="285"/>
    </row>
    <row r="382" spans="2:8">
      <c r="B382" s="286"/>
      <c r="C382" s="285"/>
      <c r="D382" s="285"/>
      <c r="E382" s="285"/>
      <c r="F382" s="285"/>
      <c r="H382" s="285"/>
    </row>
    <row r="383" spans="2:8">
      <c r="B383" s="286"/>
      <c r="C383" s="285"/>
      <c r="D383" s="285"/>
      <c r="E383" s="285"/>
      <c r="F383" s="285"/>
      <c r="H383" s="285"/>
    </row>
    <row r="384" spans="2:8">
      <c r="B384" s="286"/>
      <c r="C384" s="285"/>
      <c r="D384" s="285"/>
      <c r="E384" s="285"/>
      <c r="F384" s="285"/>
      <c r="H384" s="285"/>
    </row>
    <row r="385" spans="2:8">
      <c r="B385" s="286"/>
      <c r="C385" s="285"/>
      <c r="D385" s="285"/>
      <c r="E385" s="285"/>
      <c r="F385" s="285"/>
      <c r="H385" s="285"/>
    </row>
    <row r="386" spans="2:8">
      <c r="B386" s="286"/>
      <c r="C386" s="285"/>
      <c r="D386" s="285"/>
      <c r="E386" s="285"/>
      <c r="F386" s="285"/>
      <c r="H386" s="285"/>
    </row>
    <row r="387" spans="2:8">
      <c r="B387" s="286"/>
      <c r="C387" s="285"/>
      <c r="D387" s="285"/>
      <c r="E387" s="285"/>
      <c r="F387" s="285"/>
      <c r="H387" s="285"/>
    </row>
    <row r="388" spans="2:8">
      <c r="B388" s="286"/>
      <c r="C388" s="285"/>
      <c r="D388" s="285"/>
      <c r="E388" s="285"/>
      <c r="F388" s="285"/>
      <c r="H388" s="285"/>
    </row>
    <row r="389" spans="2:8">
      <c r="B389" s="286"/>
      <c r="C389" s="285"/>
      <c r="D389" s="285"/>
      <c r="E389" s="285"/>
      <c r="F389" s="285"/>
      <c r="H389" s="285"/>
    </row>
    <row r="390" spans="2:8">
      <c r="B390" s="286"/>
      <c r="C390" s="285"/>
      <c r="D390" s="285"/>
      <c r="E390" s="285"/>
      <c r="F390" s="285"/>
      <c r="H390" s="285"/>
    </row>
    <row r="391" spans="2:8">
      <c r="B391" s="286"/>
      <c r="C391" s="285"/>
      <c r="D391" s="285"/>
      <c r="E391" s="285"/>
      <c r="F391" s="285"/>
      <c r="H391" s="285"/>
    </row>
    <row r="392" spans="2:8">
      <c r="B392" s="286"/>
      <c r="C392" s="285"/>
      <c r="D392" s="285"/>
      <c r="E392" s="285"/>
      <c r="F392" s="285"/>
      <c r="H392" s="285"/>
    </row>
    <row r="393" spans="2:8">
      <c r="B393" s="286"/>
      <c r="C393" s="285"/>
      <c r="D393" s="285"/>
      <c r="E393" s="285"/>
      <c r="F393" s="285"/>
      <c r="H393" s="285"/>
    </row>
    <row r="394" spans="2:8">
      <c r="B394" s="286"/>
      <c r="C394" s="285"/>
      <c r="D394" s="285"/>
      <c r="E394" s="285"/>
      <c r="F394" s="285"/>
      <c r="H394" s="285"/>
    </row>
    <row r="395" spans="2:8">
      <c r="B395" s="286"/>
      <c r="C395" s="285"/>
      <c r="D395" s="285"/>
      <c r="E395" s="285"/>
      <c r="F395" s="285"/>
      <c r="H395" s="285"/>
    </row>
    <row r="396" spans="2:8">
      <c r="B396" s="286"/>
      <c r="C396" s="285"/>
      <c r="D396" s="285"/>
      <c r="E396" s="285"/>
      <c r="F396" s="285"/>
      <c r="H396" s="285"/>
    </row>
    <row r="397" spans="2:8">
      <c r="B397" s="286"/>
      <c r="C397" s="285"/>
      <c r="D397" s="285"/>
      <c r="E397" s="285"/>
      <c r="F397" s="285"/>
      <c r="H397" s="285"/>
    </row>
    <row r="398" spans="2:8">
      <c r="B398" s="286"/>
      <c r="C398" s="285"/>
      <c r="D398" s="285"/>
      <c r="E398" s="285"/>
      <c r="F398" s="285"/>
      <c r="H398" s="285"/>
    </row>
    <row r="399" spans="2:8">
      <c r="B399" s="286"/>
      <c r="C399" s="285"/>
      <c r="D399" s="285"/>
      <c r="E399" s="285"/>
      <c r="F399" s="285"/>
      <c r="H399" s="285"/>
    </row>
    <row r="400" spans="2:8">
      <c r="B400" s="286"/>
      <c r="C400" s="285"/>
      <c r="D400" s="285"/>
      <c r="E400" s="285"/>
      <c r="F400" s="285"/>
      <c r="H400" s="285"/>
    </row>
    <row r="401" spans="2:8">
      <c r="B401" s="286"/>
      <c r="C401" s="285"/>
      <c r="D401" s="285"/>
      <c r="E401" s="285"/>
      <c r="F401" s="285"/>
      <c r="H401" s="285"/>
    </row>
    <row r="402" spans="2:8">
      <c r="B402" s="286"/>
      <c r="C402" s="285"/>
      <c r="D402" s="285"/>
      <c r="E402" s="285"/>
      <c r="F402" s="285"/>
      <c r="H402" s="285"/>
    </row>
    <row r="403" spans="2:8">
      <c r="B403" s="286"/>
      <c r="C403" s="285"/>
      <c r="D403" s="285"/>
      <c r="E403" s="285"/>
      <c r="F403" s="285"/>
      <c r="H403" s="285"/>
    </row>
    <row r="404" spans="2:8">
      <c r="B404" s="286"/>
      <c r="C404" s="285"/>
      <c r="D404" s="285"/>
      <c r="E404" s="285"/>
      <c r="F404" s="285"/>
      <c r="H404" s="285"/>
    </row>
    <row r="405" spans="2:8">
      <c r="B405" s="286"/>
      <c r="C405" s="285"/>
      <c r="D405" s="285"/>
      <c r="E405" s="285"/>
      <c r="F405" s="285"/>
      <c r="H405" s="285"/>
    </row>
    <row r="406" spans="2:8">
      <c r="B406" s="286"/>
      <c r="C406" s="285"/>
      <c r="D406" s="285"/>
      <c r="E406" s="285"/>
      <c r="F406" s="285"/>
      <c r="H406" s="285"/>
    </row>
    <row r="407" spans="2:8">
      <c r="B407" s="286"/>
      <c r="C407" s="285"/>
      <c r="D407" s="285"/>
      <c r="E407" s="285"/>
      <c r="F407" s="285"/>
      <c r="H407" s="285"/>
    </row>
    <row r="408" spans="2:8">
      <c r="B408" s="286"/>
      <c r="C408" s="285"/>
      <c r="D408" s="285"/>
      <c r="E408" s="285"/>
      <c r="F408" s="285"/>
      <c r="H408" s="285"/>
    </row>
    <row r="409" spans="2:8">
      <c r="B409" s="286"/>
      <c r="C409" s="285"/>
      <c r="D409" s="285"/>
      <c r="E409" s="285"/>
      <c r="F409" s="285"/>
      <c r="H409" s="285"/>
    </row>
    <row r="410" spans="2:8">
      <c r="B410" s="286"/>
      <c r="C410" s="285"/>
      <c r="D410" s="285"/>
      <c r="E410" s="285"/>
      <c r="F410" s="285"/>
      <c r="H410" s="285"/>
    </row>
    <row r="411" spans="2:8">
      <c r="B411" s="286"/>
      <c r="C411" s="285"/>
      <c r="D411" s="285"/>
      <c r="E411" s="285"/>
      <c r="F411" s="285"/>
      <c r="H411" s="285"/>
    </row>
    <row r="412" spans="2:8">
      <c r="B412" s="286"/>
      <c r="C412" s="285"/>
      <c r="D412" s="285"/>
      <c r="E412" s="285"/>
      <c r="F412" s="285"/>
      <c r="H412" s="285"/>
    </row>
    <row r="413" spans="2:8">
      <c r="B413" s="286"/>
      <c r="C413" s="285"/>
      <c r="D413" s="285"/>
      <c r="E413" s="285"/>
      <c r="F413" s="285"/>
      <c r="H413" s="285"/>
    </row>
    <row r="414" spans="2:8">
      <c r="B414" s="286"/>
      <c r="C414" s="285"/>
      <c r="D414" s="285"/>
      <c r="E414" s="285"/>
      <c r="F414" s="285"/>
      <c r="H414" s="285"/>
    </row>
    <row r="415" spans="2:8">
      <c r="B415" s="286"/>
      <c r="C415" s="285"/>
      <c r="D415" s="285"/>
      <c r="E415" s="285"/>
      <c r="F415" s="285"/>
      <c r="H415" s="285"/>
    </row>
    <row r="416" spans="2:8">
      <c r="B416" s="286"/>
      <c r="C416" s="285"/>
      <c r="D416" s="285"/>
      <c r="E416" s="285"/>
      <c r="F416" s="285"/>
      <c r="H416" s="285"/>
    </row>
    <row r="417" spans="2:8">
      <c r="B417" s="286"/>
      <c r="C417" s="285"/>
      <c r="D417" s="285"/>
      <c r="E417" s="285"/>
      <c r="F417" s="285"/>
      <c r="H417" s="285"/>
    </row>
    <row r="418" spans="2:8">
      <c r="B418" s="286"/>
      <c r="C418" s="285"/>
      <c r="D418" s="285"/>
      <c r="E418" s="285"/>
      <c r="F418" s="285"/>
      <c r="H418" s="285"/>
    </row>
    <row r="419" spans="2:8">
      <c r="B419" s="286"/>
      <c r="C419" s="285"/>
      <c r="D419" s="285"/>
      <c r="E419" s="285"/>
      <c r="F419" s="285"/>
      <c r="H419" s="285"/>
    </row>
    <row r="420" spans="2:8">
      <c r="B420" s="286"/>
      <c r="C420" s="285"/>
      <c r="D420" s="285"/>
      <c r="E420" s="285"/>
      <c r="F420" s="285"/>
      <c r="H420" s="285"/>
    </row>
    <row r="421" spans="2:8">
      <c r="B421" s="286"/>
      <c r="C421" s="285"/>
      <c r="D421" s="285"/>
      <c r="E421" s="285"/>
      <c r="F421" s="285"/>
      <c r="H421" s="285"/>
    </row>
    <row r="422" spans="2:8">
      <c r="B422" s="286"/>
      <c r="C422" s="285"/>
      <c r="D422" s="285"/>
      <c r="E422" s="285"/>
      <c r="F422" s="285"/>
      <c r="H422" s="285"/>
    </row>
    <row r="423" spans="2:8">
      <c r="B423" s="286"/>
      <c r="C423" s="285"/>
      <c r="D423" s="285"/>
      <c r="E423" s="285"/>
      <c r="F423" s="285"/>
      <c r="H423" s="285"/>
    </row>
    <row r="424" spans="2:8">
      <c r="B424" s="286"/>
      <c r="C424" s="285"/>
      <c r="D424" s="285"/>
      <c r="E424" s="285"/>
      <c r="F424" s="285"/>
      <c r="H424" s="285"/>
    </row>
    <row r="425" spans="2:8">
      <c r="B425" s="286"/>
      <c r="C425" s="285"/>
      <c r="D425" s="285"/>
      <c r="E425" s="285"/>
      <c r="F425" s="285"/>
      <c r="H425" s="285"/>
    </row>
    <row r="426" spans="2:8">
      <c r="B426" s="286"/>
      <c r="C426" s="285"/>
      <c r="D426" s="285"/>
      <c r="E426" s="285"/>
      <c r="F426" s="285"/>
      <c r="H426" s="285"/>
    </row>
    <row r="427" spans="2:8">
      <c r="B427" s="286"/>
      <c r="C427" s="285"/>
      <c r="D427" s="285"/>
      <c r="E427" s="285"/>
      <c r="F427" s="285"/>
      <c r="H427" s="285"/>
    </row>
    <row r="428" spans="2:8">
      <c r="B428" s="286"/>
      <c r="C428" s="285"/>
      <c r="D428" s="285"/>
      <c r="E428" s="285"/>
      <c r="F428" s="285"/>
      <c r="H428" s="285"/>
    </row>
    <row r="429" spans="2:8">
      <c r="B429" s="286"/>
      <c r="C429" s="285"/>
      <c r="D429" s="285"/>
      <c r="E429" s="285"/>
      <c r="F429" s="285"/>
      <c r="H429" s="285"/>
    </row>
    <row r="430" spans="2:8">
      <c r="B430" s="286"/>
      <c r="C430" s="285"/>
      <c r="D430" s="285"/>
      <c r="E430" s="285"/>
      <c r="F430" s="285"/>
      <c r="H430" s="285"/>
    </row>
    <row r="431" spans="2:8">
      <c r="B431" s="286"/>
      <c r="C431" s="285"/>
      <c r="D431" s="285"/>
      <c r="E431" s="285"/>
      <c r="F431" s="285"/>
      <c r="H431" s="285"/>
    </row>
    <row r="432" spans="2:8">
      <c r="B432" s="286"/>
      <c r="C432" s="285"/>
      <c r="D432" s="285"/>
      <c r="E432" s="285"/>
      <c r="F432" s="285"/>
      <c r="H432" s="285"/>
    </row>
    <row r="433" spans="2:8">
      <c r="B433" s="286"/>
      <c r="C433" s="285"/>
      <c r="D433" s="285"/>
      <c r="E433" s="285"/>
      <c r="F433" s="285"/>
      <c r="H433" s="285"/>
    </row>
    <row r="434" spans="2:8">
      <c r="B434" s="286"/>
      <c r="C434" s="285"/>
      <c r="D434" s="285"/>
      <c r="E434" s="285"/>
      <c r="F434" s="285"/>
      <c r="H434" s="285"/>
    </row>
    <row r="435" spans="2:8">
      <c r="B435" s="286"/>
      <c r="C435" s="285"/>
      <c r="D435" s="285"/>
      <c r="E435" s="285"/>
      <c r="F435" s="285"/>
      <c r="H435" s="285"/>
    </row>
    <row r="436" spans="2:8">
      <c r="B436" s="286"/>
      <c r="C436" s="285"/>
      <c r="D436" s="285"/>
      <c r="E436" s="285"/>
      <c r="F436" s="285"/>
      <c r="H436" s="285"/>
    </row>
    <row r="437" spans="2:8">
      <c r="B437" s="286"/>
      <c r="C437" s="285"/>
      <c r="D437" s="285"/>
      <c r="E437" s="285"/>
      <c r="F437" s="285"/>
      <c r="H437" s="285"/>
    </row>
    <row r="438" spans="2:8">
      <c r="B438" s="286"/>
      <c r="C438" s="285"/>
      <c r="D438" s="285"/>
      <c r="E438" s="285"/>
      <c r="F438" s="285"/>
      <c r="H438" s="285"/>
    </row>
    <row r="439" spans="2:8">
      <c r="B439" s="286"/>
      <c r="C439" s="285"/>
      <c r="D439" s="285"/>
      <c r="E439" s="285"/>
      <c r="F439" s="285"/>
      <c r="H439" s="285"/>
    </row>
    <row r="440" spans="2:8">
      <c r="B440" s="286"/>
      <c r="C440" s="285"/>
      <c r="D440" s="285"/>
      <c r="E440" s="285"/>
      <c r="F440" s="285"/>
      <c r="H440" s="285"/>
    </row>
    <row r="441" spans="2:8">
      <c r="B441" s="286"/>
      <c r="C441" s="285"/>
      <c r="D441" s="285"/>
      <c r="E441" s="285"/>
      <c r="F441" s="285"/>
      <c r="H441" s="285"/>
    </row>
    <row r="442" spans="2:8">
      <c r="B442" s="286"/>
      <c r="C442" s="285"/>
      <c r="D442" s="285"/>
      <c r="E442" s="285"/>
      <c r="F442" s="285"/>
      <c r="H442" s="285"/>
    </row>
    <row r="443" spans="2:8">
      <c r="B443" s="286"/>
      <c r="C443" s="285"/>
      <c r="D443" s="285"/>
      <c r="E443" s="285"/>
      <c r="F443" s="285"/>
      <c r="H443" s="285"/>
    </row>
    <row r="444" spans="2:8">
      <c r="B444" s="286"/>
      <c r="C444" s="285"/>
      <c r="D444" s="285"/>
      <c r="E444" s="285"/>
      <c r="F444" s="285"/>
      <c r="H444" s="285"/>
    </row>
    <row r="445" spans="2:8">
      <c r="B445" s="286"/>
      <c r="C445" s="285"/>
      <c r="D445" s="285"/>
      <c r="E445" s="285"/>
      <c r="F445" s="285"/>
      <c r="H445" s="285"/>
    </row>
    <row r="446" spans="2:8">
      <c r="B446" s="286"/>
      <c r="C446" s="285"/>
      <c r="D446" s="285"/>
      <c r="E446" s="285"/>
      <c r="F446" s="285"/>
      <c r="H446" s="285"/>
    </row>
    <row r="447" spans="2:8">
      <c r="B447" s="286"/>
      <c r="C447" s="285"/>
      <c r="D447" s="285"/>
      <c r="E447" s="285"/>
      <c r="F447" s="285"/>
      <c r="H447" s="285"/>
    </row>
    <row r="448" spans="2:8">
      <c r="B448" s="286"/>
      <c r="C448" s="285"/>
      <c r="D448" s="285"/>
      <c r="E448" s="285"/>
      <c r="F448" s="285"/>
      <c r="H448" s="285"/>
    </row>
    <row r="449" spans="2:8">
      <c r="B449" s="286"/>
      <c r="C449" s="285"/>
      <c r="D449" s="285"/>
      <c r="E449" s="285"/>
      <c r="F449" s="285"/>
      <c r="H449" s="285"/>
    </row>
    <row r="450" spans="2:8">
      <c r="B450" s="286"/>
      <c r="C450" s="285"/>
      <c r="D450" s="285"/>
      <c r="E450" s="285"/>
      <c r="F450" s="285"/>
      <c r="H450" s="285"/>
    </row>
    <row r="451" spans="2:8">
      <c r="B451" s="286"/>
      <c r="C451" s="285"/>
      <c r="D451" s="285"/>
      <c r="E451" s="285"/>
      <c r="F451" s="285"/>
      <c r="H451" s="285"/>
    </row>
    <row r="452" spans="2:8">
      <c r="B452" s="286"/>
      <c r="C452" s="285"/>
      <c r="D452" s="285"/>
      <c r="E452" s="285"/>
      <c r="F452" s="285"/>
      <c r="H452" s="285"/>
    </row>
    <row r="453" spans="2:8">
      <c r="B453" s="286"/>
      <c r="C453" s="285"/>
      <c r="D453" s="285"/>
      <c r="E453" s="285"/>
      <c r="F453" s="285"/>
      <c r="H453" s="285"/>
    </row>
    <row r="454" spans="2:8">
      <c r="B454" s="286"/>
      <c r="C454" s="285"/>
      <c r="D454" s="285"/>
      <c r="E454" s="285"/>
      <c r="F454" s="285"/>
      <c r="H454" s="285"/>
    </row>
    <row r="455" spans="2:8">
      <c r="B455" s="286"/>
      <c r="C455" s="285"/>
      <c r="D455" s="285"/>
      <c r="E455" s="285"/>
      <c r="F455" s="285"/>
      <c r="H455" s="285"/>
    </row>
    <row r="456" spans="2:8">
      <c r="B456" s="286"/>
      <c r="C456" s="285"/>
      <c r="D456" s="285"/>
      <c r="E456" s="285"/>
      <c r="F456" s="285"/>
      <c r="H456" s="285"/>
    </row>
    <row r="457" spans="2:8">
      <c r="B457" s="286"/>
      <c r="C457" s="285"/>
      <c r="D457" s="285"/>
      <c r="E457" s="285"/>
      <c r="F457" s="285"/>
      <c r="H457" s="285"/>
    </row>
    <row r="458" spans="2:8">
      <c r="B458" s="286"/>
      <c r="C458" s="285"/>
      <c r="D458" s="285"/>
      <c r="E458" s="285"/>
      <c r="F458" s="285"/>
      <c r="H458" s="285"/>
    </row>
    <row r="459" spans="2:8">
      <c r="B459" s="286"/>
      <c r="C459" s="285"/>
      <c r="D459" s="285"/>
      <c r="E459" s="285"/>
      <c r="F459" s="285"/>
      <c r="H459" s="285"/>
    </row>
    <row r="460" spans="2:8">
      <c r="B460" s="286"/>
      <c r="C460" s="285"/>
      <c r="D460" s="285"/>
      <c r="E460" s="285"/>
      <c r="F460" s="285"/>
      <c r="H460" s="285"/>
    </row>
    <row r="461" spans="2:8">
      <c r="B461" s="286"/>
      <c r="C461" s="285"/>
      <c r="D461" s="285"/>
      <c r="E461" s="285"/>
      <c r="F461" s="285"/>
      <c r="H461" s="285"/>
    </row>
    <row r="462" spans="2:8">
      <c r="B462" s="286"/>
      <c r="C462" s="285"/>
      <c r="D462" s="285"/>
      <c r="E462" s="285"/>
      <c r="F462" s="285"/>
      <c r="H462" s="285"/>
    </row>
    <row r="463" spans="2:8">
      <c r="B463" s="286"/>
      <c r="C463" s="285"/>
      <c r="D463" s="285"/>
      <c r="E463" s="285"/>
      <c r="F463" s="285"/>
      <c r="H463" s="285"/>
    </row>
    <row r="464" spans="2:8">
      <c r="B464" s="286"/>
      <c r="C464" s="285"/>
      <c r="D464" s="285"/>
      <c r="E464" s="285"/>
      <c r="F464" s="285"/>
      <c r="H464" s="285"/>
    </row>
    <row r="465" spans="2:8">
      <c r="B465" s="286"/>
      <c r="C465" s="285"/>
      <c r="D465" s="285"/>
      <c r="E465" s="285"/>
      <c r="F465" s="285"/>
      <c r="H465" s="285"/>
    </row>
    <row r="466" spans="2:8">
      <c r="B466" s="286"/>
      <c r="C466" s="285"/>
      <c r="D466" s="285"/>
      <c r="E466" s="285"/>
      <c r="F466" s="285"/>
      <c r="H466" s="285"/>
    </row>
    <row r="467" spans="2:8">
      <c r="B467" s="286"/>
      <c r="C467" s="285"/>
      <c r="D467" s="285"/>
      <c r="E467" s="285"/>
      <c r="F467" s="285"/>
      <c r="H467" s="285"/>
    </row>
    <row r="468" spans="2:8">
      <c r="B468" s="286"/>
      <c r="C468" s="285"/>
      <c r="D468" s="285"/>
      <c r="E468" s="285"/>
      <c r="F468" s="285"/>
      <c r="H468" s="285"/>
    </row>
    <row r="469" spans="2:8">
      <c r="B469" s="286"/>
      <c r="C469" s="285"/>
      <c r="D469" s="285"/>
      <c r="E469" s="285"/>
      <c r="F469" s="285"/>
      <c r="H469" s="285"/>
    </row>
    <row r="470" spans="2:8">
      <c r="B470" s="286"/>
      <c r="C470" s="285"/>
      <c r="D470" s="285"/>
      <c r="E470" s="285"/>
      <c r="F470" s="285"/>
      <c r="H470" s="285"/>
    </row>
    <row r="471" spans="2:8">
      <c r="B471" s="286"/>
      <c r="C471" s="285"/>
      <c r="D471" s="285"/>
      <c r="E471" s="285"/>
      <c r="F471" s="285"/>
      <c r="H471" s="285"/>
    </row>
    <row r="472" spans="2:8">
      <c r="B472" s="286"/>
      <c r="C472" s="285"/>
      <c r="D472" s="285"/>
      <c r="E472" s="285"/>
      <c r="F472" s="285"/>
      <c r="H472" s="285"/>
    </row>
    <row r="473" spans="2:8">
      <c r="B473" s="286"/>
      <c r="C473" s="285"/>
      <c r="D473" s="285"/>
      <c r="E473" s="285"/>
      <c r="F473" s="285"/>
      <c r="H473" s="285"/>
    </row>
    <row r="474" spans="2:8">
      <c r="B474" s="286"/>
      <c r="C474" s="285"/>
      <c r="D474" s="285"/>
      <c r="E474" s="285"/>
      <c r="F474" s="285"/>
      <c r="H474" s="285"/>
    </row>
    <row r="475" spans="2:8">
      <c r="B475" s="286"/>
      <c r="C475" s="285"/>
      <c r="D475" s="285"/>
      <c r="E475" s="285"/>
      <c r="F475" s="285"/>
      <c r="H475" s="285"/>
    </row>
    <row r="476" spans="2:8">
      <c r="B476" s="286"/>
      <c r="C476" s="285"/>
      <c r="D476" s="285"/>
      <c r="E476" s="285"/>
      <c r="F476" s="285"/>
      <c r="H476" s="285"/>
    </row>
    <row r="477" spans="2:8">
      <c r="B477" s="286"/>
      <c r="C477" s="285"/>
      <c r="D477" s="285"/>
      <c r="E477" s="285"/>
      <c r="F477" s="285"/>
      <c r="H477" s="285"/>
    </row>
    <row r="478" spans="2:8">
      <c r="B478" s="286"/>
      <c r="C478" s="285"/>
      <c r="D478" s="285"/>
      <c r="E478" s="285"/>
      <c r="F478" s="285"/>
      <c r="H478" s="285"/>
    </row>
    <row r="479" spans="2:8">
      <c r="B479" s="286"/>
      <c r="C479" s="285"/>
      <c r="D479" s="285"/>
      <c r="E479" s="285"/>
      <c r="F479" s="285"/>
      <c r="H479" s="285"/>
    </row>
    <row r="480" spans="2:8">
      <c r="B480" s="286"/>
      <c r="C480" s="285"/>
      <c r="D480" s="285"/>
      <c r="E480" s="285"/>
      <c r="F480" s="285"/>
      <c r="H480" s="285"/>
    </row>
    <row r="481" spans="2:8">
      <c r="B481" s="286"/>
      <c r="C481" s="285"/>
      <c r="D481" s="285"/>
      <c r="E481" s="285"/>
      <c r="F481" s="285"/>
      <c r="H481" s="285"/>
    </row>
    <row r="482" spans="2:8">
      <c r="B482" s="286"/>
      <c r="C482" s="285"/>
      <c r="D482" s="285"/>
      <c r="E482" s="285"/>
      <c r="F482" s="285"/>
      <c r="H482" s="285"/>
    </row>
    <row r="483" spans="2:8">
      <c r="B483" s="286"/>
      <c r="C483" s="285"/>
      <c r="D483" s="285"/>
      <c r="E483" s="285"/>
      <c r="F483" s="285"/>
      <c r="H483" s="285"/>
    </row>
    <row r="484" spans="2:8">
      <c r="B484" s="286"/>
      <c r="C484" s="285"/>
      <c r="D484" s="285"/>
      <c r="E484" s="285"/>
      <c r="F484" s="285"/>
      <c r="H484" s="285"/>
    </row>
    <row r="485" spans="2:8">
      <c r="B485" s="286"/>
      <c r="C485" s="285"/>
      <c r="D485" s="285"/>
      <c r="E485" s="285"/>
      <c r="F485" s="285"/>
      <c r="H485" s="285"/>
    </row>
    <row r="486" spans="2:8">
      <c r="B486" s="286"/>
      <c r="C486" s="285"/>
      <c r="D486" s="285"/>
      <c r="E486" s="285"/>
      <c r="F486" s="285"/>
      <c r="H486" s="285"/>
    </row>
    <row r="487" spans="2:8">
      <c r="B487" s="286"/>
      <c r="C487" s="285"/>
      <c r="D487" s="285"/>
      <c r="E487" s="285"/>
      <c r="F487" s="285"/>
      <c r="H487" s="285"/>
    </row>
    <row r="488" spans="2:8">
      <c r="B488" s="286"/>
      <c r="C488" s="285"/>
      <c r="D488" s="285"/>
      <c r="E488" s="285"/>
      <c r="F488" s="285"/>
      <c r="H488" s="285"/>
    </row>
    <row r="489" spans="2:8">
      <c r="B489" s="286"/>
      <c r="C489" s="285"/>
      <c r="D489" s="285"/>
      <c r="E489" s="285"/>
      <c r="F489" s="285"/>
      <c r="H489" s="285"/>
    </row>
    <row r="490" spans="2:8">
      <c r="B490" s="286"/>
      <c r="C490" s="285"/>
      <c r="D490" s="285"/>
      <c r="E490" s="285"/>
      <c r="F490" s="285"/>
      <c r="H490" s="285"/>
    </row>
    <row r="491" spans="2:8">
      <c r="B491" s="286"/>
      <c r="C491" s="285"/>
      <c r="D491" s="285"/>
      <c r="E491" s="285"/>
      <c r="F491" s="285"/>
      <c r="H491" s="285"/>
    </row>
    <row r="492" spans="2:8">
      <c r="B492" s="286"/>
      <c r="C492" s="285"/>
      <c r="D492" s="285"/>
      <c r="E492" s="285"/>
      <c r="F492" s="285"/>
      <c r="H492" s="285"/>
    </row>
    <row r="493" spans="2:8">
      <c r="B493" s="286"/>
      <c r="C493" s="285"/>
      <c r="D493" s="285"/>
      <c r="E493" s="285"/>
      <c r="F493" s="285"/>
      <c r="H493" s="285"/>
    </row>
    <row r="494" spans="2:8">
      <c r="B494" s="286"/>
      <c r="C494" s="285"/>
      <c r="D494" s="285"/>
      <c r="E494" s="285"/>
      <c r="F494" s="285"/>
      <c r="H494" s="285"/>
    </row>
    <row r="495" spans="2:8">
      <c r="B495" s="286"/>
      <c r="C495" s="285"/>
      <c r="D495" s="285"/>
      <c r="E495" s="285"/>
      <c r="F495" s="285"/>
      <c r="H495" s="285"/>
    </row>
    <row r="496" spans="2:8">
      <c r="B496" s="286"/>
      <c r="C496" s="285"/>
      <c r="D496" s="285"/>
      <c r="E496" s="285"/>
      <c r="F496" s="285"/>
      <c r="H496" s="285"/>
    </row>
    <row r="497" spans="2:8">
      <c r="B497" s="286"/>
      <c r="C497" s="285"/>
      <c r="D497" s="285"/>
      <c r="E497" s="285"/>
      <c r="F497" s="285"/>
      <c r="H497" s="285"/>
    </row>
    <row r="498" spans="2:8">
      <c r="B498" s="286"/>
      <c r="C498" s="285"/>
      <c r="D498" s="285"/>
      <c r="E498" s="285"/>
      <c r="F498" s="285"/>
      <c r="H498" s="285"/>
    </row>
    <row r="499" spans="2:8">
      <c r="B499" s="286"/>
      <c r="C499" s="285"/>
      <c r="D499" s="285"/>
      <c r="E499" s="285"/>
      <c r="F499" s="285"/>
      <c r="H499" s="285"/>
    </row>
    <row r="500" spans="2:8">
      <c r="B500" s="286"/>
      <c r="C500" s="285"/>
      <c r="D500" s="285"/>
      <c r="E500" s="285"/>
      <c r="F500" s="285"/>
      <c r="H500" s="285"/>
    </row>
    <row r="501" spans="2:8">
      <c r="B501" s="286"/>
      <c r="C501" s="285"/>
      <c r="D501" s="285"/>
      <c r="E501" s="285"/>
      <c r="F501" s="285"/>
      <c r="H501" s="285"/>
    </row>
    <row r="502" spans="2:8">
      <c r="B502" s="286"/>
      <c r="C502" s="285"/>
      <c r="D502" s="285"/>
      <c r="E502" s="285"/>
      <c r="F502" s="285"/>
      <c r="H502" s="285"/>
    </row>
    <row r="503" spans="2:8">
      <c r="B503" s="286"/>
      <c r="C503" s="285"/>
      <c r="D503" s="285"/>
      <c r="E503" s="285"/>
      <c r="F503" s="285"/>
      <c r="H503" s="285"/>
    </row>
    <row r="504" spans="2:8">
      <c r="B504" s="286"/>
      <c r="C504" s="285"/>
      <c r="D504" s="285"/>
      <c r="E504" s="285"/>
      <c r="F504" s="285"/>
      <c r="H504" s="285"/>
    </row>
    <row r="505" spans="2:8">
      <c r="B505" s="286"/>
      <c r="C505" s="285"/>
      <c r="D505" s="285"/>
      <c r="E505" s="285"/>
      <c r="F505" s="285"/>
      <c r="H505" s="285"/>
    </row>
    <row r="506" spans="2:8">
      <c r="B506" s="286"/>
      <c r="C506" s="285"/>
      <c r="D506" s="285"/>
      <c r="E506" s="285"/>
      <c r="F506" s="285"/>
      <c r="H506" s="285"/>
    </row>
    <row r="507" spans="2:8">
      <c r="B507" s="286"/>
      <c r="C507" s="285"/>
      <c r="D507" s="285"/>
      <c r="E507" s="285"/>
      <c r="F507" s="285"/>
      <c r="H507" s="285"/>
    </row>
    <row r="508" spans="2:8">
      <c r="B508" s="286"/>
      <c r="C508" s="285"/>
      <c r="D508" s="285"/>
      <c r="E508" s="285"/>
      <c r="F508" s="285"/>
      <c r="H508" s="285"/>
    </row>
    <row r="509" spans="2:8">
      <c r="B509" s="286"/>
      <c r="C509" s="285"/>
      <c r="D509" s="285"/>
      <c r="E509" s="285"/>
      <c r="F509" s="285"/>
      <c r="H509" s="285"/>
    </row>
    <row r="510" spans="2:8">
      <c r="B510" s="286"/>
      <c r="C510" s="285"/>
      <c r="D510" s="285"/>
      <c r="E510" s="285"/>
      <c r="F510" s="285"/>
      <c r="H510" s="285"/>
    </row>
    <row r="511" spans="2:8">
      <c r="B511" s="286"/>
      <c r="C511" s="285"/>
      <c r="D511" s="285"/>
      <c r="E511" s="285"/>
      <c r="F511" s="285"/>
      <c r="H511" s="285"/>
    </row>
    <row r="512" spans="2:8">
      <c r="B512" s="286"/>
      <c r="C512" s="285"/>
      <c r="D512" s="285"/>
      <c r="E512" s="285"/>
      <c r="F512" s="285"/>
      <c r="H512" s="285"/>
    </row>
    <row r="513" spans="2:8">
      <c r="B513" s="286"/>
      <c r="C513" s="285"/>
      <c r="D513" s="285"/>
      <c r="E513" s="285"/>
      <c r="F513" s="285"/>
      <c r="H513" s="285"/>
    </row>
    <row r="514" spans="2:8">
      <c r="B514" s="286"/>
      <c r="C514" s="285"/>
      <c r="D514" s="285"/>
      <c r="E514" s="285"/>
      <c r="F514" s="285"/>
      <c r="H514" s="285"/>
    </row>
    <row r="515" spans="2:8">
      <c r="B515" s="286"/>
      <c r="C515" s="285"/>
      <c r="D515" s="285"/>
      <c r="E515" s="285"/>
      <c r="F515" s="285"/>
      <c r="H515" s="285"/>
    </row>
    <row r="516" spans="2:8">
      <c r="B516" s="286"/>
      <c r="C516" s="285"/>
      <c r="D516" s="285"/>
      <c r="E516" s="285"/>
      <c r="F516" s="285"/>
      <c r="H516" s="285"/>
    </row>
    <row r="517" spans="2:8">
      <c r="B517" s="286"/>
      <c r="C517" s="285"/>
      <c r="D517" s="285"/>
      <c r="E517" s="285"/>
      <c r="F517" s="285"/>
      <c r="H517" s="285"/>
    </row>
    <row r="518" spans="2:8">
      <c r="B518" s="286"/>
      <c r="C518" s="285"/>
      <c r="D518" s="285"/>
      <c r="E518" s="285"/>
      <c r="F518" s="285"/>
      <c r="H518" s="285"/>
    </row>
    <row r="519" spans="2:8">
      <c r="B519" s="286"/>
      <c r="C519" s="285"/>
      <c r="D519" s="285"/>
      <c r="E519" s="285"/>
      <c r="F519" s="285"/>
      <c r="H519" s="285"/>
    </row>
    <row r="520" spans="2:8">
      <c r="B520" s="286"/>
      <c r="C520" s="285"/>
      <c r="D520" s="285"/>
      <c r="E520" s="285"/>
      <c r="F520" s="285"/>
      <c r="H520" s="285"/>
    </row>
    <row r="521" spans="2:8">
      <c r="B521" s="286"/>
      <c r="C521" s="285"/>
      <c r="D521" s="285"/>
      <c r="E521" s="285"/>
      <c r="F521" s="285"/>
      <c r="H521" s="285"/>
    </row>
    <row r="522" spans="2:8">
      <c r="B522" s="286"/>
      <c r="C522" s="285"/>
      <c r="D522" s="285"/>
      <c r="E522" s="285"/>
      <c r="F522" s="285"/>
      <c r="H522" s="285"/>
    </row>
    <row r="523" spans="2:8">
      <c r="B523" s="286"/>
      <c r="C523" s="285"/>
      <c r="D523" s="285"/>
      <c r="E523" s="285"/>
      <c r="F523" s="285"/>
      <c r="H523" s="285"/>
    </row>
    <row r="524" spans="2:8">
      <c r="B524" s="286"/>
      <c r="C524" s="285"/>
      <c r="D524" s="285"/>
      <c r="E524" s="285"/>
      <c r="F524" s="285"/>
      <c r="H524" s="285"/>
    </row>
    <row r="525" spans="2:8">
      <c r="B525" s="286"/>
      <c r="C525" s="285"/>
      <c r="D525" s="285"/>
      <c r="E525" s="285"/>
      <c r="F525" s="285"/>
      <c r="H525" s="285"/>
    </row>
    <row r="526" spans="2:8">
      <c r="B526" s="286"/>
      <c r="C526" s="285"/>
      <c r="D526" s="285"/>
      <c r="E526" s="285"/>
      <c r="F526" s="285"/>
      <c r="H526" s="285"/>
    </row>
    <row r="527" spans="2:8">
      <c r="B527" s="286"/>
      <c r="C527" s="285"/>
      <c r="D527" s="285"/>
      <c r="E527" s="285"/>
      <c r="F527" s="285"/>
      <c r="H527" s="285"/>
    </row>
    <row r="528" spans="2:8">
      <c r="B528" s="286"/>
      <c r="C528" s="285"/>
      <c r="D528" s="285"/>
      <c r="E528" s="285"/>
      <c r="F528" s="285"/>
      <c r="H528" s="285"/>
    </row>
    <row r="529" spans="2:8">
      <c r="B529" s="286"/>
      <c r="C529" s="285"/>
      <c r="D529" s="285"/>
      <c r="E529" s="285"/>
      <c r="F529" s="285"/>
      <c r="H529" s="285"/>
    </row>
    <row r="530" spans="2:8">
      <c r="B530" s="286"/>
      <c r="C530" s="285"/>
      <c r="D530" s="285"/>
      <c r="E530" s="285"/>
      <c r="F530" s="285"/>
      <c r="H530" s="285"/>
    </row>
    <row r="531" spans="2:8">
      <c r="B531" s="286"/>
      <c r="C531" s="285"/>
      <c r="D531" s="285"/>
      <c r="E531" s="285"/>
      <c r="F531" s="285"/>
      <c r="H531" s="285"/>
    </row>
    <row r="532" spans="2:8">
      <c r="B532" s="286"/>
      <c r="C532" s="285"/>
      <c r="D532" s="285"/>
      <c r="E532" s="285"/>
      <c r="F532" s="285"/>
      <c r="H532" s="285"/>
    </row>
    <row r="533" spans="2:8">
      <c r="B533" s="286"/>
      <c r="C533" s="285"/>
      <c r="D533" s="285"/>
      <c r="E533" s="285"/>
      <c r="F533" s="285"/>
      <c r="H533" s="285"/>
    </row>
    <row r="534" spans="2:8">
      <c r="B534" s="286"/>
      <c r="C534" s="285"/>
      <c r="D534" s="285"/>
      <c r="E534" s="285"/>
      <c r="F534" s="285"/>
      <c r="H534" s="285"/>
    </row>
    <row r="535" spans="2:8">
      <c r="B535" s="286"/>
      <c r="C535" s="285"/>
      <c r="D535" s="285"/>
      <c r="E535" s="285"/>
      <c r="F535" s="285"/>
      <c r="H535" s="285"/>
    </row>
    <row r="536" spans="2:8">
      <c r="B536" s="286"/>
      <c r="C536" s="285"/>
      <c r="D536" s="285"/>
      <c r="E536" s="285"/>
      <c r="F536" s="285"/>
      <c r="H536" s="285"/>
    </row>
    <row r="537" spans="2:8">
      <c r="B537" s="286"/>
      <c r="C537" s="285"/>
      <c r="D537" s="285"/>
      <c r="E537" s="285"/>
      <c r="F537" s="285"/>
      <c r="H537" s="285"/>
    </row>
    <row r="538" spans="2:8">
      <c r="B538" s="286"/>
      <c r="C538" s="285"/>
      <c r="D538" s="285"/>
      <c r="E538" s="285"/>
      <c r="F538" s="285"/>
      <c r="H538" s="285"/>
    </row>
    <row r="539" spans="2:8">
      <c r="B539" s="286"/>
      <c r="C539" s="285"/>
      <c r="D539" s="285"/>
      <c r="E539" s="285"/>
      <c r="F539" s="285"/>
      <c r="H539" s="285"/>
    </row>
    <row r="540" spans="2:8">
      <c r="B540" s="286"/>
      <c r="C540" s="285"/>
      <c r="D540" s="285"/>
      <c r="E540" s="285"/>
      <c r="F540" s="285"/>
      <c r="H540" s="285"/>
    </row>
    <row r="541" spans="2:8">
      <c r="B541" s="286"/>
      <c r="C541" s="285"/>
      <c r="D541" s="285"/>
      <c r="E541" s="285"/>
      <c r="F541" s="285"/>
      <c r="H541" s="285"/>
    </row>
    <row r="542" spans="2:8">
      <c r="B542" s="286"/>
      <c r="C542" s="285"/>
      <c r="D542" s="285"/>
      <c r="E542" s="285"/>
      <c r="F542" s="285"/>
      <c r="H542" s="285"/>
    </row>
    <row r="543" spans="2:8">
      <c r="B543" s="286"/>
      <c r="C543" s="285"/>
      <c r="D543" s="285"/>
      <c r="E543" s="285"/>
      <c r="F543" s="285"/>
      <c r="H543" s="285"/>
    </row>
    <row r="544" spans="2:8">
      <c r="B544" s="286"/>
      <c r="C544" s="285"/>
      <c r="D544" s="285"/>
      <c r="E544" s="285"/>
      <c r="F544" s="285"/>
      <c r="H544" s="285"/>
    </row>
    <row r="545" spans="2:8">
      <c r="B545" s="286"/>
      <c r="C545" s="285"/>
      <c r="D545" s="285"/>
      <c r="E545" s="285"/>
      <c r="F545" s="285"/>
      <c r="H545" s="285"/>
    </row>
    <row r="546" spans="2:8">
      <c r="B546" s="286"/>
      <c r="C546" s="285"/>
      <c r="D546" s="285"/>
      <c r="E546" s="285"/>
      <c r="F546" s="285"/>
      <c r="H546" s="285"/>
    </row>
    <row r="547" spans="2:8">
      <c r="B547" s="286"/>
      <c r="C547" s="285"/>
      <c r="D547" s="285"/>
      <c r="E547" s="285"/>
      <c r="F547" s="285"/>
      <c r="H547" s="285"/>
    </row>
    <row r="548" spans="2:8">
      <c r="B548" s="286"/>
      <c r="C548" s="285"/>
      <c r="D548" s="285"/>
      <c r="E548" s="285"/>
      <c r="F548" s="285"/>
      <c r="H548" s="285"/>
    </row>
    <row r="549" spans="2:8">
      <c r="B549" s="286"/>
      <c r="C549" s="285"/>
      <c r="D549" s="285"/>
      <c r="E549" s="285"/>
      <c r="F549" s="285"/>
      <c r="H549" s="285"/>
    </row>
    <row r="550" spans="2:8">
      <c r="B550" s="286"/>
      <c r="C550" s="285"/>
      <c r="D550" s="285"/>
      <c r="E550" s="285"/>
      <c r="F550" s="285"/>
      <c r="H550" s="285"/>
    </row>
    <row r="551" spans="2:8">
      <c r="B551" s="286"/>
      <c r="C551" s="285"/>
      <c r="D551" s="285"/>
      <c r="E551" s="285"/>
      <c r="F551" s="285"/>
      <c r="H551" s="285"/>
    </row>
    <row r="552" spans="2:8">
      <c r="B552" s="286"/>
      <c r="C552" s="285"/>
      <c r="D552" s="285"/>
      <c r="E552" s="285"/>
      <c r="F552" s="285"/>
      <c r="H552" s="285"/>
    </row>
    <row r="553" spans="2:8">
      <c r="B553" s="286"/>
      <c r="C553" s="285"/>
      <c r="D553" s="285"/>
      <c r="E553" s="285"/>
      <c r="F553" s="285"/>
      <c r="H553" s="285"/>
    </row>
    <row r="554" spans="2:8">
      <c r="B554" s="286"/>
      <c r="C554" s="285"/>
      <c r="D554" s="285"/>
      <c r="E554" s="285"/>
      <c r="F554" s="285"/>
      <c r="H554" s="285"/>
    </row>
    <row r="555" spans="2:8">
      <c r="B555" s="286"/>
      <c r="C555" s="285"/>
      <c r="D555" s="285"/>
      <c r="E555" s="285"/>
      <c r="F555" s="285"/>
      <c r="H555" s="285"/>
    </row>
    <row r="556" spans="2:8">
      <c r="B556" s="286"/>
      <c r="C556" s="285"/>
      <c r="D556" s="285"/>
      <c r="E556" s="285"/>
      <c r="F556" s="285"/>
      <c r="H556" s="285"/>
    </row>
    <row r="557" spans="2:8">
      <c r="B557" s="286"/>
      <c r="C557" s="285"/>
      <c r="D557" s="285"/>
      <c r="E557" s="285"/>
      <c r="F557" s="285"/>
      <c r="H557" s="285"/>
    </row>
    <row r="558" spans="2:8">
      <c r="B558" s="286"/>
      <c r="C558" s="285"/>
      <c r="D558" s="285"/>
      <c r="E558" s="285"/>
      <c r="F558" s="285"/>
      <c r="H558" s="285"/>
    </row>
    <row r="559" spans="2:8">
      <c r="B559" s="286"/>
      <c r="C559" s="285"/>
      <c r="D559" s="285"/>
      <c r="E559" s="285"/>
      <c r="F559" s="285"/>
      <c r="H559" s="285"/>
    </row>
    <row r="560" spans="2:8">
      <c r="B560" s="286"/>
      <c r="C560" s="285"/>
      <c r="D560" s="285"/>
      <c r="E560" s="285"/>
      <c r="F560" s="285"/>
      <c r="H560" s="285"/>
    </row>
    <row r="561" spans="2:8">
      <c r="B561" s="286"/>
      <c r="C561" s="285"/>
      <c r="D561" s="285"/>
      <c r="E561" s="285"/>
      <c r="F561" s="285"/>
      <c r="H561" s="285"/>
    </row>
    <row r="562" spans="2:8">
      <c r="B562" s="286"/>
      <c r="C562" s="285"/>
      <c r="D562" s="285"/>
      <c r="E562" s="285"/>
      <c r="F562" s="285"/>
      <c r="H562" s="285"/>
    </row>
    <row r="563" spans="2:8">
      <c r="B563" s="286"/>
      <c r="C563" s="285"/>
      <c r="D563" s="285"/>
      <c r="E563" s="285"/>
      <c r="F563" s="285"/>
      <c r="H563" s="285"/>
    </row>
    <row r="564" spans="2:8">
      <c r="B564" s="286"/>
      <c r="C564" s="285"/>
      <c r="D564" s="285"/>
      <c r="E564" s="285"/>
      <c r="F564" s="285"/>
      <c r="H564" s="285"/>
    </row>
    <row r="565" spans="2:8">
      <c r="B565" s="286"/>
      <c r="C565" s="285"/>
      <c r="D565" s="285"/>
      <c r="E565" s="285"/>
      <c r="F565" s="285"/>
      <c r="H565" s="285"/>
    </row>
    <row r="566" spans="2:8">
      <c r="B566" s="286"/>
      <c r="C566" s="285"/>
      <c r="D566" s="285"/>
      <c r="E566" s="285"/>
      <c r="F566" s="285"/>
      <c r="H566" s="285"/>
    </row>
    <row r="567" spans="2:8">
      <c r="B567" s="286"/>
      <c r="C567" s="285"/>
      <c r="D567" s="285"/>
      <c r="E567" s="285"/>
      <c r="F567" s="285"/>
      <c r="H567" s="285"/>
    </row>
    <row r="568" spans="2:8">
      <c r="B568" s="286"/>
      <c r="C568" s="285"/>
      <c r="D568" s="285"/>
      <c r="E568" s="285"/>
      <c r="F568" s="285"/>
      <c r="H568" s="285"/>
    </row>
    <row r="569" spans="2:8">
      <c r="B569" s="286"/>
      <c r="C569" s="285"/>
      <c r="D569" s="285"/>
      <c r="E569" s="285"/>
      <c r="F569" s="285"/>
      <c r="H569" s="285"/>
    </row>
    <row r="570" spans="2:8">
      <c r="B570" s="286"/>
      <c r="C570" s="285"/>
      <c r="D570" s="285"/>
      <c r="E570" s="285"/>
      <c r="F570" s="285"/>
      <c r="H570" s="285"/>
    </row>
    <row r="571" spans="2:8">
      <c r="B571" s="286"/>
      <c r="C571" s="285"/>
      <c r="D571" s="285"/>
      <c r="E571" s="285"/>
      <c r="F571" s="285"/>
      <c r="H571" s="285"/>
    </row>
    <row r="572" spans="2:8">
      <c r="B572" s="286"/>
      <c r="C572" s="285"/>
      <c r="D572" s="285"/>
      <c r="E572" s="285"/>
      <c r="F572" s="285"/>
      <c r="H572" s="285"/>
    </row>
    <row r="573" spans="2:8">
      <c r="B573" s="286"/>
      <c r="C573" s="285"/>
      <c r="D573" s="285"/>
      <c r="E573" s="285"/>
      <c r="F573" s="285"/>
      <c r="H573" s="285"/>
    </row>
    <row r="574" spans="2:8">
      <c r="B574" s="286"/>
      <c r="C574" s="285"/>
      <c r="D574" s="285"/>
      <c r="E574" s="285"/>
      <c r="F574" s="285"/>
      <c r="H574" s="285"/>
    </row>
    <row r="575" spans="2:8">
      <c r="B575" s="286"/>
      <c r="C575" s="285"/>
      <c r="D575" s="285"/>
      <c r="E575" s="285"/>
      <c r="F575" s="285"/>
      <c r="H575" s="285"/>
    </row>
    <row r="576" spans="2:8">
      <c r="B576" s="286"/>
      <c r="C576" s="285"/>
      <c r="D576" s="285"/>
      <c r="E576" s="285"/>
      <c r="F576" s="285"/>
      <c r="H576" s="285"/>
    </row>
    <row r="577" spans="2:8">
      <c r="B577" s="286"/>
      <c r="C577" s="285"/>
      <c r="D577" s="285"/>
      <c r="E577" s="285"/>
      <c r="F577" s="285"/>
      <c r="H577" s="285"/>
    </row>
    <row r="578" spans="2:8">
      <c r="B578" s="286"/>
      <c r="C578" s="285"/>
      <c r="D578" s="285"/>
      <c r="E578" s="285"/>
      <c r="F578" s="285"/>
      <c r="H578" s="285"/>
    </row>
    <row r="579" spans="2:8">
      <c r="B579" s="286"/>
      <c r="C579" s="285"/>
      <c r="D579" s="285"/>
      <c r="E579" s="285"/>
      <c r="F579" s="285"/>
      <c r="H579" s="285"/>
    </row>
    <row r="580" spans="2:8">
      <c r="B580" s="286"/>
      <c r="C580" s="285"/>
      <c r="D580" s="285"/>
      <c r="E580" s="285"/>
      <c r="F580" s="285"/>
      <c r="H580" s="285"/>
    </row>
    <row r="581" spans="2:8">
      <c r="B581" s="286"/>
      <c r="C581" s="285"/>
      <c r="D581" s="285"/>
      <c r="E581" s="285"/>
      <c r="F581" s="285"/>
      <c r="H581" s="285"/>
    </row>
    <row r="582" spans="2:8">
      <c r="B582" s="286"/>
      <c r="C582" s="285"/>
      <c r="D582" s="285"/>
      <c r="E582" s="285"/>
      <c r="F582" s="285"/>
      <c r="H582" s="285"/>
    </row>
    <row r="583" spans="2:8">
      <c r="B583" s="286"/>
      <c r="C583" s="285"/>
      <c r="D583" s="285"/>
      <c r="E583" s="285"/>
      <c r="F583" s="285"/>
      <c r="H583" s="285"/>
    </row>
    <row r="584" spans="2:8">
      <c r="B584" s="286"/>
      <c r="C584" s="285"/>
      <c r="D584" s="285"/>
      <c r="E584" s="285"/>
      <c r="F584" s="285"/>
      <c r="H584" s="285"/>
    </row>
    <row r="585" spans="2:8">
      <c r="B585" s="286"/>
      <c r="C585" s="285"/>
      <c r="D585" s="285"/>
      <c r="E585" s="285"/>
      <c r="F585" s="285"/>
      <c r="H585" s="285"/>
    </row>
    <row r="586" spans="2:8">
      <c r="B586" s="286"/>
      <c r="C586" s="285"/>
      <c r="D586" s="285"/>
      <c r="E586" s="285"/>
      <c r="F586" s="285"/>
      <c r="H586" s="285"/>
    </row>
    <row r="587" spans="2:8">
      <c r="B587" s="286"/>
      <c r="C587" s="285"/>
      <c r="D587" s="285"/>
      <c r="E587" s="285"/>
      <c r="F587" s="285"/>
      <c r="H587" s="285"/>
    </row>
    <row r="588" spans="2:8">
      <c r="B588" s="286"/>
      <c r="C588" s="285"/>
      <c r="D588" s="285"/>
      <c r="E588" s="285"/>
      <c r="F588" s="285"/>
      <c r="H588" s="285"/>
    </row>
    <row r="589" spans="2:8">
      <c r="B589" s="286"/>
      <c r="C589" s="285"/>
      <c r="D589" s="285"/>
      <c r="E589" s="285"/>
      <c r="F589" s="285"/>
      <c r="H589" s="285"/>
    </row>
    <row r="590" spans="2:8">
      <c r="B590" s="286"/>
      <c r="C590" s="285"/>
      <c r="D590" s="285"/>
      <c r="E590" s="285"/>
      <c r="F590" s="285"/>
      <c r="H590" s="285"/>
    </row>
    <row r="591" spans="2:8">
      <c r="B591" s="286"/>
      <c r="C591" s="285"/>
      <c r="D591" s="285"/>
      <c r="E591" s="285"/>
      <c r="F591" s="285"/>
      <c r="H591" s="285"/>
    </row>
    <row r="592" spans="2:8">
      <c r="B592" s="286"/>
      <c r="C592" s="285"/>
      <c r="D592" s="285"/>
      <c r="E592" s="285"/>
      <c r="F592" s="285"/>
      <c r="H592" s="285"/>
    </row>
    <row r="593" spans="2:8">
      <c r="B593" s="286"/>
      <c r="C593" s="285"/>
      <c r="D593" s="285"/>
      <c r="E593" s="285"/>
      <c r="F593" s="285"/>
      <c r="H593" s="285"/>
    </row>
    <row r="594" spans="2:8">
      <c r="B594" s="286"/>
      <c r="C594" s="285"/>
      <c r="D594" s="285"/>
      <c r="E594" s="285"/>
      <c r="F594" s="285"/>
      <c r="H594" s="285"/>
    </row>
    <row r="595" spans="2:8">
      <c r="B595" s="286"/>
      <c r="C595" s="285"/>
      <c r="D595" s="285"/>
      <c r="E595" s="285"/>
      <c r="F595" s="285"/>
      <c r="H595" s="285"/>
    </row>
    <row r="596" spans="2:8">
      <c r="B596" s="286"/>
      <c r="C596" s="285"/>
      <c r="D596" s="285"/>
      <c r="E596" s="285"/>
      <c r="F596" s="285"/>
      <c r="H596" s="285"/>
    </row>
    <row r="597" spans="2:8">
      <c r="B597" s="286"/>
      <c r="C597" s="285"/>
      <c r="D597" s="285"/>
      <c r="E597" s="285"/>
      <c r="F597" s="285"/>
      <c r="H597" s="285"/>
    </row>
    <row r="598" spans="2:8">
      <c r="B598" s="286"/>
      <c r="C598" s="285"/>
      <c r="D598" s="285"/>
      <c r="E598" s="285"/>
      <c r="F598" s="285"/>
      <c r="H598" s="285"/>
    </row>
    <row r="599" spans="2:8">
      <c r="B599" s="286"/>
      <c r="C599" s="285"/>
      <c r="D599" s="285"/>
      <c r="E599" s="285"/>
      <c r="F599" s="285"/>
      <c r="H599" s="285"/>
    </row>
    <row r="600" spans="2:8">
      <c r="B600" s="286"/>
      <c r="C600" s="285"/>
      <c r="D600" s="285"/>
      <c r="E600" s="285"/>
      <c r="F600" s="285"/>
      <c r="H600" s="285"/>
    </row>
    <row r="601" spans="2:8">
      <c r="B601" s="286"/>
      <c r="C601" s="285"/>
      <c r="D601" s="285"/>
      <c r="E601" s="285"/>
      <c r="F601" s="285"/>
      <c r="H601" s="285"/>
    </row>
    <row r="602" spans="2:8">
      <c r="B602" s="286"/>
      <c r="C602" s="285"/>
      <c r="D602" s="285"/>
      <c r="E602" s="285"/>
      <c r="F602" s="285"/>
      <c r="H602" s="285"/>
    </row>
    <row r="603" spans="2:8">
      <c r="B603" s="286"/>
      <c r="C603" s="285"/>
      <c r="D603" s="285"/>
      <c r="E603" s="285"/>
      <c r="F603" s="285"/>
      <c r="H603" s="285"/>
    </row>
    <row r="604" spans="2:8">
      <c r="B604" s="286"/>
      <c r="C604" s="285"/>
      <c r="D604" s="285"/>
      <c r="E604" s="285"/>
      <c r="F604" s="285"/>
      <c r="H604" s="285"/>
    </row>
    <row r="605" spans="2:8">
      <c r="B605" s="286"/>
      <c r="C605" s="285"/>
      <c r="D605" s="285"/>
      <c r="E605" s="285"/>
      <c r="F605" s="285"/>
      <c r="H605" s="285"/>
    </row>
    <row r="606" spans="2:8">
      <c r="B606" s="286"/>
      <c r="C606" s="285"/>
      <c r="D606" s="285"/>
      <c r="E606" s="285"/>
      <c r="F606" s="285"/>
      <c r="H606" s="285"/>
    </row>
    <row r="607" spans="2:8">
      <c r="B607" s="286"/>
      <c r="C607" s="285"/>
      <c r="D607" s="285"/>
      <c r="E607" s="285"/>
      <c r="F607" s="285"/>
      <c r="H607" s="285"/>
    </row>
    <row r="608" spans="2:8">
      <c r="B608" s="286"/>
      <c r="C608" s="285"/>
      <c r="D608" s="285"/>
      <c r="E608" s="285"/>
      <c r="F608" s="285"/>
      <c r="H608" s="285"/>
    </row>
    <row r="609" spans="2:8">
      <c r="B609" s="286"/>
      <c r="C609" s="285"/>
      <c r="D609" s="285"/>
      <c r="E609" s="285"/>
      <c r="F609" s="285"/>
      <c r="H609" s="285"/>
    </row>
    <row r="610" spans="2:8">
      <c r="B610" s="286"/>
      <c r="C610" s="285"/>
      <c r="D610" s="285"/>
      <c r="E610" s="285"/>
      <c r="F610" s="285"/>
      <c r="H610" s="285"/>
    </row>
    <row r="611" spans="2:8">
      <c r="B611" s="286"/>
      <c r="C611" s="285"/>
      <c r="D611" s="285"/>
      <c r="E611" s="285"/>
      <c r="F611" s="285"/>
      <c r="H611" s="285"/>
    </row>
    <row r="612" spans="2:8">
      <c r="B612" s="286"/>
      <c r="C612" s="285"/>
      <c r="D612" s="285"/>
      <c r="E612" s="285"/>
      <c r="F612" s="285"/>
      <c r="H612" s="285"/>
    </row>
    <row r="613" spans="2:8">
      <c r="B613" s="286"/>
      <c r="C613" s="285"/>
      <c r="D613" s="285"/>
      <c r="E613" s="285"/>
      <c r="F613" s="285"/>
      <c r="H613" s="285"/>
    </row>
    <row r="614" spans="2:8">
      <c r="B614" s="286"/>
      <c r="C614" s="285"/>
      <c r="D614" s="285"/>
      <c r="E614" s="285"/>
      <c r="F614" s="285"/>
      <c r="H614" s="285"/>
    </row>
    <row r="615" spans="2:8">
      <c r="B615" s="286"/>
      <c r="C615" s="285"/>
      <c r="D615" s="285"/>
      <c r="E615" s="285"/>
      <c r="F615" s="285"/>
      <c r="H615" s="285"/>
    </row>
    <row r="616" spans="2:8">
      <c r="B616" s="286"/>
      <c r="C616" s="285"/>
      <c r="D616" s="285"/>
      <c r="E616" s="285"/>
      <c r="F616" s="285"/>
      <c r="H616" s="285"/>
    </row>
    <row r="617" spans="2:8">
      <c r="B617" s="286"/>
      <c r="C617" s="285"/>
      <c r="D617" s="285"/>
      <c r="E617" s="285"/>
      <c r="F617" s="285"/>
      <c r="H617" s="285"/>
    </row>
    <row r="618" spans="2:8">
      <c r="B618" s="286"/>
      <c r="C618" s="285"/>
      <c r="D618" s="285"/>
      <c r="E618" s="285"/>
      <c r="F618" s="285"/>
      <c r="H618" s="285"/>
    </row>
    <row r="619" spans="2:8">
      <c r="B619" s="286"/>
      <c r="C619" s="285"/>
      <c r="D619" s="285"/>
      <c r="E619" s="285"/>
      <c r="F619" s="285"/>
      <c r="H619" s="285"/>
    </row>
    <row r="620" spans="2:8">
      <c r="B620" s="286"/>
      <c r="C620" s="285"/>
      <c r="D620" s="285"/>
      <c r="E620" s="285"/>
      <c r="F620" s="285"/>
      <c r="H620" s="285"/>
    </row>
    <row r="621" spans="2:8">
      <c r="B621" s="286"/>
      <c r="C621" s="285"/>
      <c r="D621" s="285"/>
      <c r="E621" s="285"/>
      <c r="F621" s="285"/>
      <c r="H621" s="285"/>
    </row>
    <row r="622" spans="2:8">
      <c r="B622" s="286"/>
      <c r="C622" s="285"/>
      <c r="D622" s="285"/>
      <c r="E622" s="285"/>
      <c r="F622" s="285"/>
      <c r="H622" s="285"/>
    </row>
    <row r="623" spans="2:8">
      <c r="B623" s="286"/>
      <c r="C623" s="285"/>
      <c r="D623" s="285"/>
      <c r="E623" s="285"/>
      <c r="F623" s="285"/>
      <c r="H623" s="285"/>
    </row>
    <row r="624" spans="2:8">
      <c r="B624" s="286"/>
      <c r="C624" s="285"/>
      <c r="D624" s="285"/>
      <c r="E624" s="285"/>
      <c r="F624" s="285"/>
      <c r="H624" s="285"/>
    </row>
    <row r="625" spans="2:8">
      <c r="B625" s="286"/>
      <c r="C625" s="285"/>
      <c r="D625" s="285"/>
      <c r="E625" s="285"/>
      <c r="F625" s="285"/>
      <c r="H625" s="285"/>
    </row>
    <row r="626" spans="2:8">
      <c r="B626" s="286"/>
      <c r="C626" s="285"/>
      <c r="D626" s="285"/>
      <c r="E626" s="285"/>
      <c r="F626" s="285"/>
      <c r="H626" s="285"/>
    </row>
    <row r="627" spans="2:8">
      <c r="B627" s="286"/>
      <c r="C627" s="285"/>
      <c r="D627" s="285"/>
      <c r="E627" s="285"/>
      <c r="F627" s="285"/>
      <c r="H627" s="285"/>
    </row>
    <row r="628" spans="2:8">
      <c r="B628" s="286"/>
      <c r="C628" s="285"/>
      <c r="D628" s="285"/>
      <c r="E628" s="285"/>
      <c r="F628" s="285"/>
      <c r="H628" s="285"/>
    </row>
    <row r="629" spans="2:8">
      <c r="B629" s="286"/>
      <c r="C629" s="285"/>
      <c r="D629" s="285"/>
      <c r="E629" s="285"/>
      <c r="F629" s="285"/>
      <c r="H629" s="285"/>
    </row>
    <row r="630" spans="2:8">
      <c r="B630" s="286"/>
      <c r="C630" s="285"/>
      <c r="D630" s="285"/>
      <c r="E630" s="285"/>
      <c r="F630" s="285"/>
      <c r="H630" s="285"/>
    </row>
    <row r="631" spans="2:8">
      <c r="B631" s="286"/>
      <c r="C631" s="285"/>
      <c r="D631" s="285"/>
      <c r="E631" s="285"/>
      <c r="F631" s="285"/>
      <c r="H631" s="285"/>
    </row>
    <row r="632" spans="2:8">
      <c r="B632" s="286"/>
      <c r="C632" s="285"/>
      <c r="D632" s="285"/>
      <c r="E632" s="285"/>
      <c r="F632" s="285"/>
      <c r="H632" s="285"/>
    </row>
    <row r="633" spans="2:8">
      <c r="B633" s="286"/>
      <c r="C633" s="285"/>
      <c r="D633" s="285"/>
      <c r="E633" s="285"/>
      <c r="F633" s="285"/>
      <c r="H633" s="285"/>
    </row>
    <row r="634" spans="2:8">
      <c r="B634" s="286"/>
      <c r="C634" s="285"/>
      <c r="D634" s="285"/>
      <c r="E634" s="285"/>
      <c r="F634" s="285"/>
      <c r="H634" s="285"/>
    </row>
    <row r="635" spans="2:8">
      <c r="B635" s="286"/>
      <c r="C635" s="285"/>
      <c r="D635" s="285"/>
      <c r="E635" s="285"/>
      <c r="F635" s="285"/>
      <c r="H635" s="285"/>
    </row>
    <row r="636" spans="2:8">
      <c r="B636" s="286"/>
      <c r="C636" s="285"/>
      <c r="D636" s="285"/>
      <c r="E636" s="285"/>
      <c r="F636" s="285"/>
      <c r="H636" s="285"/>
    </row>
    <row r="637" spans="2:8">
      <c r="B637" s="286"/>
      <c r="C637" s="285"/>
      <c r="D637" s="285"/>
      <c r="E637" s="285"/>
      <c r="F637" s="285"/>
      <c r="H637" s="285"/>
    </row>
    <row r="638" spans="2:8">
      <c r="B638" s="286"/>
      <c r="C638" s="285"/>
      <c r="D638" s="285"/>
      <c r="E638" s="285"/>
      <c r="F638" s="285"/>
      <c r="H638" s="285"/>
    </row>
    <row r="639" spans="2:8">
      <c r="B639" s="286"/>
      <c r="C639" s="285"/>
      <c r="D639" s="285"/>
      <c r="E639" s="285"/>
      <c r="F639" s="285"/>
      <c r="H639" s="285"/>
    </row>
    <row r="640" spans="2:8">
      <c r="B640" s="286"/>
      <c r="C640" s="285"/>
      <c r="D640" s="285"/>
      <c r="E640" s="285"/>
      <c r="F640" s="285"/>
      <c r="H640" s="285"/>
    </row>
    <row r="641" spans="2:8">
      <c r="B641" s="286"/>
      <c r="C641" s="285"/>
      <c r="D641" s="285"/>
      <c r="E641" s="285"/>
      <c r="F641" s="285"/>
      <c r="H641" s="285"/>
    </row>
    <row r="642" spans="2:8">
      <c r="B642" s="286"/>
      <c r="C642" s="285"/>
      <c r="D642" s="285"/>
      <c r="E642" s="285"/>
      <c r="F642" s="285"/>
      <c r="H642" s="285"/>
    </row>
    <row r="643" spans="2:8">
      <c r="B643" s="286"/>
      <c r="C643" s="285"/>
      <c r="D643" s="285"/>
      <c r="E643" s="285"/>
      <c r="F643" s="285"/>
      <c r="H643" s="285"/>
    </row>
    <row r="644" spans="2:8">
      <c r="B644" s="286"/>
      <c r="C644" s="285"/>
      <c r="D644" s="285"/>
      <c r="E644" s="285"/>
      <c r="F644" s="285"/>
      <c r="H644" s="285"/>
    </row>
    <row r="645" spans="2:8">
      <c r="B645" s="286"/>
      <c r="C645" s="285"/>
      <c r="D645" s="285"/>
      <c r="E645" s="285"/>
      <c r="F645" s="285"/>
      <c r="H645" s="285"/>
    </row>
    <row r="646" spans="2:8">
      <c r="B646" s="286"/>
      <c r="C646" s="285"/>
      <c r="D646" s="285"/>
      <c r="E646" s="285"/>
      <c r="F646" s="285"/>
      <c r="H646" s="285"/>
    </row>
    <row r="647" spans="2:8">
      <c r="B647" s="286"/>
      <c r="C647" s="285"/>
      <c r="D647" s="285"/>
      <c r="E647" s="285"/>
      <c r="F647" s="285"/>
      <c r="H647" s="285"/>
    </row>
    <row r="648" spans="2:8">
      <c r="B648" s="286"/>
      <c r="C648" s="285"/>
      <c r="D648" s="285"/>
      <c r="E648" s="285"/>
      <c r="F648" s="285"/>
      <c r="H648" s="285"/>
    </row>
    <row r="649" spans="2:8">
      <c r="B649" s="286"/>
      <c r="C649" s="285"/>
      <c r="D649" s="285"/>
      <c r="E649" s="285"/>
      <c r="F649" s="285"/>
      <c r="H649" s="285"/>
    </row>
    <row r="650" spans="2:8">
      <c r="B650" s="286"/>
      <c r="C650" s="285"/>
      <c r="D650" s="285"/>
      <c r="E650" s="285"/>
      <c r="F650" s="285"/>
      <c r="H650" s="285"/>
    </row>
    <row r="651" spans="2:8">
      <c r="B651" s="286"/>
      <c r="C651" s="285"/>
      <c r="D651" s="285"/>
      <c r="E651" s="285"/>
      <c r="F651" s="285"/>
      <c r="H651" s="285"/>
    </row>
    <row r="652" spans="2:8">
      <c r="B652" s="286"/>
      <c r="C652" s="285"/>
      <c r="D652" s="285"/>
      <c r="E652" s="285"/>
      <c r="F652" s="285"/>
      <c r="H652" s="285"/>
    </row>
    <row r="653" spans="2:8">
      <c r="B653" s="286"/>
      <c r="C653" s="285"/>
      <c r="D653" s="285"/>
      <c r="E653" s="285"/>
      <c r="F653" s="285"/>
      <c r="H653" s="285"/>
    </row>
    <row r="654" spans="2:8">
      <c r="B654" s="286"/>
      <c r="C654" s="285"/>
      <c r="D654" s="285"/>
      <c r="E654" s="285"/>
      <c r="F654" s="285"/>
      <c r="H654" s="285"/>
    </row>
    <row r="655" spans="2:8">
      <c r="B655" s="286"/>
      <c r="C655" s="285"/>
      <c r="D655" s="285"/>
      <c r="E655" s="285"/>
      <c r="F655" s="285"/>
      <c r="H655" s="285"/>
    </row>
    <row r="656" spans="2:8">
      <c r="B656" s="286"/>
      <c r="C656" s="285"/>
      <c r="D656" s="285"/>
      <c r="E656" s="285"/>
      <c r="F656" s="285"/>
      <c r="H656" s="285"/>
    </row>
    <row r="657" spans="2:8">
      <c r="B657" s="286"/>
      <c r="C657" s="285"/>
      <c r="D657" s="285"/>
      <c r="E657" s="285"/>
      <c r="F657" s="285"/>
      <c r="H657" s="285"/>
    </row>
    <row r="658" spans="2:8">
      <c r="B658" s="286"/>
      <c r="C658" s="285"/>
      <c r="D658" s="285"/>
      <c r="E658" s="285"/>
      <c r="F658" s="285"/>
      <c r="H658" s="285"/>
    </row>
    <row r="659" spans="2:8">
      <c r="B659" s="286"/>
      <c r="C659" s="285"/>
      <c r="D659" s="285"/>
      <c r="E659" s="285"/>
      <c r="F659" s="285"/>
      <c r="H659" s="285"/>
    </row>
    <row r="660" spans="2:8">
      <c r="B660" s="286"/>
      <c r="C660" s="285"/>
      <c r="D660" s="285"/>
      <c r="E660" s="285"/>
      <c r="F660" s="285"/>
      <c r="H660" s="285"/>
    </row>
    <row r="661" spans="2:8">
      <c r="B661" s="286"/>
      <c r="C661" s="285"/>
      <c r="D661" s="285"/>
      <c r="E661" s="285"/>
      <c r="F661" s="285"/>
      <c r="H661" s="285"/>
    </row>
    <row r="662" spans="2:8">
      <c r="B662" s="286"/>
      <c r="C662" s="285"/>
      <c r="D662" s="285"/>
      <c r="E662" s="285"/>
      <c r="F662" s="285"/>
      <c r="H662" s="285"/>
    </row>
    <row r="663" spans="2:8">
      <c r="B663" s="286"/>
      <c r="C663" s="285"/>
      <c r="D663" s="285"/>
      <c r="E663" s="285"/>
      <c r="F663" s="285"/>
      <c r="H663" s="285"/>
    </row>
    <row r="664" spans="2:8">
      <c r="B664" s="286"/>
      <c r="C664" s="285"/>
      <c r="D664" s="285"/>
      <c r="E664" s="285"/>
      <c r="F664" s="285"/>
      <c r="H664" s="285"/>
    </row>
    <row r="665" spans="2:8">
      <c r="B665" s="286"/>
      <c r="C665" s="285"/>
      <c r="D665" s="285"/>
      <c r="E665" s="285"/>
      <c r="F665" s="285"/>
      <c r="H665" s="285"/>
    </row>
    <row r="666" spans="2:8">
      <c r="B666" s="286"/>
      <c r="C666" s="285"/>
      <c r="D666" s="285"/>
      <c r="E666" s="285"/>
      <c r="F666" s="285"/>
      <c r="H666" s="285"/>
    </row>
    <row r="667" spans="2:8">
      <c r="B667" s="286"/>
      <c r="C667" s="285"/>
      <c r="D667" s="285"/>
      <c r="E667" s="285"/>
      <c r="F667" s="285"/>
      <c r="H667" s="285"/>
    </row>
    <row r="668" spans="2:8">
      <c r="B668" s="286"/>
      <c r="C668" s="285"/>
      <c r="D668" s="285"/>
      <c r="E668" s="285"/>
      <c r="F668" s="285"/>
      <c r="H668" s="285"/>
    </row>
    <row r="669" spans="2:8">
      <c r="B669" s="286"/>
      <c r="C669" s="285"/>
      <c r="D669" s="285"/>
      <c r="E669" s="285"/>
      <c r="F669" s="285"/>
      <c r="H669" s="285"/>
    </row>
    <row r="670" spans="2:8">
      <c r="B670" s="286"/>
      <c r="C670" s="285"/>
      <c r="D670" s="285"/>
      <c r="E670" s="285"/>
      <c r="F670" s="285"/>
      <c r="H670" s="285"/>
    </row>
    <row r="671" spans="2:8">
      <c r="B671" s="286"/>
      <c r="C671" s="285"/>
      <c r="D671" s="285"/>
      <c r="E671" s="285"/>
      <c r="F671" s="285"/>
      <c r="H671" s="285"/>
    </row>
    <row r="672" spans="2:8">
      <c r="B672" s="286"/>
      <c r="C672" s="285"/>
      <c r="D672" s="285"/>
      <c r="E672" s="285"/>
      <c r="F672" s="285"/>
      <c r="H672" s="285"/>
    </row>
    <row r="673" spans="2:8">
      <c r="B673" s="286"/>
      <c r="C673" s="285"/>
      <c r="D673" s="285"/>
      <c r="E673" s="285"/>
      <c r="F673" s="285"/>
      <c r="H673" s="285"/>
    </row>
    <row r="674" spans="2:8">
      <c r="B674" s="286"/>
      <c r="C674" s="285"/>
      <c r="D674" s="285"/>
      <c r="E674" s="285"/>
      <c r="F674" s="285"/>
      <c r="H674" s="285"/>
    </row>
    <row r="675" spans="2:8">
      <c r="B675" s="286"/>
      <c r="C675" s="285"/>
      <c r="D675" s="285"/>
      <c r="E675" s="285"/>
      <c r="F675" s="285"/>
      <c r="H675" s="285"/>
    </row>
    <row r="676" spans="2:8">
      <c r="B676" s="286"/>
      <c r="C676" s="285"/>
      <c r="D676" s="285"/>
      <c r="E676" s="285"/>
      <c r="F676" s="285"/>
      <c r="H676" s="285"/>
    </row>
    <row r="677" spans="2:8">
      <c r="B677" s="286"/>
      <c r="C677" s="285"/>
      <c r="D677" s="285"/>
      <c r="E677" s="285"/>
      <c r="F677" s="285"/>
      <c r="H677" s="285"/>
    </row>
    <row r="678" spans="2:8">
      <c r="B678" s="286"/>
      <c r="C678" s="285"/>
      <c r="D678" s="285"/>
      <c r="E678" s="285"/>
      <c r="F678" s="285"/>
      <c r="H678" s="285"/>
    </row>
    <row r="679" spans="2:8">
      <c r="B679" s="286"/>
      <c r="C679" s="285"/>
      <c r="D679" s="285"/>
      <c r="E679" s="285"/>
      <c r="F679" s="285"/>
      <c r="H679" s="285"/>
    </row>
    <row r="680" spans="2:8">
      <c r="B680" s="286"/>
      <c r="C680" s="285"/>
      <c r="D680" s="285"/>
      <c r="E680" s="285"/>
      <c r="F680" s="285"/>
      <c r="H680" s="285"/>
    </row>
    <row r="681" spans="2:8">
      <c r="B681" s="286"/>
      <c r="C681" s="285"/>
      <c r="D681" s="285"/>
      <c r="E681" s="285"/>
      <c r="F681" s="285"/>
      <c r="H681" s="285"/>
    </row>
    <row r="682" spans="2:8">
      <c r="B682" s="286"/>
      <c r="C682" s="285"/>
      <c r="D682" s="285"/>
      <c r="E682" s="285"/>
      <c r="F682" s="285"/>
      <c r="H682" s="285"/>
    </row>
    <row r="683" spans="2:8">
      <c r="B683" s="286"/>
      <c r="C683" s="285"/>
      <c r="D683" s="285"/>
      <c r="E683" s="285"/>
      <c r="F683" s="285"/>
      <c r="H683" s="285"/>
    </row>
    <row r="684" spans="2:8">
      <c r="B684" s="286"/>
      <c r="C684" s="285"/>
      <c r="D684" s="285"/>
      <c r="E684" s="285"/>
      <c r="F684" s="285"/>
      <c r="H684" s="285"/>
    </row>
    <row r="685" spans="2:8">
      <c r="B685" s="286"/>
      <c r="C685" s="285"/>
      <c r="D685" s="285"/>
      <c r="E685" s="285"/>
      <c r="F685" s="285"/>
      <c r="H685" s="285"/>
    </row>
    <row r="686" spans="2:8">
      <c r="B686" s="286"/>
      <c r="C686" s="285"/>
      <c r="D686" s="285"/>
      <c r="E686" s="285"/>
      <c r="F686" s="285"/>
      <c r="H686" s="285"/>
    </row>
    <row r="687" spans="2:8">
      <c r="B687" s="286"/>
      <c r="C687" s="285"/>
      <c r="D687" s="285"/>
      <c r="E687" s="285"/>
      <c r="F687" s="285"/>
      <c r="H687" s="285"/>
    </row>
    <row r="688" spans="2:8">
      <c r="B688" s="286"/>
      <c r="C688" s="285"/>
      <c r="D688" s="285"/>
      <c r="E688" s="285"/>
      <c r="F688" s="285"/>
      <c r="H688" s="285"/>
    </row>
    <row r="689" spans="2:8">
      <c r="B689" s="286"/>
      <c r="C689" s="285"/>
      <c r="D689" s="285"/>
      <c r="E689" s="285"/>
      <c r="F689" s="285"/>
      <c r="H689" s="285"/>
    </row>
    <row r="690" spans="2:8">
      <c r="B690" s="286"/>
      <c r="C690" s="285"/>
      <c r="D690" s="285"/>
      <c r="E690" s="285"/>
      <c r="F690" s="285"/>
      <c r="H690" s="285"/>
    </row>
    <row r="691" spans="2:8">
      <c r="B691" s="286"/>
      <c r="C691" s="285"/>
      <c r="D691" s="285"/>
      <c r="E691" s="285"/>
      <c r="F691" s="285"/>
      <c r="H691" s="285"/>
    </row>
    <row r="692" spans="2:8">
      <c r="B692" s="286"/>
      <c r="C692" s="285"/>
      <c r="D692" s="285"/>
      <c r="E692" s="285"/>
      <c r="F692" s="285"/>
      <c r="H692" s="285"/>
    </row>
    <row r="693" spans="2:8">
      <c r="B693" s="286"/>
      <c r="C693" s="285"/>
      <c r="D693" s="285"/>
      <c r="E693" s="285"/>
      <c r="F693" s="285"/>
      <c r="H693" s="285"/>
    </row>
    <row r="694" spans="2:8">
      <c r="B694" s="286"/>
      <c r="C694" s="285"/>
      <c r="D694" s="285"/>
      <c r="E694" s="285"/>
      <c r="F694" s="285"/>
      <c r="H694" s="285"/>
    </row>
    <row r="695" spans="2:8">
      <c r="B695" s="286"/>
      <c r="C695" s="285"/>
      <c r="D695" s="285"/>
      <c r="E695" s="285"/>
      <c r="F695" s="285"/>
      <c r="H695" s="285"/>
    </row>
    <row r="696" spans="2:8">
      <c r="B696" s="286"/>
      <c r="C696" s="285"/>
      <c r="D696" s="285"/>
      <c r="E696" s="285"/>
      <c r="F696" s="285"/>
      <c r="H696" s="285"/>
    </row>
    <row r="697" spans="2:8">
      <c r="B697" s="286"/>
      <c r="C697" s="285"/>
      <c r="D697" s="285"/>
      <c r="E697" s="285"/>
      <c r="F697" s="285"/>
      <c r="H697" s="285"/>
    </row>
    <row r="698" spans="2:8">
      <c r="B698" s="286"/>
      <c r="C698" s="285"/>
      <c r="D698" s="285"/>
      <c r="E698" s="285"/>
      <c r="F698" s="285"/>
      <c r="H698" s="285"/>
    </row>
    <row r="699" spans="2:8">
      <c r="B699" s="286"/>
      <c r="C699" s="285"/>
      <c r="D699" s="285"/>
      <c r="E699" s="285"/>
      <c r="F699" s="285"/>
      <c r="H699" s="285"/>
    </row>
    <row r="700" spans="2:8">
      <c r="B700" s="286"/>
      <c r="C700" s="285"/>
      <c r="D700" s="285"/>
      <c r="E700" s="285"/>
      <c r="F700" s="285"/>
      <c r="H700" s="285"/>
    </row>
    <row r="701" spans="2:8">
      <c r="B701" s="286"/>
      <c r="C701" s="285"/>
      <c r="D701" s="285"/>
      <c r="E701" s="285"/>
      <c r="F701" s="285"/>
      <c r="H701" s="285"/>
    </row>
    <row r="702" spans="2:8">
      <c r="B702" s="286"/>
      <c r="C702" s="285"/>
      <c r="D702" s="285"/>
      <c r="E702" s="285"/>
      <c r="F702" s="285"/>
      <c r="H702" s="285"/>
    </row>
    <row r="703" spans="2:8">
      <c r="B703" s="286"/>
      <c r="C703" s="285"/>
      <c r="D703" s="285"/>
      <c r="E703" s="285"/>
      <c r="F703" s="285"/>
      <c r="H703" s="285"/>
    </row>
    <row r="704" spans="2:8">
      <c r="B704" s="286"/>
      <c r="C704" s="285"/>
      <c r="D704" s="285"/>
      <c r="E704" s="285"/>
      <c r="F704" s="285"/>
      <c r="H704" s="285"/>
    </row>
    <row r="705" spans="2:8">
      <c r="B705" s="286"/>
      <c r="C705" s="285"/>
      <c r="D705" s="285"/>
      <c r="E705" s="285"/>
      <c r="F705" s="285"/>
      <c r="H705" s="285"/>
    </row>
    <row r="706" spans="2:8">
      <c r="B706" s="286"/>
      <c r="C706" s="285"/>
      <c r="D706" s="285"/>
      <c r="E706" s="285"/>
      <c r="F706" s="285"/>
      <c r="H706" s="285"/>
    </row>
    <row r="707" spans="2:8">
      <c r="B707" s="286"/>
      <c r="C707" s="285"/>
      <c r="D707" s="285"/>
      <c r="E707" s="285"/>
      <c r="F707" s="285"/>
      <c r="H707" s="285"/>
    </row>
    <row r="708" spans="2:8">
      <c r="B708" s="286"/>
      <c r="C708" s="285"/>
      <c r="D708" s="285"/>
      <c r="E708" s="285"/>
      <c r="F708" s="285"/>
      <c r="H708" s="285"/>
    </row>
    <row r="709" spans="2:8">
      <c r="B709" s="286"/>
      <c r="C709" s="285"/>
      <c r="D709" s="285"/>
      <c r="E709" s="285"/>
      <c r="F709" s="285"/>
      <c r="H709" s="285"/>
    </row>
    <row r="710" spans="2:8">
      <c r="B710" s="286"/>
      <c r="C710" s="285"/>
      <c r="D710" s="285"/>
      <c r="E710" s="285"/>
      <c r="F710" s="285"/>
      <c r="H710" s="285"/>
    </row>
    <row r="711" spans="2:8">
      <c r="B711" s="286"/>
      <c r="C711" s="285"/>
      <c r="D711" s="285"/>
      <c r="E711" s="285"/>
      <c r="F711" s="285"/>
      <c r="H711" s="285"/>
    </row>
    <row r="712" spans="2:8">
      <c r="B712" s="286"/>
      <c r="C712" s="285"/>
      <c r="D712" s="285"/>
      <c r="E712" s="285"/>
      <c r="F712" s="285"/>
      <c r="H712" s="285"/>
    </row>
    <row r="713" spans="2:8">
      <c r="B713" s="286"/>
      <c r="C713" s="285"/>
      <c r="D713" s="285"/>
      <c r="E713" s="285"/>
      <c r="F713" s="285"/>
      <c r="H713" s="285"/>
    </row>
    <row r="714" spans="2:8">
      <c r="B714" s="286"/>
      <c r="C714" s="285"/>
      <c r="D714" s="285"/>
      <c r="E714" s="285"/>
      <c r="F714" s="285"/>
      <c r="H714" s="285"/>
    </row>
    <row r="715" spans="2:8">
      <c r="B715" s="286"/>
      <c r="C715" s="285"/>
      <c r="D715" s="285"/>
      <c r="E715" s="285"/>
      <c r="F715" s="285"/>
      <c r="H715" s="285"/>
    </row>
    <row r="716" spans="2:8">
      <c r="B716" s="286"/>
      <c r="C716" s="285"/>
      <c r="D716" s="285"/>
      <c r="E716" s="285"/>
      <c r="F716" s="285"/>
      <c r="H716" s="285"/>
    </row>
    <row r="717" spans="2:8">
      <c r="B717" s="286"/>
      <c r="C717" s="285"/>
      <c r="D717" s="285"/>
      <c r="E717" s="285"/>
      <c r="F717" s="285"/>
      <c r="H717" s="285"/>
    </row>
    <row r="718" spans="2:8">
      <c r="B718" s="286"/>
      <c r="C718" s="285"/>
      <c r="D718" s="285"/>
      <c r="E718" s="285"/>
      <c r="F718" s="285"/>
      <c r="H718" s="285"/>
    </row>
    <row r="719" spans="2:8">
      <c r="B719" s="286"/>
      <c r="C719" s="285"/>
      <c r="D719" s="285"/>
      <c r="E719" s="285"/>
      <c r="F719" s="285"/>
      <c r="H719" s="285"/>
    </row>
    <row r="720" spans="2:8">
      <c r="B720" s="286"/>
      <c r="C720" s="285"/>
      <c r="D720" s="285"/>
      <c r="E720" s="285"/>
      <c r="F720" s="285"/>
      <c r="H720" s="285"/>
    </row>
    <row r="721" spans="2:8">
      <c r="B721" s="286"/>
      <c r="C721" s="285"/>
      <c r="D721" s="285"/>
      <c r="E721" s="285"/>
      <c r="F721" s="285"/>
      <c r="H721" s="285"/>
    </row>
    <row r="722" spans="2:8">
      <c r="B722" s="286"/>
      <c r="C722" s="285"/>
      <c r="D722" s="285"/>
      <c r="E722" s="285"/>
      <c r="F722" s="285"/>
      <c r="H722" s="285"/>
    </row>
    <row r="723" spans="2:8">
      <c r="B723" s="286"/>
      <c r="C723" s="285"/>
      <c r="D723" s="285"/>
      <c r="E723" s="285"/>
      <c r="F723" s="285"/>
      <c r="H723" s="285"/>
    </row>
    <row r="724" spans="2:8">
      <c r="B724" s="286"/>
      <c r="C724" s="285"/>
      <c r="D724" s="285"/>
      <c r="E724" s="285"/>
      <c r="F724" s="285"/>
      <c r="H724" s="285"/>
    </row>
    <row r="725" spans="2:8">
      <c r="B725" s="286"/>
      <c r="C725" s="285"/>
      <c r="D725" s="285"/>
      <c r="E725" s="285"/>
      <c r="F725" s="285"/>
      <c r="H725" s="285"/>
    </row>
    <row r="726" spans="2:8">
      <c r="B726" s="286"/>
      <c r="C726" s="285"/>
      <c r="D726" s="285"/>
      <c r="E726" s="285"/>
      <c r="F726" s="285"/>
      <c r="H726" s="285"/>
    </row>
    <row r="727" spans="2:8">
      <c r="B727" s="286"/>
      <c r="C727" s="285"/>
      <c r="D727" s="285"/>
      <c r="E727" s="285"/>
      <c r="F727" s="285"/>
      <c r="H727" s="285"/>
    </row>
    <row r="728" spans="2:8">
      <c r="B728" s="286"/>
      <c r="C728" s="285"/>
      <c r="D728" s="285"/>
      <c r="E728" s="285"/>
      <c r="F728" s="285"/>
      <c r="H728" s="285"/>
    </row>
    <row r="729" spans="2:8">
      <c r="B729" s="286"/>
      <c r="C729" s="285"/>
      <c r="D729" s="285"/>
      <c r="E729" s="285"/>
      <c r="F729" s="285"/>
      <c r="H729" s="285"/>
    </row>
    <row r="730" spans="2:8">
      <c r="B730" s="286"/>
      <c r="C730" s="285"/>
      <c r="D730" s="285"/>
      <c r="E730" s="285"/>
      <c r="F730" s="285"/>
      <c r="H730" s="285"/>
    </row>
    <row r="731" spans="2:8">
      <c r="B731" s="286"/>
      <c r="C731" s="285"/>
      <c r="D731" s="285"/>
      <c r="E731" s="285"/>
      <c r="F731" s="285"/>
      <c r="H731" s="285"/>
    </row>
    <row r="732" spans="2:8">
      <c r="B732" s="286"/>
      <c r="C732" s="285"/>
      <c r="D732" s="285"/>
      <c r="E732" s="285"/>
      <c r="F732" s="285"/>
      <c r="H732" s="285"/>
    </row>
    <row r="733" spans="2:8">
      <c r="B733" s="286"/>
      <c r="C733" s="285"/>
      <c r="D733" s="285"/>
      <c r="E733" s="285"/>
      <c r="F733" s="285"/>
      <c r="H733" s="285"/>
    </row>
    <row r="734" spans="2:8">
      <c r="B734" s="286"/>
      <c r="C734" s="285"/>
      <c r="D734" s="285"/>
      <c r="E734" s="285"/>
      <c r="F734" s="285"/>
      <c r="H734" s="285"/>
    </row>
    <row r="735" spans="2:8">
      <c r="B735" s="286"/>
      <c r="C735" s="285"/>
      <c r="D735" s="285"/>
      <c r="E735" s="285"/>
      <c r="F735" s="285"/>
      <c r="H735" s="285"/>
    </row>
    <row r="736" spans="2:8">
      <c r="B736" s="286"/>
      <c r="C736" s="285"/>
      <c r="D736" s="285"/>
      <c r="E736" s="285"/>
      <c r="F736" s="285"/>
      <c r="H736" s="285"/>
    </row>
    <row r="737" spans="2:8">
      <c r="B737" s="286"/>
      <c r="C737" s="285"/>
      <c r="D737" s="285"/>
      <c r="E737" s="285"/>
      <c r="F737" s="285"/>
      <c r="H737" s="285"/>
    </row>
    <row r="738" spans="2:8">
      <c r="B738" s="286"/>
      <c r="C738" s="285"/>
      <c r="D738" s="285"/>
      <c r="E738" s="285"/>
      <c r="F738" s="285"/>
      <c r="H738" s="285"/>
    </row>
    <row r="739" spans="2:8">
      <c r="B739" s="286"/>
      <c r="C739" s="285"/>
      <c r="D739" s="285"/>
      <c r="E739" s="285"/>
      <c r="F739" s="285"/>
      <c r="H739" s="285"/>
    </row>
    <row r="740" spans="2:8">
      <c r="B740" s="286"/>
      <c r="C740" s="285"/>
      <c r="D740" s="285"/>
      <c r="E740" s="285"/>
      <c r="F740" s="285"/>
      <c r="H740" s="285"/>
    </row>
    <row r="741" spans="2:8">
      <c r="B741" s="286"/>
      <c r="C741" s="285"/>
      <c r="D741" s="285"/>
      <c r="E741" s="285"/>
      <c r="F741" s="285"/>
      <c r="H741" s="285"/>
    </row>
    <row r="742" spans="2:8">
      <c r="B742" s="286"/>
      <c r="C742" s="285"/>
      <c r="D742" s="285"/>
      <c r="E742" s="285"/>
      <c r="F742" s="285"/>
      <c r="H742" s="285"/>
    </row>
    <row r="743" spans="2:8">
      <c r="B743" s="286"/>
      <c r="C743" s="285"/>
      <c r="D743" s="285"/>
      <c r="E743" s="285"/>
      <c r="F743" s="285"/>
      <c r="H743" s="285"/>
    </row>
    <row r="744" spans="2:8">
      <c r="B744" s="286"/>
      <c r="C744" s="285"/>
      <c r="D744" s="285"/>
      <c r="E744" s="285"/>
      <c r="F744" s="285"/>
      <c r="H744" s="285"/>
    </row>
    <row r="745" spans="2:8">
      <c r="B745" s="286"/>
      <c r="C745" s="285"/>
      <c r="D745" s="285"/>
      <c r="E745" s="285"/>
      <c r="F745" s="285"/>
      <c r="H745" s="285"/>
    </row>
    <row r="746" spans="2:8">
      <c r="B746" s="286"/>
      <c r="C746" s="285"/>
      <c r="D746" s="285"/>
      <c r="E746" s="285"/>
      <c r="F746" s="285"/>
      <c r="H746" s="285"/>
    </row>
    <row r="747" spans="2:8">
      <c r="B747" s="286"/>
      <c r="C747" s="285"/>
      <c r="D747" s="285"/>
      <c r="E747" s="285"/>
      <c r="F747" s="285"/>
      <c r="H747" s="285"/>
    </row>
    <row r="748" spans="2:8">
      <c r="B748" s="286"/>
      <c r="C748" s="285"/>
      <c r="D748" s="285"/>
      <c r="E748" s="285"/>
      <c r="F748" s="285"/>
      <c r="H748" s="285"/>
    </row>
    <row r="749" spans="2:8">
      <c r="B749" s="286"/>
      <c r="C749" s="285"/>
      <c r="D749" s="285"/>
      <c r="E749" s="285"/>
      <c r="F749" s="285"/>
      <c r="H749" s="285"/>
    </row>
    <row r="750" spans="2:8">
      <c r="B750" s="286"/>
      <c r="C750" s="285"/>
      <c r="D750" s="285"/>
      <c r="E750" s="285"/>
      <c r="F750" s="285"/>
      <c r="H750" s="285"/>
    </row>
    <row r="751" spans="2:8">
      <c r="B751" s="286"/>
      <c r="C751" s="285"/>
      <c r="D751" s="285"/>
      <c r="E751" s="285"/>
      <c r="F751" s="285"/>
      <c r="H751" s="285"/>
    </row>
    <row r="752" spans="2:8">
      <c r="B752" s="286"/>
      <c r="C752" s="285"/>
      <c r="D752" s="285"/>
      <c r="E752" s="285"/>
      <c r="F752" s="285"/>
      <c r="H752" s="285"/>
    </row>
    <row r="753" spans="2:8">
      <c r="B753" s="286"/>
      <c r="C753" s="285"/>
      <c r="D753" s="285"/>
      <c r="E753" s="285"/>
      <c r="F753" s="285"/>
      <c r="H753" s="285"/>
    </row>
    <row r="754" spans="2:8">
      <c r="B754" s="286"/>
      <c r="C754" s="285"/>
      <c r="D754" s="285"/>
      <c r="E754" s="285"/>
      <c r="F754" s="285"/>
      <c r="H754" s="285"/>
    </row>
    <row r="755" spans="2:8">
      <c r="B755" s="286"/>
      <c r="C755" s="285"/>
      <c r="D755" s="285"/>
      <c r="E755" s="285"/>
      <c r="F755" s="285"/>
      <c r="H755" s="285"/>
    </row>
    <row r="756" spans="2:8">
      <c r="B756" s="286"/>
      <c r="C756" s="285"/>
      <c r="D756" s="285"/>
      <c r="E756" s="285"/>
      <c r="F756" s="285"/>
      <c r="H756" s="285"/>
    </row>
    <row r="757" spans="2:8">
      <c r="B757" s="286"/>
      <c r="C757" s="285"/>
      <c r="D757" s="285"/>
      <c r="E757" s="285"/>
      <c r="F757" s="285"/>
      <c r="H757" s="285"/>
    </row>
    <row r="758" spans="2:8">
      <c r="B758" s="286"/>
      <c r="C758" s="285"/>
      <c r="D758" s="285"/>
      <c r="E758" s="285"/>
      <c r="F758" s="285"/>
      <c r="H758" s="285"/>
    </row>
    <row r="759" spans="2:8">
      <c r="B759" s="286"/>
      <c r="C759" s="285"/>
      <c r="D759" s="285"/>
      <c r="E759" s="285"/>
      <c r="F759" s="285"/>
      <c r="H759" s="285"/>
    </row>
    <row r="760" spans="2:8">
      <c r="B760" s="286"/>
      <c r="C760" s="285"/>
      <c r="D760" s="285"/>
      <c r="E760" s="285"/>
      <c r="F760" s="285"/>
      <c r="H760" s="285"/>
    </row>
    <row r="761" spans="2:8">
      <c r="B761" s="286"/>
      <c r="C761" s="285"/>
      <c r="D761" s="285"/>
      <c r="E761" s="285"/>
      <c r="F761" s="285"/>
      <c r="H761" s="285"/>
    </row>
    <row r="762" spans="2:8">
      <c r="B762" s="286"/>
      <c r="C762" s="285"/>
      <c r="D762" s="285"/>
      <c r="E762" s="285"/>
      <c r="F762" s="285"/>
      <c r="H762" s="285"/>
    </row>
    <row r="763" spans="2:8">
      <c r="B763" s="286"/>
      <c r="C763" s="285"/>
      <c r="D763" s="285"/>
      <c r="E763" s="285"/>
      <c r="F763" s="285"/>
      <c r="H763" s="285"/>
    </row>
    <row r="764" spans="2:8">
      <c r="B764" s="286"/>
      <c r="C764" s="285"/>
      <c r="D764" s="285"/>
      <c r="E764" s="285"/>
      <c r="F764" s="285"/>
      <c r="H764" s="285"/>
    </row>
    <row r="765" spans="2:8">
      <c r="B765" s="286"/>
      <c r="C765" s="285"/>
      <c r="D765" s="285"/>
      <c r="E765" s="285"/>
      <c r="F765" s="285"/>
      <c r="H765" s="285"/>
    </row>
    <row r="766" spans="2:8">
      <c r="B766" s="286"/>
      <c r="C766" s="285"/>
      <c r="D766" s="285"/>
      <c r="E766" s="285"/>
      <c r="F766" s="285"/>
      <c r="H766" s="285"/>
    </row>
    <row r="767" spans="2:8">
      <c r="B767" s="286"/>
      <c r="C767" s="285"/>
      <c r="D767" s="285"/>
      <c r="E767" s="285"/>
      <c r="F767" s="285"/>
      <c r="H767" s="285"/>
    </row>
    <row r="768" spans="2:8">
      <c r="B768" s="286"/>
      <c r="C768" s="285"/>
      <c r="D768" s="285"/>
      <c r="E768" s="285"/>
      <c r="F768" s="285"/>
      <c r="H768" s="285"/>
    </row>
    <row r="769" spans="2:8">
      <c r="B769" s="286"/>
      <c r="C769" s="285"/>
      <c r="D769" s="285"/>
      <c r="E769" s="285"/>
      <c r="F769" s="285"/>
      <c r="H769" s="285"/>
    </row>
    <row r="770" spans="2:8">
      <c r="B770" s="286"/>
      <c r="C770" s="285"/>
      <c r="D770" s="285"/>
      <c r="E770" s="285"/>
      <c r="F770" s="285"/>
      <c r="H770" s="285"/>
    </row>
    <row r="771" spans="2:8">
      <c r="B771" s="286"/>
      <c r="C771" s="285"/>
      <c r="D771" s="285"/>
      <c r="E771" s="285"/>
      <c r="F771" s="285"/>
      <c r="H771" s="285"/>
    </row>
    <row r="772" spans="2:8">
      <c r="B772" s="286"/>
      <c r="C772" s="285"/>
      <c r="D772" s="285"/>
      <c r="E772" s="285"/>
      <c r="F772" s="285"/>
      <c r="H772" s="285"/>
    </row>
    <row r="773" spans="2:8">
      <c r="B773" s="286"/>
      <c r="C773" s="285"/>
      <c r="D773" s="285"/>
      <c r="E773" s="285"/>
      <c r="F773" s="285"/>
      <c r="H773" s="285"/>
    </row>
    <row r="774" spans="2:8">
      <c r="B774" s="286"/>
      <c r="C774" s="285"/>
      <c r="D774" s="285"/>
      <c r="E774" s="285"/>
      <c r="F774" s="285"/>
      <c r="H774" s="285"/>
    </row>
    <row r="775" spans="2:8">
      <c r="B775" s="286"/>
      <c r="C775" s="285"/>
      <c r="D775" s="285"/>
      <c r="E775" s="285"/>
      <c r="F775" s="285"/>
      <c r="H775" s="285"/>
    </row>
    <row r="776" spans="2:8">
      <c r="B776" s="286"/>
      <c r="C776" s="285"/>
      <c r="D776" s="285"/>
      <c r="E776" s="285"/>
      <c r="F776" s="285"/>
      <c r="H776" s="285"/>
    </row>
    <row r="777" spans="2:8">
      <c r="B777" s="286"/>
      <c r="C777" s="285"/>
      <c r="D777" s="285"/>
      <c r="E777" s="285"/>
      <c r="F777" s="285"/>
      <c r="H777" s="285"/>
    </row>
    <row r="778" spans="2:8">
      <c r="B778" s="286"/>
      <c r="C778" s="285"/>
      <c r="D778" s="285"/>
      <c r="E778" s="285"/>
      <c r="F778" s="285"/>
      <c r="H778" s="285"/>
    </row>
    <row r="779" spans="2:8">
      <c r="B779" s="286"/>
      <c r="C779" s="285"/>
      <c r="D779" s="285"/>
      <c r="E779" s="285"/>
      <c r="F779" s="285"/>
      <c r="H779" s="285"/>
    </row>
    <row r="780" spans="2:8">
      <c r="B780" s="286"/>
      <c r="C780" s="285"/>
      <c r="D780" s="285"/>
      <c r="E780" s="285"/>
      <c r="F780" s="285"/>
      <c r="H780" s="285"/>
    </row>
    <row r="781" spans="2:8">
      <c r="B781" s="286"/>
      <c r="C781" s="285"/>
      <c r="D781" s="285"/>
      <c r="E781" s="285"/>
      <c r="F781" s="285"/>
      <c r="H781" s="285"/>
    </row>
    <row r="782" spans="2:8">
      <c r="B782" s="286"/>
      <c r="C782" s="285"/>
      <c r="D782" s="285"/>
      <c r="E782" s="285"/>
      <c r="F782" s="285"/>
      <c r="H782" s="285"/>
    </row>
    <row r="783" spans="2:8">
      <c r="B783" s="286"/>
      <c r="C783" s="285"/>
      <c r="D783" s="285"/>
      <c r="E783" s="285"/>
      <c r="F783" s="285"/>
      <c r="H783" s="285"/>
    </row>
    <row r="784" spans="2:8">
      <c r="B784" s="286"/>
      <c r="C784" s="285"/>
      <c r="D784" s="285"/>
      <c r="E784" s="285"/>
      <c r="F784" s="285"/>
      <c r="H784" s="285"/>
    </row>
    <row r="785" spans="2:8">
      <c r="B785" s="286"/>
      <c r="C785" s="285"/>
      <c r="D785" s="285"/>
      <c r="E785" s="285"/>
      <c r="F785" s="285"/>
      <c r="H785" s="285"/>
    </row>
    <row r="786" spans="2:8">
      <c r="B786" s="286"/>
      <c r="C786" s="285"/>
      <c r="D786" s="285"/>
      <c r="E786" s="285"/>
      <c r="F786" s="285"/>
      <c r="H786" s="285"/>
    </row>
    <row r="787" spans="2:8">
      <c r="B787" s="286"/>
      <c r="C787" s="285"/>
      <c r="D787" s="285"/>
      <c r="E787" s="285"/>
      <c r="F787" s="285"/>
      <c r="H787" s="285"/>
    </row>
    <row r="788" spans="2:8">
      <c r="B788" s="286"/>
      <c r="C788" s="285"/>
      <c r="D788" s="285"/>
      <c r="E788" s="285"/>
      <c r="F788" s="285"/>
      <c r="H788" s="285"/>
    </row>
    <row r="789" spans="2:8">
      <c r="B789" s="286"/>
      <c r="C789" s="285"/>
      <c r="D789" s="285"/>
      <c r="E789" s="285"/>
      <c r="F789" s="285"/>
      <c r="H789" s="285"/>
    </row>
    <row r="790" spans="2:8">
      <c r="B790" s="286"/>
      <c r="C790" s="285"/>
      <c r="D790" s="285"/>
      <c r="E790" s="285"/>
      <c r="F790" s="285"/>
      <c r="H790" s="285"/>
    </row>
    <row r="791" spans="2:8">
      <c r="B791" s="286"/>
      <c r="C791" s="285"/>
      <c r="D791" s="285"/>
      <c r="E791" s="285"/>
      <c r="F791" s="285"/>
      <c r="H791" s="285"/>
    </row>
    <row r="792" spans="2:8">
      <c r="B792" s="286"/>
      <c r="C792" s="285"/>
      <c r="D792" s="285"/>
      <c r="E792" s="285"/>
      <c r="F792" s="285"/>
      <c r="H792" s="285"/>
    </row>
    <row r="793" spans="2:8">
      <c r="B793" s="286"/>
      <c r="C793" s="285"/>
      <c r="D793" s="285"/>
      <c r="E793" s="285"/>
      <c r="F793" s="285"/>
      <c r="H793" s="285"/>
    </row>
    <row r="794" spans="2:8">
      <c r="B794" s="286"/>
      <c r="C794" s="285"/>
      <c r="D794" s="285"/>
      <c r="E794" s="285"/>
      <c r="F794" s="285"/>
      <c r="H794" s="285"/>
    </row>
    <row r="795" spans="2:8">
      <c r="B795" s="286"/>
      <c r="C795" s="285"/>
      <c r="D795" s="285"/>
      <c r="E795" s="285"/>
      <c r="F795" s="285"/>
      <c r="H795" s="285"/>
    </row>
    <row r="796" spans="2:8">
      <c r="B796" s="286"/>
      <c r="C796" s="285"/>
      <c r="D796" s="285"/>
      <c r="E796" s="285"/>
      <c r="F796" s="285"/>
      <c r="H796" s="285"/>
    </row>
    <row r="797" spans="2:8">
      <c r="B797" s="286"/>
      <c r="C797" s="285"/>
      <c r="D797" s="285"/>
      <c r="E797" s="285"/>
      <c r="F797" s="285"/>
      <c r="H797" s="285"/>
    </row>
    <row r="798" spans="2:8">
      <c r="B798" s="286"/>
      <c r="C798" s="285"/>
      <c r="D798" s="285"/>
      <c r="E798" s="285"/>
      <c r="F798" s="285"/>
      <c r="H798" s="285"/>
    </row>
    <row r="799" spans="2:8">
      <c r="B799" s="286"/>
      <c r="C799" s="285"/>
      <c r="D799" s="285"/>
      <c r="E799" s="285"/>
      <c r="F799" s="285"/>
      <c r="H799" s="285"/>
    </row>
    <row r="800" spans="2:8">
      <c r="B800" s="286"/>
      <c r="C800" s="285"/>
      <c r="D800" s="285"/>
      <c r="E800" s="285"/>
      <c r="F800" s="285"/>
      <c r="H800" s="285"/>
    </row>
    <row r="801" spans="2:8">
      <c r="B801" s="286"/>
      <c r="C801" s="285"/>
      <c r="D801" s="285"/>
      <c r="E801" s="285"/>
      <c r="F801" s="285"/>
      <c r="H801" s="285"/>
    </row>
    <row r="802" spans="2:8">
      <c r="B802" s="286"/>
      <c r="C802" s="285"/>
      <c r="D802" s="285"/>
      <c r="E802" s="285"/>
      <c r="F802" s="285"/>
      <c r="H802" s="285"/>
    </row>
    <row r="803" spans="2:8">
      <c r="B803" s="286"/>
      <c r="C803" s="285"/>
      <c r="D803" s="285"/>
      <c r="E803" s="285"/>
      <c r="F803" s="285"/>
      <c r="H803" s="285"/>
    </row>
    <row r="804" spans="2:8">
      <c r="B804" s="286"/>
      <c r="C804" s="285"/>
      <c r="D804" s="285"/>
      <c r="E804" s="285"/>
      <c r="F804" s="285"/>
      <c r="H804" s="285"/>
    </row>
    <row r="805" spans="2:8">
      <c r="B805" s="286"/>
      <c r="C805" s="285"/>
      <c r="D805" s="285"/>
      <c r="E805" s="285"/>
      <c r="F805" s="285"/>
      <c r="H805" s="285"/>
    </row>
    <row r="806" spans="2:8">
      <c r="B806" s="286"/>
      <c r="C806" s="285"/>
      <c r="D806" s="285"/>
      <c r="E806" s="285"/>
      <c r="F806" s="285"/>
      <c r="H806" s="285"/>
    </row>
    <row r="807" spans="2:8">
      <c r="B807" s="286"/>
      <c r="C807" s="285"/>
      <c r="D807" s="285"/>
      <c r="E807" s="285"/>
      <c r="F807" s="285"/>
      <c r="H807" s="285"/>
    </row>
    <row r="808" spans="2:8">
      <c r="B808" s="286"/>
      <c r="C808" s="285"/>
      <c r="D808" s="285"/>
      <c r="E808" s="285"/>
      <c r="F808" s="285"/>
      <c r="H808" s="285"/>
    </row>
    <row r="809" spans="2:8">
      <c r="B809" s="286"/>
      <c r="C809" s="285"/>
      <c r="D809" s="285"/>
      <c r="E809" s="285"/>
      <c r="F809" s="285"/>
      <c r="H809" s="285"/>
    </row>
    <row r="810" spans="2:8">
      <c r="B810" s="286"/>
      <c r="C810" s="285"/>
      <c r="D810" s="285"/>
      <c r="E810" s="285"/>
      <c r="F810" s="285"/>
      <c r="H810" s="285"/>
    </row>
    <row r="811" spans="2:8">
      <c r="B811" s="286"/>
      <c r="C811" s="285"/>
      <c r="D811" s="285"/>
      <c r="E811" s="285"/>
      <c r="F811" s="285"/>
      <c r="H811" s="285"/>
    </row>
    <row r="812" spans="2:8">
      <c r="B812" s="286"/>
      <c r="C812" s="285"/>
      <c r="D812" s="285"/>
      <c r="E812" s="285"/>
      <c r="F812" s="285"/>
      <c r="H812" s="285"/>
    </row>
    <row r="813" spans="2:8">
      <c r="B813" s="286"/>
      <c r="C813" s="285"/>
      <c r="D813" s="285"/>
      <c r="E813" s="285"/>
      <c r="F813" s="285"/>
      <c r="H813" s="285"/>
    </row>
    <row r="814" spans="2:8">
      <c r="B814" s="286"/>
      <c r="C814" s="285"/>
      <c r="D814" s="285"/>
      <c r="E814" s="285"/>
      <c r="F814" s="285"/>
      <c r="H814" s="285"/>
    </row>
    <row r="815" spans="2:8">
      <c r="B815" s="286"/>
      <c r="C815" s="285"/>
      <c r="D815" s="285"/>
      <c r="E815" s="285"/>
      <c r="F815" s="285"/>
      <c r="H815" s="285"/>
    </row>
    <row r="816" spans="2:8">
      <c r="B816" s="286"/>
      <c r="C816" s="285"/>
      <c r="D816" s="285"/>
      <c r="E816" s="285"/>
      <c r="F816" s="285"/>
      <c r="H816" s="285"/>
    </row>
    <row r="817" spans="2:8">
      <c r="B817" s="286"/>
      <c r="C817" s="285"/>
      <c r="D817" s="285"/>
      <c r="E817" s="285"/>
      <c r="F817" s="285"/>
      <c r="H817" s="285"/>
    </row>
    <row r="818" spans="2:8">
      <c r="B818" s="286"/>
      <c r="C818" s="285"/>
      <c r="D818" s="285"/>
      <c r="E818" s="285"/>
      <c r="F818" s="285"/>
      <c r="H818" s="285"/>
    </row>
    <row r="819" spans="2:8">
      <c r="B819" s="286"/>
      <c r="C819" s="285"/>
      <c r="D819" s="285"/>
      <c r="E819" s="285"/>
      <c r="F819" s="285"/>
      <c r="H819" s="285"/>
    </row>
    <row r="820" spans="2:8">
      <c r="B820" s="286"/>
      <c r="C820" s="285"/>
      <c r="D820" s="285"/>
      <c r="E820" s="285"/>
      <c r="F820" s="285"/>
      <c r="H820" s="285"/>
    </row>
    <row r="821" spans="2:8">
      <c r="B821" s="286"/>
      <c r="C821" s="285"/>
      <c r="D821" s="285"/>
      <c r="E821" s="285"/>
      <c r="F821" s="285"/>
      <c r="H821" s="285"/>
    </row>
    <row r="822" spans="2:8">
      <c r="B822" s="286"/>
      <c r="C822" s="285"/>
      <c r="D822" s="285"/>
      <c r="E822" s="285"/>
      <c r="F822" s="285"/>
      <c r="H822" s="285"/>
    </row>
    <row r="823" spans="2:8">
      <c r="B823" s="286"/>
      <c r="C823" s="285"/>
      <c r="D823" s="285"/>
      <c r="E823" s="285"/>
      <c r="F823" s="285"/>
      <c r="H823" s="285"/>
    </row>
    <row r="824" spans="2:8">
      <c r="B824" s="286"/>
      <c r="C824" s="285"/>
      <c r="D824" s="285"/>
      <c r="E824" s="285"/>
      <c r="F824" s="285"/>
      <c r="H824" s="285"/>
    </row>
    <row r="825" spans="2:8">
      <c r="B825" s="286"/>
      <c r="C825" s="285"/>
      <c r="D825" s="285"/>
      <c r="E825" s="285"/>
      <c r="F825" s="285"/>
      <c r="H825" s="285"/>
    </row>
    <row r="826" spans="2:8">
      <c r="B826" s="286"/>
      <c r="C826" s="285"/>
      <c r="D826" s="285"/>
      <c r="E826" s="285"/>
      <c r="F826" s="285"/>
      <c r="H826" s="285"/>
    </row>
    <row r="827" spans="2:8">
      <c r="B827" s="286"/>
      <c r="C827" s="285"/>
      <c r="D827" s="285"/>
      <c r="E827" s="285"/>
      <c r="F827" s="285"/>
      <c r="H827" s="285"/>
    </row>
    <row r="828" spans="2:8">
      <c r="B828" s="286"/>
      <c r="C828" s="285"/>
      <c r="D828" s="285"/>
      <c r="E828" s="285"/>
      <c r="F828" s="285"/>
      <c r="H828" s="285"/>
    </row>
    <row r="829" spans="2:8">
      <c r="B829" s="286"/>
      <c r="C829" s="285"/>
      <c r="D829" s="285"/>
      <c r="E829" s="285"/>
      <c r="F829" s="285"/>
      <c r="H829" s="285"/>
    </row>
    <row r="830" spans="2:8">
      <c r="B830" s="286"/>
      <c r="C830" s="285"/>
      <c r="D830" s="285"/>
      <c r="E830" s="285"/>
      <c r="F830" s="285"/>
      <c r="H830" s="285"/>
    </row>
    <row r="831" spans="2:8">
      <c r="B831" s="286"/>
      <c r="C831" s="285"/>
      <c r="D831" s="285"/>
      <c r="E831" s="285"/>
      <c r="F831" s="285"/>
      <c r="H831" s="285"/>
    </row>
    <row r="832" spans="2:8">
      <c r="B832" s="286"/>
      <c r="C832" s="285"/>
      <c r="D832" s="285"/>
      <c r="E832" s="285"/>
      <c r="F832" s="285"/>
      <c r="H832" s="285"/>
    </row>
    <row r="833" spans="2:8">
      <c r="B833" s="286"/>
      <c r="C833" s="285"/>
      <c r="D833" s="285"/>
      <c r="E833" s="285"/>
      <c r="F833" s="285"/>
      <c r="H833" s="285"/>
    </row>
    <row r="834" spans="2:8">
      <c r="B834" s="286"/>
      <c r="C834" s="285"/>
      <c r="D834" s="285"/>
      <c r="E834" s="285"/>
      <c r="F834" s="285"/>
      <c r="H834" s="285"/>
    </row>
    <row r="835" spans="2:8">
      <c r="B835" s="286"/>
      <c r="C835" s="285"/>
      <c r="D835" s="285"/>
      <c r="E835" s="285"/>
      <c r="F835" s="285"/>
      <c r="H835" s="285"/>
    </row>
    <row r="836" spans="2:8">
      <c r="B836" s="286"/>
      <c r="C836" s="285"/>
      <c r="D836" s="285"/>
      <c r="E836" s="285"/>
      <c r="F836" s="285"/>
      <c r="H836" s="285"/>
    </row>
    <row r="837" spans="2:8">
      <c r="B837" s="286"/>
      <c r="C837" s="285"/>
      <c r="D837" s="285"/>
      <c r="E837" s="285"/>
      <c r="F837" s="285"/>
      <c r="H837" s="285"/>
    </row>
    <row r="838" spans="2:8">
      <c r="B838" s="286"/>
      <c r="C838" s="285"/>
      <c r="D838" s="285"/>
      <c r="E838" s="285"/>
      <c r="F838" s="285"/>
      <c r="H838" s="285"/>
    </row>
    <row r="839" spans="2:8">
      <c r="B839" s="286"/>
      <c r="C839" s="285"/>
      <c r="D839" s="285"/>
      <c r="E839" s="285"/>
      <c r="F839" s="285"/>
      <c r="H839" s="285"/>
    </row>
    <row r="840" spans="2:8">
      <c r="B840" s="286"/>
      <c r="C840" s="285"/>
      <c r="D840" s="285"/>
      <c r="E840" s="285"/>
      <c r="F840" s="285"/>
      <c r="H840" s="285"/>
    </row>
    <row r="841" spans="2:8">
      <c r="B841" s="286"/>
      <c r="C841" s="285"/>
      <c r="D841" s="285"/>
      <c r="E841" s="285"/>
      <c r="F841" s="285"/>
      <c r="H841" s="285"/>
    </row>
    <row r="842" spans="2:8">
      <c r="B842" s="286"/>
      <c r="C842" s="285"/>
      <c r="D842" s="285"/>
      <c r="E842" s="285"/>
      <c r="F842" s="285"/>
      <c r="H842" s="285"/>
    </row>
    <row r="843" spans="2:8">
      <c r="B843" s="286"/>
      <c r="C843" s="285"/>
      <c r="D843" s="285"/>
      <c r="E843" s="285"/>
      <c r="F843" s="285"/>
      <c r="H843" s="285"/>
    </row>
    <row r="844" spans="2:8">
      <c r="B844" s="286"/>
      <c r="C844" s="285"/>
      <c r="D844" s="285"/>
      <c r="E844" s="285"/>
      <c r="F844" s="285"/>
      <c r="H844" s="285"/>
    </row>
    <row r="845" spans="2:8">
      <c r="B845" s="286"/>
      <c r="C845" s="285"/>
      <c r="D845" s="285"/>
      <c r="E845" s="285"/>
      <c r="F845" s="285"/>
      <c r="H845" s="285"/>
    </row>
    <row r="846" spans="2:8">
      <c r="B846" s="286"/>
      <c r="C846" s="285"/>
      <c r="D846" s="285"/>
      <c r="E846" s="285"/>
      <c r="F846" s="285"/>
      <c r="H846" s="285"/>
    </row>
    <row r="847" spans="2:8">
      <c r="B847" s="286"/>
      <c r="C847" s="285"/>
      <c r="D847" s="285"/>
      <c r="E847" s="285"/>
      <c r="F847" s="285"/>
      <c r="H847" s="285"/>
    </row>
    <row r="848" spans="2:8">
      <c r="B848" s="286"/>
      <c r="C848" s="285"/>
      <c r="D848" s="285"/>
      <c r="E848" s="285"/>
      <c r="F848" s="285"/>
      <c r="H848" s="285"/>
    </row>
    <row r="849" spans="2:8">
      <c r="B849" s="286"/>
      <c r="C849" s="285"/>
      <c r="D849" s="285"/>
      <c r="E849" s="285"/>
      <c r="F849" s="285"/>
      <c r="H849" s="285"/>
    </row>
    <row r="850" spans="2:8">
      <c r="B850" s="286"/>
      <c r="C850" s="285"/>
      <c r="D850" s="285"/>
      <c r="E850" s="285"/>
      <c r="F850" s="285"/>
      <c r="H850" s="285"/>
    </row>
    <row r="851" spans="2:8">
      <c r="B851" s="286"/>
      <c r="C851" s="285"/>
      <c r="D851" s="285"/>
      <c r="E851" s="285"/>
      <c r="F851" s="285"/>
      <c r="H851" s="285"/>
    </row>
    <row r="852" spans="2:8">
      <c r="B852" s="286"/>
      <c r="C852" s="285"/>
      <c r="D852" s="285"/>
      <c r="E852" s="285"/>
      <c r="F852" s="285"/>
      <c r="H852" s="285"/>
    </row>
    <row r="853" spans="2:8">
      <c r="B853" s="286"/>
      <c r="C853" s="285"/>
      <c r="D853" s="285"/>
      <c r="E853" s="285"/>
      <c r="F853" s="285"/>
      <c r="H853" s="285"/>
    </row>
    <row r="854" spans="2:8">
      <c r="B854" s="286"/>
      <c r="C854" s="285"/>
      <c r="D854" s="285"/>
      <c r="E854" s="285"/>
      <c r="F854" s="285"/>
      <c r="H854" s="285"/>
    </row>
    <row r="855" spans="2:8">
      <c r="B855" s="286"/>
      <c r="C855" s="285"/>
      <c r="D855" s="285"/>
      <c r="E855" s="285"/>
      <c r="F855" s="285"/>
      <c r="H855" s="285"/>
    </row>
    <row r="856" spans="2:8">
      <c r="B856" s="286"/>
      <c r="C856" s="285"/>
      <c r="D856" s="285"/>
      <c r="E856" s="285"/>
      <c r="F856" s="285"/>
      <c r="H856" s="285"/>
    </row>
    <row r="857" spans="2:8">
      <c r="B857" s="286"/>
      <c r="C857" s="285"/>
      <c r="D857" s="285"/>
      <c r="E857" s="285"/>
      <c r="F857" s="285"/>
      <c r="H857" s="285"/>
    </row>
    <row r="858" spans="2:8">
      <c r="B858" s="286"/>
      <c r="C858" s="285"/>
      <c r="D858" s="285"/>
      <c r="E858" s="285"/>
      <c r="F858" s="285"/>
      <c r="H858" s="285"/>
    </row>
    <row r="859" spans="2:8">
      <c r="B859" s="286"/>
      <c r="C859" s="285"/>
      <c r="D859" s="285"/>
      <c r="E859" s="285"/>
      <c r="F859" s="285"/>
      <c r="H859" s="285"/>
    </row>
    <row r="860" spans="2:8">
      <c r="B860" s="286"/>
      <c r="C860" s="285"/>
      <c r="D860" s="285"/>
      <c r="E860" s="285"/>
      <c r="F860" s="285"/>
      <c r="H860" s="285"/>
    </row>
    <row r="861" spans="2:8">
      <c r="B861" s="286"/>
      <c r="C861" s="285"/>
      <c r="D861" s="285"/>
      <c r="E861" s="285"/>
      <c r="F861" s="285"/>
      <c r="H861" s="285"/>
    </row>
    <row r="862" spans="2:8">
      <c r="B862" s="286"/>
      <c r="C862" s="285"/>
      <c r="D862" s="285"/>
      <c r="E862" s="285"/>
      <c r="F862" s="285"/>
      <c r="H862" s="285"/>
    </row>
    <row r="863" spans="2:8">
      <c r="B863" s="286"/>
      <c r="C863" s="285"/>
      <c r="D863" s="285"/>
      <c r="E863" s="285"/>
      <c r="F863" s="285"/>
      <c r="H863" s="285"/>
    </row>
    <row r="864" spans="2:8">
      <c r="B864" s="286"/>
      <c r="C864" s="285"/>
      <c r="D864" s="285"/>
      <c r="E864" s="285"/>
      <c r="F864" s="285"/>
      <c r="H864" s="285"/>
    </row>
    <row r="865" spans="2:8">
      <c r="B865" s="286"/>
      <c r="C865" s="285"/>
      <c r="D865" s="285"/>
      <c r="E865" s="285"/>
      <c r="F865" s="285"/>
      <c r="H865" s="285"/>
    </row>
    <row r="866" spans="2:8">
      <c r="B866" s="286"/>
      <c r="C866" s="285"/>
      <c r="D866" s="285"/>
      <c r="E866" s="285"/>
      <c r="F866" s="285"/>
      <c r="H866" s="285"/>
    </row>
    <row r="867" spans="2:8">
      <c r="B867" s="286"/>
      <c r="C867" s="285"/>
      <c r="D867" s="285"/>
      <c r="E867" s="285"/>
      <c r="F867" s="285"/>
      <c r="H867" s="285"/>
    </row>
    <row r="868" spans="2:8">
      <c r="B868" s="286"/>
      <c r="C868" s="285"/>
      <c r="D868" s="285"/>
      <c r="E868" s="285"/>
      <c r="F868" s="285"/>
      <c r="H868" s="285"/>
    </row>
    <row r="869" spans="2:8">
      <c r="B869" s="286"/>
      <c r="C869" s="285"/>
      <c r="D869" s="285"/>
      <c r="E869" s="285"/>
      <c r="F869" s="285"/>
      <c r="H869" s="285"/>
    </row>
    <row r="870" spans="2:8">
      <c r="B870" s="286"/>
      <c r="C870" s="285"/>
      <c r="D870" s="285"/>
      <c r="E870" s="285"/>
      <c r="F870" s="285"/>
      <c r="H870" s="285"/>
    </row>
    <row r="871" spans="2:8">
      <c r="B871" s="286"/>
      <c r="C871" s="285"/>
      <c r="D871" s="285"/>
      <c r="E871" s="285"/>
      <c r="F871" s="285"/>
      <c r="H871" s="285"/>
    </row>
    <row r="872" spans="2:8">
      <c r="B872" s="286"/>
      <c r="C872" s="285"/>
      <c r="D872" s="285"/>
      <c r="E872" s="285"/>
      <c r="F872" s="285"/>
      <c r="H872" s="285"/>
    </row>
    <row r="873" spans="2:8">
      <c r="B873" s="286"/>
      <c r="C873" s="285"/>
      <c r="D873" s="285"/>
      <c r="E873" s="285"/>
      <c r="F873" s="285"/>
      <c r="H873" s="285"/>
    </row>
    <row r="874" spans="2:8">
      <c r="B874" s="286"/>
      <c r="C874" s="285"/>
      <c r="D874" s="285"/>
      <c r="E874" s="285"/>
      <c r="F874" s="285"/>
      <c r="H874" s="285"/>
    </row>
    <row r="875" spans="2:8">
      <c r="B875" s="286"/>
      <c r="C875" s="285"/>
      <c r="D875" s="285"/>
      <c r="E875" s="285"/>
      <c r="F875" s="285"/>
      <c r="H875" s="285"/>
    </row>
    <row r="876" spans="2:8">
      <c r="B876" s="286"/>
      <c r="C876" s="285"/>
      <c r="D876" s="285"/>
      <c r="E876" s="285"/>
      <c r="F876" s="285"/>
      <c r="H876" s="285"/>
    </row>
    <row r="877" spans="2:8">
      <c r="B877" s="286"/>
      <c r="C877" s="285"/>
      <c r="D877" s="285"/>
      <c r="E877" s="285"/>
      <c r="F877" s="285"/>
      <c r="H877" s="285"/>
    </row>
    <row r="878" spans="2:8">
      <c r="B878" s="286"/>
      <c r="C878" s="285"/>
      <c r="D878" s="285"/>
      <c r="E878" s="285"/>
      <c r="F878" s="285"/>
      <c r="H878" s="285"/>
    </row>
    <row r="879" spans="2:8">
      <c r="B879" s="286"/>
      <c r="C879" s="285"/>
      <c r="D879" s="285"/>
      <c r="E879" s="285"/>
      <c r="F879" s="285"/>
      <c r="H879" s="285"/>
    </row>
    <row r="880" spans="2:8">
      <c r="B880" s="286"/>
      <c r="C880" s="285"/>
      <c r="D880" s="285"/>
      <c r="E880" s="285"/>
      <c r="F880" s="285"/>
      <c r="H880" s="285"/>
    </row>
    <row r="881" spans="2:8">
      <c r="B881" s="286"/>
      <c r="C881" s="285"/>
      <c r="D881" s="285"/>
      <c r="E881" s="285"/>
      <c r="F881" s="285"/>
      <c r="H881" s="285"/>
    </row>
    <row r="882" spans="2:8">
      <c r="B882" s="286"/>
      <c r="C882" s="285"/>
      <c r="D882" s="285"/>
      <c r="E882" s="285"/>
      <c r="F882" s="285"/>
      <c r="H882" s="285"/>
    </row>
    <row r="883" spans="2:8">
      <c r="B883" s="286"/>
      <c r="C883" s="285"/>
      <c r="D883" s="285"/>
      <c r="E883" s="285"/>
      <c r="F883" s="285"/>
      <c r="H883" s="285"/>
    </row>
    <row r="884" spans="2:8">
      <c r="B884" s="286"/>
      <c r="C884" s="285"/>
      <c r="D884" s="285"/>
      <c r="E884" s="285"/>
      <c r="F884" s="285"/>
      <c r="H884" s="285"/>
    </row>
    <row r="885" spans="2:8">
      <c r="B885" s="286"/>
      <c r="C885" s="285"/>
      <c r="D885" s="285"/>
      <c r="E885" s="285"/>
      <c r="F885" s="285"/>
      <c r="H885" s="285"/>
    </row>
    <row r="886" spans="2:8">
      <c r="B886" s="286"/>
      <c r="C886" s="285"/>
      <c r="D886" s="285"/>
      <c r="E886" s="285"/>
      <c r="F886" s="285"/>
      <c r="H886" s="285"/>
    </row>
    <row r="887" spans="2:8">
      <c r="B887" s="286"/>
      <c r="C887" s="285"/>
      <c r="D887" s="285"/>
      <c r="E887" s="285"/>
      <c r="F887" s="285"/>
      <c r="H887" s="285"/>
    </row>
    <row r="888" spans="2:8">
      <c r="B888" s="286"/>
      <c r="C888" s="285"/>
      <c r="D888" s="285"/>
      <c r="E888" s="285"/>
      <c r="F888" s="285"/>
      <c r="H888" s="285"/>
    </row>
    <row r="889" spans="2:8">
      <c r="B889" s="286"/>
      <c r="C889" s="285"/>
      <c r="D889" s="285"/>
      <c r="E889" s="285"/>
      <c r="F889" s="285"/>
      <c r="H889" s="285"/>
    </row>
    <row r="890" spans="2:8">
      <c r="B890" s="286"/>
      <c r="C890" s="285"/>
      <c r="D890" s="285"/>
      <c r="E890" s="285"/>
      <c r="F890" s="285"/>
      <c r="H890" s="285"/>
    </row>
    <row r="891" spans="2:8">
      <c r="B891" s="286"/>
      <c r="C891" s="285"/>
      <c r="D891" s="285"/>
      <c r="E891" s="285"/>
      <c r="F891" s="285"/>
      <c r="H891" s="285"/>
    </row>
    <row r="892" spans="2:8">
      <c r="B892" s="286"/>
      <c r="C892" s="285"/>
      <c r="D892" s="285"/>
      <c r="E892" s="285"/>
      <c r="F892" s="285"/>
      <c r="H892" s="285"/>
    </row>
    <row r="893" spans="2:8">
      <c r="B893" s="286"/>
      <c r="C893" s="285"/>
      <c r="D893" s="285"/>
      <c r="E893" s="285"/>
      <c r="F893" s="285"/>
      <c r="H893" s="285"/>
    </row>
    <row r="894" spans="2:8">
      <c r="B894" s="286"/>
      <c r="C894" s="285"/>
      <c r="D894" s="285"/>
      <c r="E894" s="285"/>
      <c r="F894" s="285"/>
      <c r="H894" s="285"/>
    </row>
    <row r="895" spans="2:8">
      <c r="B895" s="286"/>
      <c r="C895" s="285"/>
      <c r="D895" s="285"/>
      <c r="E895" s="285"/>
      <c r="F895" s="285"/>
      <c r="H895" s="285"/>
    </row>
    <row r="896" spans="2:8">
      <c r="B896" s="286"/>
      <c r="C896" s="285"/>
      <c r="D896" s="285"/>
      <c r="E896" s="285"/>
      <c r="F896" s="285"/>
      <c r="H896" s="285"/>
    </row>
    <row r="897" spans="2:8">
      <c r="B897" s="286"/>
      <c r="C897" s="285"/>
      <c r="D897" s="285"/>
      <c r="E897" s="285"/>
      <c r="F897" s="285"/>
      <c r="H897" s="285"/>
    </row>
    <row r="898" spans="2:8">
      <c r="B898" s="286"/>
      <c r="C898" s="285"/>
      <c r="D898" s="285"/>
      <c r="E898" s="285"/>
      <c r="F898" s="285"/>
      <c r="H898" s="285"/>
    </row>
    <row r="899" spans="2:8">
      <c r="B899" s="286"/>
      <c r="C899" s="285"/>
      <c r="D899" s="285"/>
      <c r="E899" s="285"/>
      <c r="F899" s="285"/>
      <c r="H899" s="285"/>
    </row>
    <row r="900" spans="2:8">
      <c r="B900" s="286"/>
      <c r="C900" s="285"/>
      <c r="D900" s="285"/>
      <c r="E900" s="285"/>
      <c r="F900" s="285"/>
      <c r="H900" s="285"/>
    </row>
    <row r="901" spans="2:8">
      <c r="B901" s="286"/>
      <c r="C901" s="285"/>
      <c r="D901" s="285"/>
      <c r="E901" s="285"/>
      <c r="F901" s="285"/>
      <c r="H901" s="285"/>
    </row>
    <row r="902" spans="2:8">
      <c r="B902" s="286"/>
      <c r="C902" s="285"/>
      <c r="D902" s="285"/>
      <c r="E902" s="285"/>
      <c r="F902" s="285"/>
      <c r="H902" s="285"/>
    </row>
    <row r="903" spans="2:8">
      <c r="B903" s="286"/>
      <c r="C903" s="285"/>
      <c r="D903" s="285"/>
      <c r="E903" s="285"/>
      <c r="F903" s="285"/>
      <c r="H903" s="285"/>
    </row>
    <row r="904" spans="2:8">
      <c r="B904" s="286"/>
      <c r="C904" s="285"/>
      <c r="D904" s="285"/>
      <c r="E904" s="285"/>
      <c r="F904" s="285"/>
      <c r="H904" s="285"/>
    </row>
    <row r="905" spans="2:8">
      <c r="B905" s="286"/>
      <c r="C905" s="285"/>
      <c r="D905" s="285"/>
      <c r="E905" s="285"/>
      <c r="F905" s="285"/>
      <c r="H905" s="285"/>
    </row>
    <row r="906" spans="2:8">
      <c r="B906" s="286"/>
      <c r="C906" s="285"/>
      <c r="D906" s="285"/>
      <c r="E906" s="285"/>
      <c r="F906" s="285"/>
      <c r="H906" s="285"/>
    </row>
    <row r="907" spans="2:8">
      <c r="B907" s="286"/>
      <c r="C907" s="285"/>
      <c r="D907" s="285"/>
      <c r="E907" s="285"/>
      <c r="F907" s="285"/>
      <c r="H907" s="285"/>
    </row>
    <row r="908" spans="2:8">
      <c r="B908" s="286"/>
      <c r="C908" s="285"/>
      <c r="D908" s="285"/>
      <c r="E908" s="285"/>
      <c r="F908" s="285"/>
      <c r="H908" s="285"/>
    </row>
    <row r="909" spans="2:8">
      <c r="B909" s="286"/>
      <c r="C909" s="285"/>
      <c r="D909" s="285"/>
      <c r="E909" s="285"/>
      <c r="F909" s="285"/>
      <c r="H909" s="285"/>
    </row>
    <row r="910" spans="2:8">
      <c r="B910" s="286"/>
      <c r="C910" s="285"/>
      <c r="D910" s="285"/>
      <c r="E910" s="285"/>
      <c r="F910" s="285"/>
      <c r="H910" s="285"/>
    </row>
    <row r="911" spans="2:8">
      <c r="B911" s="286"/>
      <c r="C911" s="285"/>
      <c r="D911" s="285"/>
      <c r="E911" s="285"/>
      <c r="F911" s="285"/>
      <c r="H911" s="285"/>
    </row>
    <row r="912" spans="2:8">
      <c r="B912" s="286"/>
      <c r="C912" s="285"/>
      <c r="D912" s="285"/>
      <c r="E912" s="285"/>
      <c r="F912" s="285"/>
      <c r="H912" s="285"/>
    </row>
    <row r="913" spans="2:8">
      <c r="B913" s="286"/>
      <c r="C913" s="285"/>
      <c r="D913" s="285"/>
      <c r="E913" s="285"/>
      <c r="F913" s="285"/>
      <c r="H913" s="285"/>
    </row>
    <row r="914" spans="2:8">
      <c r="B914" s="286"/>
      <c r="C914" s="285"/>
      <c r="D914" s="285"/>
      <c r="E914" s="285"/>
      <c r="F914" s="285"/>
      <c r="H914" s="285"/>
    </row>
    <row r="915" spans="2:8">
      <c r="B915" s="286"/>
      <c r="C915" s="285"/>
      <c r="D915" s="285"/>
      <c r="E915" s="285"/>
      <c r="F915" s="285"/>
      <c r="H915" s="285"/>
    </row>
    <row r="916" spans="2:8">
      <c r="B916" s="286"/>
      <c r="C916" s="285"/>
      <c r="D916" s="285"/>
      <c r="E916" s="285"/>
      <c r="F916" s="285"/>
      <c r="H916" s="285"/>
    </row>
    <row r="917" spans="2:8">
      <c r="B917" s="286"/>
      <c r="C917" s="285"/>
      <c r="D917" s="285"/>
      <c r="E917" s="285"/>
      <c r="F917" s="285"/>
      <c r="H917" s="285"/>
    </row>
    <row r="918" spans="2:8">
      <c r="B918" s="286"/>
      <c r="C918" s="285"/>
      <c r="D918" s="285"/>
      <c r="E918" s="285"/>
      <c r="F918" s="285"/>
      <c r="H918" s="285"/>
    </row>
    <row r="919" spans="2:8">
      <c r="B919" s="286"/>
      <c r="C919" s="285"/>
      <c r="D919" s="285"/>
      <c r="E919" s="285"/>
      <c r="F919" s="285"/>
      <c r="H919" s="285"/>
    </row>
    <row r="920" spans="2:8">
      <c r="B920" s="286"/>
      <c r="C920" s="285"/>
      <c r="D920" s="285"/>
      <c r="E920" s="285"/>
      <c r="F920" s="285"/>
      <c r="H920" s="285"/>
    </row>
    <row r="921" spans="2:8">
      <c r="B921" s="286"/>
      <c r="C921" s="285"/>
      <c r="D921" s="285"/>
      <c r="E921" s="285"/>
      <c r="F921" s="285"/>
      <c r="H921" s="285"/>
    </row>
    <row r="922" spans="2:8">
      <c r="B922" s="286"/>
      <c r="C922" s="285"/>
      <c r="D922" s="285"/>
      <c r="E922" s="285"/>
      <c r="F922" s="285"/>
      <c r="H922" s="285"/>
    </row>
    <row r="923" spans="2:8">
      <c r="B923" s="286"/>
      <c r="C923" s="285"/>
      <c r="D923" s="285"/>
      <c r="E923" s="285"/>
      <c r="F923" s="285"/>
      <c r="H923" s="285"/>
    </row>
    <row r="924" spans="2:8">
      <c r="B924" s="286"/>
      <c r="C924" s="285"/>
      <c r="D924" s="285"/>
      <c r="E924" s="285"/>
      <c r="F924" s="285"/>
      <c r="H924" s="285"/>
    </row>
    <row r="925" spans="2:8">
      <c r="B925" s="286"/>
      <c r="C925" s="285"/>
      <c r="D925" s="285"/>
      <c r="E925" s="285"/>
      <c r="F925" s="285"/>
      <c r="H925" s="285"/>
    </row>
    <row r="926" spans="2:8">
      <c r="B926" s="286"/>
      <c r="C926" s="285"/>
      <c r="D926" s="285"/>
      <c r="E926" s="285"/>
      <c r="F926" s="285"/>
      <c r="H926" s="285"/>
    </row>
    <row r="927" spans="2:8">
      <c r="B927" s="286"/>
      <c r="C927" s="285"/>
      <c r="D927" s="285"/>
      <c r="E927" s="285"/>
      <c r="F927" s="285"/>
      <c r="H927" s="285"/>
    </row>
    <row r="928" spans="2:8">
      <c r="B928" s="286"/>
      <c r="C928" s="285"/>
      <c r="D928" s="285"/>
      <c r="E928" s="285"/>
      <c r="F928" s="285"/>
      <c r="H928" s="285"/>
    </row>
    <row r="929" spans="2:8">
      <c r="B929" s="286"/>
      <c r="C929" s="285"/>
      <c r="D929" s="285"/>
      <c r="E929" s="285"/>
      <c r="F929" s="285"/>
      <c r="H929" s="285"/>
    </row>
    <row r="930" spans="2:8">
      <c r="B930" s="286"/>
      <c r="C930" s="285"/>
      <c r="D930" s="285"/>
      <c r="E930" s="285"/>
      <c r="F930" s="285"/>
      <c r="H930" s="285"/>
    </row>
    <row r="931" spans="2:8">
      <c r="B931" s="286"/>
      <c r="C931" s="285"/>
      <c r="D931" s="285"/>
      <c r="E931" s="285"/>
      <c r="F931" s="285"/>
      <c r="H931" s="285"/>
    </row>
    <row r="932" spans="2:8">
      <c r="B932" s="286"/>
      <c r="C932" s="285"/>
      <c r="D932" s="285"/>
      <c r="E932" s="285"/>
      <c r="F932" s="285"/>
      <c r="H932" s="285"/>
    </row>
    <row r="933" spans="2:8">
      <c r="B933" s="286"/>
      <c r="C933" s="285"/>
      <c r="D933" s="285"/>
      <c r="E933" s="285"/>
      <c r="F933" s="285"/>
      <c r="H933" s="285"/>
    </row>
    <row r="934" spans="2:8">
      <c r="B934" s="286"/>
      <c r="C934" s="285"/>
      <c r="D934" s="285"/>
      <c r="E934" s="285"/>
      <c r="F934" s="285"/>
      <c r="H934" s="285"/>
    </row>
    <row r="935" spans="2:8">
      <c r="B935" s="286"/>
      <c r="C935" s="285"/>
      <c r="D935" s="285"/>
      <c r="E935" s="285"/>
      <c r="F935" s="285"/>
      <c r="H935" s="285"/>
    </row>
    <row r="936" spans="2:8">
      <c r="B936" s="286"/>
      <c r="C936" s="285"/>
      <c r="D936" s="285"/>
      <c r="E936" s="285"/>
      <c r="F936" s="285"/>
      <c r="H936" s="285"/>
    </row>
    <row r="937" spans="2:8">
      <c r="B937" s="286"/>
      <c r="C937" s="285"/>
      <c r="D937" s="285"/>
      <c r="E937" s="285"/>
      <c r="F937" s="285"/>
      <c r="H937" s="285"/>
    </row>
    <row r="938" spans="2:8">
      <c r="B938" s="286"/>
      <c r="C938" s="285"/>
      <c r="D938" s="285"/>
      <c r="E938" s="285"/>
      <c r="F938" s="285"/>
      <c r="H938" s="285"/>
    </row>
    <row r="939" spans="2:8">
      <c r="B939" s="286"/>
      <c r="C939" s="285"/>
      <c r="D939" s="285"/>
      <c r="E939" s="285"/>
      <c r="F939" s="285"/>
      <c r="H939" s="285"/>
    </row>
    <row r="940" spans="2:8">
      <c r="B940" s="286"/>
      <c r="C940" s="285"/>
      <c r="D940" s="285"/>
      <c r="E940" s="285"/>
      <c r="F940" s="285"/>
      <c r="H940" s="285"/>
    </row>
    <row r="941" spans="2:8">
      <c r="B941" s="286"/>
      <c r="C941" s="285"/>
      <c r="D941" s="285"/>
      <c r="E941" s="285"/>
      <c r="F941" s="285"/>
      <c r="H941" s="285"/>
    </row>
    <row r="942" spans="2:8">
      <c r="B942" s="286"/>
      <c r="C942" s="285"/>
      <c r="D942" s="285"/>
      <c r="E942" s="285"/>
      <c r="F942" s="285"/>
      <c r="H942" s="285"/>
    </row>
    <row r="943" spans="2:8">
      <c r="B943" s="286"/>
      <c r="C943" s="285"/>
      <c r="D943" s="285"/>
      <c r="E943" s="285"/>
      <c r="F943" s="285"/>
      <c r="H943" s="285"/>
    </row>
    <row r="944" spans="2:8">
      <c r="B944" s="286"/>
      <c r="C944" s="285"/>
      <c r="D944" s="285"/>
      <c r="E944" s="285"/>
      <c r="F944" s="285"/>
      <c r="H944" s="285"/>
    </row>
    <row r="945" spans="2:8">
      <c r="B945" s="286"/>
      <c r="C945" s="285"/>
      <c r="D945" s="285"/>
      <c r="E945" s="285"/>
      <c r="F945" s="285"/>
      <c r="H945" s="285"/>
    </row>
    <row r="946" spans="2:8">
      <c r="B946" s="286"/>
      <c r="C946" s="285"/>
      <c r="D946" s="285"/>
      <c r="E946" s="285"/>
      <c r="F946" s="285"/>
      <c r="H946" s="285"/>
    </row>
    <row r="947" spans="2:8">
      <c r="B947" s="286"/>
      <c r="C947" s="285"/>
      <c r="D947" s="285"/>
      <c r="E947" s="285"/>
      <c r="F947" s="285"/>
      <c r="H947" s="285"/>
    </row>
    <row r="948" spans="2:8">
      <c r="B948" s="286"/>
      <c r="C948" s="285"/>
      <c r="D948" s="285"/>
      <c r="E948" s="285"/>
      <c r="F948" s="285"/>
      <c r="H948" s="285"/>
    </row>
    <row r="949" spans="2:8">
      <c r="B949" s="286"/>
      <c r="C949" s="285"/>
      <c r="D949" s="285"/>
      <c r="E949" s="285"/>
      <c r="F949" s="285"/>
      <c r="H949" s="285"/>
    </row>
    <row r="950" spans="2:8">
      <c r="B950" s="286"/>
      <c r="C950" s="285"/>
      <c r="D950" s="285"/>
      <c r="E950" s="285"/>
      <c r="F950" s="285"/>
      <c r="H950" s="285"/>
    </row>
    <row r="951" spans="2:8">
      <c r="B951" s="286"/>
      <c r="C951" s="285"/>
      <c r="D951" s="285"/>
      <c r="E951" s="285"/>
      <c r="F951" s="285"/>
      <c r="H951" s="285"/>
    </row>
    <row r="952" spans="2:8">
      <c r="B952" s="286"/>
      <c r="C952" s="285"/>
      <c r="D952" s="285"/>
      <c r="E952" s="285"/>
      <c r="F952" s="285"/>
      <c r="H952" s="285"/>
    </row>
    <row r="953" spans="2:8">
      <c r="B953" s="286"/>
      <c r="C953" s="285"/>
      <c r="D953" s="285"/>
      <c r="E953" s="285"/>
      <c r="F953" s="285"/>
      <c r="H953" s="285"/>
    </row>
    <row r="954" spans="2:8">
      <c r="B954" s="286"/>
      <c r="C954" s="285"/>
      <c r="D954" s="285"/>
      <c r="E954" s="285"/>
      <c r="F954" s="285"/>
      <c r="H954" s="285"/>
    </row>
    <row r="955" spans="2:8">
      <c r="B955" s="286"/>
      <c r="C955" s="285"/>
      <c r="D955" s="285"/>
      <c r="E955" s="285"/>
      <c r="F955" s="285"/>
      <c r="H955" s="285"/>
    </row>
    <row r="956" spans="2:8">
      <c r="B956" s="286"/>
      <c r="C956" s="285"/>
      <c r="D956" s="285"/>
      <c r="E956" s="285"/>
      <c r="F956" s="285"/>
      <c r="H956" s="285"/>
    </row>
    <row r="957" spans="2:8">
      <c r="B957" s="286"/>
      <c r="C957" s="285"/>
      <c r="D957" s="285"/>
      <c r="E957" s="285"/>
      <c r="F957" s="285"/>
      <c r="H957" s="285"/>
    </row>
    <row r="958" spans="2:8">
      <c r="B958" s="286"/>
      <c r="C958" s="285"/>
      <c r="D958" s="285"/>
      <c r="E958" s="285"/>
      <c r="F958" s="285"/>
      <c r="H958" s="285"/>
    </row>
    <row r="959" spans="2:8">
      <c r="B959" s="286"/>
      <c r="C959" s="285"/>
      <c r="D959" s="285"/>
      <c r="E959" s="285"/>
      <c r="F959" s="285"/>
      <c r="H959" s="285"/>
    </row>
  </sheetData>
  <printOptions horizontalCentered="1"/>
  <pageMargins left="0.75" right="0.75" top="0.75" bottom="0.5" header="0.25" footer="0.25"/>
  <pageSetup scale="59" orientation="portrait" horizontalDpi="1200" verticalDpi="1200" r:id="rId1"/>
  <headerFooter alignWithMargins="0">
    <oddFooter xml:space="preserve">&amp;C &amp;R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7030A0"/>
    <pageSetUpPr fitToPage="1"/>
  </sheetPr>
  <dimension ref="A1:AX250"/>
  <sheetViews>
    <sheetView zoomScale="75" zoomScaleNormal="75" workbookViewId="0"/>
  </sheetViews>
  <sheetFormatPr defaultRowHeight="15"/>
  <cols>
    <col min="1" max="1" width="5.109375" style="127" customWidth="1"/>
    <col min="2" max="2" width="6.44140625" style="127" customWidth="1"/>
    <col min="3" max="3" width="3.21875" style="127" customWidth="1"/>
    <col min="4" max="4" width="27.21875" style="127" customWidth="1"/>
    <col min="5" max="5" width="12" style="127" customWidth="1"/>
    <col min="6" max="6" width="10.33203125" style="127" customWidth="1"/>
    <col min="7" max="7" width="13" style="127" customWidth="1"/>
    <col min="8" max="8" width="13.77734375" style="127" customWidth="1"/>
    <col min="9" max="9" width="12" style="127" customWidth="1"/>
    <col min="10" max="10" width="13.77734375" style="127" customWidth="1"/>
    <col min="11" max="11" width="13.33203125" style="127" customWidth="1"/>
    <col min="12" max="12" width="12.5546875" style="127" bestFit="1" customWidth="1"/>
    <col min="13" max="13" width="17.5546875" style="127" customWidth="1"/>
    <col min="14" max="14" width="12" style="127" customWidth="1"/>
    <col min="15" max="15" width="15.6640625" style="127" customWidth="1"/>
    <col min="16" max="241" width="8.88671875" style="127"/>
    <col min="242" max="242" width="6" style="127" customWidth="1"/>
    <col min="243" max="243" width="1.44140625" style="127" customWidth="1"/>
    <col min="244" max="244" width="39.109375" style="127" customWidth="1"/>
    <col min="245" max="245" width="12" style="127" customWidth="1"/>
    <col min="246" max="246" width="14.44140625" style="127" customWidth="1"/>
    <col min="247" max="247" width="11.88671875" style="127" customWidth="1"/>
    <col min="248" max="248" width="14.109375" style="127" customWidth="1"/>
    <col min="249" max="249" width="13.88671875" style="127" customWidth="1"/>
    <col min="250" max="251" width="12.77734375" style="127" customWidth="1"/>
    <col min="252" max="252" width="13.5546875" style="127" customWidth="1"/>
    <col min="253" max="253" width="15.33203125" style="127" customWidth="1"/>
    <col min="254" max="254" width="12.77734375" style="127" customWidth="1"/>
    <col min="255" max="255" width="13.88671875" style="127" customWidth="1"/>
    <col min="256" max="256" width="1.88671875" style="127" customWidth="1"/>
    <col min="257" max="257" width="13" style="127" customWidth="1"/>
    <col min="258" max="497" width="8.88671875" style="127"/>
    <col min="498" max="498" width="6" style="127" customWidth="1"/>
    <col min="499" max="499" width="1.44140625" style="127" customWidth="1"/>
    <col min="500" max="500" width="39.109375" style="127" customWidth="1"/>
    <col min="501" max="501" width="12" style="127" customWidth="1"/>
    <col min="502" max="502" width="14.44140625" style="127" customWidth="1"/>
    <col min="503" max="503" width="11.88671875" style="127" customWidth="1"/>
    <col min="504" max="504" width="14.109375" style="127" customWidth="1"/>
    <col min="505" max="505" width="13.88671875" style="127" customWidth="1"/>
    <col min="506" max="507" width="12.77734375" style="127" customWidth="1"/>
    <col min="508" max="508" width="13.5546875" style="127" customWidth="1"/>
    <col min="509" max="509" width="15.33203125" style="127" customWidth="1"/>
    <col min="510" max="510" width="12.77734375" style="127" customWidth="1"/>
    <col min="511" max="511" width="13.88671875" style="127" customWidth="1"/>
    <col min="512" max="512" width="1.88671875" style="127" customWidth="1"/>
    <col min="513" max="513" width="13" style="127" customWidth="1"/>
    <col min="514" max="753" width="8.88671875" style="127"/>
    <col min="754" max="754" width="6" style="127" customWidth="1"/>
    <col min="755" max="755" width="1.44140625" style="127" customWidth="1"/>
    <col min="756" max="756" width="39.109375" style="127" customWidth="1"/>
    <col min="757" max="757" width="12" style="127" customWidth="1"/>
    <col min="758" max="758" width="14.44140625" style="127" customWidth="1"/>
    <col min="759" max="759" width="11.88671875" style="127" customWidth="1"/>
    <col min="760" max="760" width="14.109375" style="127" customWidth="1"/>
    <col min="761" max="761" width="13.88671875" style="127" customWidth="1"/>
    <col min="762" max="763" width="12.77734375" style="127" customWidth="1"/>
    <col min="764" max="764" width="13.5546875" style="127" customWidth="1"/>
    <col min="765" max="765" width="15.33203125" style="127" customWidth="1"/>
    <col min="766" max="766" width="12.77734375" style="127" customWidth="1"/>
    <col min="767" max="767" width="13.88671875" style="127" customWidth="1"/>
    <col min="768" max="768" width="1.88671875" style="127" customWidth="1"/>
    <col min="769" max="769" width="13" style="127" customWidth="1"/>
    <col min="770" max="1009" width="8.88671875" style="127"/>
    <col min="1010" max="1010" width="6" style="127" customWidth="1"/>
    <col min="1011" max="1011" width="1.44140625" style="127" customWidth="1"/>
    <col min="1012" max="1012" width="39.109375" style="127" customWidth="1"/>
    <col min="1013" max="1013" width="12" style="127" customWidth="1"/>
    <col min="1014" max="1014" width="14.44140625" style="127" customWidth="1"/>
    <col min="1015" max="1015" width="11.88671875" style="127" customWidth="1"/>
    <col min="1016" max="1016" width="14.109375" style="127" customWidth="1"/>
    <col min="1017" max="1017" width="13.88671875" style="127" customWidth="1"/>
    <col min="1018" max="1019" width="12.77734375" style="127" customWidth="1"/>
    <col min="1020" max="1020" width="13.5546875" style="127" customWidth="1"/>
    <col min="1021" max="1021" width="15.33203125" style="127" customWidth="1"/>
    <col min="1022" max="1022" width="12.77734375" style="127" customWidth="1"/>
    <col min="1023" max="1023" width="13.88671875" style="127" customWidth="1"/>
    <col min="1024" max="1024" width="1.88671875" style="127" customWidth="1"/>
    <col min="1025" max="1025" width="13" style="127" customWidth="1"/>
    <col min="1026" max="1265" width="8.88671875" style="127"/>
    <col min="1266" max="1266" width="6" style="127" customWidth="1"/>
    <col min="1267" max="1267" width="1.44140625" style="127" customWidth="1"/>
    <col min="1268" max="1268" width="39.109375" style="127" customWidth="1"/>
    <col min="1269" max="1269" width="12" style="127" customWidth="1"/>
    <col min="1270" max="1270" width="14.44140625" style="127" customWidth="1"/>
    <col min="1271" max="1271" width="11.88671875" style="127" customWidth="1"/>
    <col min="1272" max="1272" width="14.109375" style="127" customWidth="1"/>
    <col min="1273" max="1273" width="13.88671875" style="127" customWidth="1"/>
    <col min="1274" max="1275" width="12.77734375" style="127" customWidth="1"/>
    <col min="1276" max="1276" width="13.5546875" style="127" customWidth="1"/>
    <col min="1277" max="1277" width="15.33203125" style="127" customWidth="1"/>
    <col min="1278" max="1278" width="12.77734375" style="127" customWidth="1"/>
    <col min="1279" max="1279" width="13.88671875" style="127" customWidth="1"/>
    <col min="1280" max="1280" width="1.88671875" style="127" customWidth="1"/>
    <col min="1281" max="1281" width="13" style="127" customWidth="1"/>
    <col min="1282" max="1521" width="8.88671875" style="127"/>
    <col min="1522" max="1522" width="6" style="127" customWidth="1"/>
    <col min="1523" max="1523" width="1.44140625" style="127" customWidth="1"/>
    <col min="1524" max="1524" width="39.109375" style="127" customWidth="1"/>
    <col min="1525" max="1525" width="12" style="127" customWidth="1"/>
    <col min="1526" max="1526" width="14.44140625" style="127" customWidth="1"/>
    <col min="1527" max="1527" width="11.88671875" style="127" customWidth="1"/>
    <col min="1528" max="1528" width="14.109375" style="127" customWidth="1"/>
    <col min="1529" max="1529" width="13.88671875" style="127" customWidth="1"/>
    <col min="1530" max="1531" width="12.77734375" style="127" customWidth="1"/>
    <col min="1532" max="1532" width="13.5546875" style="127" customWidth="1"/>
    <col min="1533" max="1533" width="15.33203125" style="127" customWidth="1"/>
    <col min="1534" max="1534" width="12.77734375" style="127" customWidth="1"/>
    <col min="1535" max="1535" width="13.88671875" style="127" customWidth="1"/>
    <col min="1536" max="1536" width="1.88671875" style="127" customWidth="1"/>
    <col min="1537" max="1537" width="13" style="127" customWidth="1"/>
    <col min="1538" max="1777" width="8.88671875" style="127"/>
    <col min="1778" max="1778" width="6" style="127" customWidth="1"/>
    <col min="1779" max="1779" width="1.44140625" style="127" customWidth="1"/>
    <col min="1780" max="1780" width="39.109375" style="127" customWidth="1"/>
    <col min="1781" max="1781" width="12" style="127" customWidth="1"/>
    <col min="1782" max="1782" width="14.44140625" style="127" customWidth="1"/>
    <col min="1783" max="1783" width="11.88671875" style="127" customWidth="1"/>
    <col min="1784" max="1784" width="14.109375" style="127" customWidth="1"/>
    <col min="1785" max="1785" width="13.88671875" style="127" customWidth="1"/>
    <col min="1786" max="1787" width="12.77734375" style="127" customWidth="1"/>
    <col min="1788" max="1788" width="13.5546875" style="127" customWidth="1"/>
    <col min="1789" max="1789" width="15.33203125" style="127" customWidth="1"/>
    <col min="1790" max="1790" width="12.77734375" style="127" customWidth="1"/>
    <col min="1791" max="1791" width="13.88671875" style="127" customWidth="1"/>
    <col min="1792" max="1792" width="1.88671875" style="127" customWidth="1"/>
    <col min="1793" max="1793" width="13" style="127" customWidth="1"/>
    <col min="1794" max="2033" width="8.88671875" style="127"/>
    <col min="2034" max="2034" width="6" style="127" customWidth="1"/>
    <col min="2035" max="2035" width="1.44140625" style="127" customWidth="1"/>
    <col min="2036" max="2036" width="39.109375" style="127" customWidth="1"/>
    <col min="2037" max="2037" width="12" style="127" customWidth="1"/>
    <col min="2038" max="2038" width="14.44140625" style="127" customWidth="1"/>
    <col min="2039" max="2039" width="11.88671875" style="127" customWidth="1"/>
    <col min="2040" max="2040" width="14.109375" style="127" customWidth="1"/>
    <col min="2041" max="2041" width="13.88671875" style="127" customWidth="1"/>
    <col min="2042" max="2043" width="12.77734375" style="127" customWidth="1"/>
    <col min="2044" max="2044" width="13.5546875" style="127" customWidth="1"/>
    <col min="2045" max="2045" width="15.33203125" style="127" customWidth="1"/>
    <col min="2046" max="2046" width="12.77734375" style="127" customWidth="1"/>
    <col min="2047" max="2047" width="13.88671875" style="127" customWidth="1"/>
    <col min="2048" max="2048" width="1.88671875" style="127" customWidth="1"/>
    <col min="2049" max="2049" width="13" style="127" customWidth="1"/>
    <col min="2050" max="2289" width="8.88671875" style="127"/>
    <col min="2290" max="2290" width="6" style="127" customWidth="1"/>
    <col min="2291" max="2291" width="1.44140625" style="127" customWidth="1"/>
    <col min="2292" max="2292" width="39.109375" style="127" customWidth="1"/>
    <col min="2293" max="2293" width="12" style="127" customWidth="1"/>
    <col min="2294" max="2294" width="14.44140625" style="127" customWidth="1"/>
    <col min="2295" max="2295" width="11.88671875" style="127" customWidth="1"/>
    <col min="2296" max="2296" width="14.109375" style="127" customWidth="1"/>
    <col min="2297" max="2297" width="13.88671875" style="127" customWidth="1"/>
    <col min="2298" max="2299" width="12.77734375" style="127" customWidth="1"/>
    <col min="2300" max="2300" width="13.5546875" style="127" customWidth="1"/>
    <col min="2301" max="2301" width="15.33203125" style="127" customWidth="1"/>
    <col min="2302" max="2302" width="12.77734375" style="127" customWidth="1"/>
    <col min="2303" max="2303" width="13.88671875" style="127" customWidth="1"/>
    <col min="2304" max="2304" width="1.88671875" style="127" customWidth="1"/>
    <col min="2305" max="2305" width="13" style="127" customWidth="1"/>
    <col min="2306" max="2545" width="8.88671875" style="127"/>
    <col min="2546" max="2546" width="6" style="127" customWidth="1"/>
    <col min="2547" max="2547" width="1.44140625" style="127" customWidth="1"/>
    <col min="2548" max="2548" width="39.109375" style="127" customWidth="1"/>
    <col min="2549" max="2549" width="12" style="127" customWidth="1"/>
    <col min="2550" max="2550" width="14.44140625" style="127" customWidth="1"/>
    <col min="2551" max="2551" width="11.88671875" style="127" customWidth="1"/>
    <col min="2552" max="2552" width="14.109375" style="127" customWidth="1"/>
    <col min="2553" max="2553" width="13.88671875" style="127" customWidth="1"/>
    <col min="2554" max="2555" width="12.77734375" style="127" customWidth="1"/>
    <col min="2556" max="2556" width="13.5546875" style="127" customWidth="1"/>
    <col min="2557" max="2557" width="15.33203125" style="127" customWidth="1"/>
    <col min="2558" max="2558" width="12.77734375" style="127" customWidth="1"/>
    <col min="2559" max="2559" width="13.88671875" style="127" customWidth="1"/>
    <col min="2560" max="2560" width="1.88671875" style="127" customWidth="1"/>
    <col min="2561" max="2561" width="13" style="127" customWidth="1"/>
    <col min="2562" max="2801" width="8.88671875" style="127"/>
    <col min="2802" max="2802" width="6" style="127" customWidth="1"/>
    <col min="2803" max="2803" width="1.44140625" style="127" customWidth="1"/>
    <col min="2804" max="2804" width="39.109375" style="127" customWidth="1"/>
    <col min="2805" max="2805" width="12" style="127" customWidth="1"/>
    <col min="2806" max="2806" width="14.44140625" style="127" customWidth="1"/>
    <col min="2807" max="2807" width="11.88671875" style="127" customWidth="1"/>
    <col min="2808" max="2808" width="14.109375" style="127" customWidth="1"/>
    <col min="2809" max="2809" width="13.88671875" style="127" customWidth="1"/>
    <col min="2810" max="2811" width="12.77734375" style="127" customWidth="1"/>
    <col min="2812" max="2812" width="13.5546875" style="127" customWidth="1"/>
    <col min="2813" max="2813" width="15.33203125" style="127" customWidth="1"/>
    <col min="2814" max="2814" width="12.77734375" style="127" customWidth="1"/>
    <col min="2815" max="2815" width="13.88671875" style="127" customWidth="1"/>
    <col min="2816" max="2816" width="1.88671875" style="127" customWidth="1"/>
    <col min="2817" max="2817" width="13" style="127" customWidth="1"/>
    <col min="2818" max="3057" width="8.88671875" style="127"/>
    <col min="3058" max="3058" width="6" style="127" customWidth="1"/>
    <col min="3059" max="3059" width="1.44140625" style="127" customWidth="1"/>
    <col min="3060" max="3060" width="39.109375" style="127" customWidth="1"/>
    <col min="3061" max="3061" width="12" style="127" customWidth="1"/>
    <col min="3062" max="3062" width="14.44140625" style="127" customWidth="1"/>
    <col min="3063" max="3063" width="11.88671875" style="127" customWidth="1"/>
    <col min="3064" max="3064" width="14.109375" style="127" customWidth="1"/>
    <col min="3065" max="3065" width="13.88671875" style="127" customWidth="1"/>
    <col min="3066" max="3067" width="12.77734375" style="127" customWidth="1"/>
    <col min="3068" max="3068" width="13.5546875" style="127" customWidth="1"/>
    <col min="3069" max="3069" width="15.33203125" style="127" customWidth="1"/>
    <col min="3070" max="3070" width="12.77734375" style="127" customWidth="1"/>
    <col min="3071" max="3071" width="13.88671875" style="127" customWidth="1"/>
    <col min="3072" max="3072" width="1.88671875" style="127" customWidth="1"/>
    <col min="3073" max="3073" width="13" style="127" customWidth="1"/>
    <col min="3074" max="3313" width="8.88671875" style="127"/>
    <col min="3314" max="3314" width="6" style="127" customWidth="1"/>
    <col min="3315" max="3315" width="1.44140625" style="127" customWidth="1"/>
    <col min="3316" max="3316" width="39.109375" style="127" customWidth="1"/>
    <col min="3317" max="3317" width="12" style="127" customWidth="1"/>
    <col min="3318" max="3318" width="14.44140625" style="127" customWidth="1"/>
    <col min="3319" max="3319" width="11.88671875" style="127" customWidth="1"/>
    <col min="3320" max="3320" width="14.109375" style="127" customWidth="1"/>
    <col min="3321" max="3321" width="13.88671875" style="127" customWidth="1"/>
    <col min="3322" max="3323" width="12.77734375" style="127" customWidth="1"/>
    <col min="3324" max="3324" width="13.5546875" style="127" customWidth="1"/>
    <col min="3325" max="3325" width="15.33203125" style="127" customWidth="1"/>
    <col min="3326" max="3326" width="12.77734375" style="127" customWidth="1"/>
    <col min="3327" max="3327" width="13.88671875" style="127" customWidth="1"/>
    <col min="3328" max="3328" width="1.88671875" style="127" customWidth="1"/>
    <col min="3329" max="3329" width="13" style="127" customWidth="1"/>
    <col min="3330" max="3569" width="8.88671875" style="127"/>
    <col min="3570" max="3570" width="6" style="127" customWidth="1"/>
    <col min="3571" max="3571" width="1.44140625" style="127" customWidth="1"/>
    <col min="3572" max="3572" width="39.109375" style="127" customWidth="1"/>
    <col min="3573" max="3573" width="12" style="127" customWidth="1"/>
    <col min="3574" max="3574" width="14.44140625" style="127" customWidth="1"/>
    <col min="3575" max="3575" width="11.88671875" style="127" customWidth="1"/>
    <col min="3576" max="3576" width="14.109375" style="127" customWidth="1"/>
    <col min="3577" max="3577" width="13.88671875" style="127" customWidth="1"/>
    <col min="3578" max="3579" width="12.77734375" style="127" customWidth="1"/>
    <col min="3580" max="3580" width="13.5546875" style="127" customWidth="1"/>
    <col min="3581" max="3581" width="15.33203125" style="127" customWidth="1"/>
    <col min="3582" max="3582" width="12.77734375" style="127" customWidth="1"/>
    <col min="3583" max="3583" width="13.88671875" style="127" customWidth="1"/>
    <col min="3584" max="3584" width="1.88671875" style="127" customWidth="1"/>
    <col min="3585" max="3585" width="13" style="127" customWidth="1"/>
    <col min="3586" max="3825" width="8.88671875" style="127"/>
    <col min="3826" max="3826" width="6" style="127" customWidth="1"/>
    <col min="3827" max="3827" width="1.44140625" style="127" customWidth="1"/>
    <col min="3828" max="3828" width="39.109375" style="127" customWidth="1"/>
    <col min="3829" max="3829" width="12" style="127" customWidth="1"/>
    <col min="3830" max="3830" width="14.44140625" style="127" customWidth="1"/>
    <col min="3831" max="3831" width="11.88671875" style="127" customWidth="1"/>
    <col min="3832" max="3832" width="14.109375" style="127" customWidth="1"/>
    <col min="3833" max="3833" width="13.88671875" style="127" customWidth="1"/>
    <col min="3834" max="3835" width="12.77734375" style="127" customWidth="1"/>
    <col min="3836" max="3836" width="13.5546875" style="127" customWidth="1"/>
    <col min="3837" max="3837" width="15.33203125" style="127" customWidth="1"/>
    <col min="3838" max="3838" width="12.77734375" style="127" customWidth="1"/>
    <col min="3839" max="3839" width="13.88671875" style="127" customWidth="1"/>
    <col min="3840" max="3840" width="1.88671875" style="127" customWidth="1"/>
    <col min="3841" max="3841" width="13" style="127" customWidth="1"/>
    <col min="3842" max="4081" width="8.88671875" style="127"/>
    <col min="4082" max="4082" width="6" style="127" customWidth="1"/>
    <col min="4083" max="4083" width="1.44140625" style="127" customWidth="1"/>
    <col min="4084" max="4084" width="39.109375" style="127" customWidth="1"/>
    <col min="4085" max="4085" width="12" style="127" customWidth="1"/>
    <col min="4086" max="4086" width="14.44140625" style="127" customWidth="1"/>
    <col min="4087" max="4087" width="11.88671875" style="127" customWidth="1"/>
    <col min="4088" max="4088" width="14.109375" style="127" customWidth="1"/>
    <col min="4089" max="4089" width="13.88671875" style="127" customWidth="1"/>
    <col min="4090" max="4091" width="12.77734375" style="127" customWidth="1"/>
    <col min="4092" max="4092" width="13.5546875" style="127" customWidth="1"/>
    <col min="4093" max="4093" width="15.33203125" style="127" customWidth="1"/>
    <col min="4094" max="4094" width="12.77734375" style="127" customWidth="1"/>
    <col min="4095" max="4095" width="13.88671875" style="127" customWidth="1"/>
    <col min="4096" max="4096" width="1.88671875" style="127" customWidth="1"/>
    <col min="4097" max="4097" width="13" style="127" customWidth="1"/>
    <col min="4098" max="4337" width="8.88671875" style="127"/>
    <col min="4338" max="4338" width="6" style="127" customWidth="1"/>
    <col min="4339" max="4339" width="1.44140625" style="127" customWidth="1"/>
    <col min="4340" max="4340" width="39.109375" style="127" customWidth="1"/>
    <col min="4341" max="4341" width="12" style="127" customWidth="1"/>
    <col min="4342" max="4342" width="14.44140625" style="127" customWidth="1"/>
    <col min="4343" max="4343" width="11.88671875" style="127" customWidth="1"/>
    <col min="4344" max="4344" width="14.109375" style="127" customWidth="1"/>
    <col min="4345" max="4345" width="13.88671875" style="127" customWidth="1"/>
    <col min="4346" max="4347" width="12.77734375" style="127" customWidth="1"/>
    <col min="4348" max="4348" width="13.5546875" style="127" customWidth="1"/>
    <col min="4349" max="4349" width="15.33203125" style="127" customWidth="1"/>
    <col min="4350" max="4350" width="12.77734375" style="127" customWidth="1"/>
    <col min="4351" max="4351" width="13.88671875" style="127" customWidth="1"/>
    <col min="4352" max="4352" width="1.88671875" style="127" customWidth="1"/>
    <col min="4353" max="4353" width="13" style="127" customWidth="1"/>
    <col min="4354" max="4593" width="8.88671875" style="127"/>
    <col min="4594" max="4594" width="6" style="127" customWidth="1"/>
    <col min="4595" max="4595" width="1.44140625" style="127" customWidth="1"/>
    <col min="4596" max="4596" width="39.109375" style="127" customWidth="1"/>
    <col min="4597" max="4597" width="12" style="127" customWidth="1"/>
    <col min="4598" max="4598" width="14.44140625" style="127" customWidth="1"/>
    <col min="4599" max="4599" width="11.88671875" style="127" customWidth="1"/>
    <col min="4600" max="4600" width="14.109375" style="127" customWidth="1"/>
    <col min="4601" max="4601" width="13.88671875" style="127" customWidth="1"/>
    <col min="4602" max="4603" width="12.77734375" style="127" customWidth="1"/>
    <col min="4604" max="4604" width="13.5546875" style="127" customWidth="1"/>
    <col min="4605" max="4605" width="15.33203125" style="127" customWidth="1"/>
    <col min="4606" max="4606" width="12.77734375" style="127" customWidth="1"/>
    <col min="4607" max="4607" width="13.88671875" style="127" customWidth="1"/>
    <col min="4608" max="4608" width="1.88671875" style="127" customWidth="1"/>
    <col min="4609" max="4609" width="13" style="127" customWidth="1"/>
    <col min="4610" max="4849" width="8.88671875" style="127"/>
    <col min="4850" max="4850" width="6" style="127" customWidth="1"/>
    <col min="4851" max="4851" width="1.44140625" style="127" customWidth="1"/>
    <col min="4852" max="4852" width="39.109375" style="127" customWidth="1"/>
    <col min="4853" max="4853" width="12" style="127" customWidth="1"/>
    <col min="4854" max="4854" width="14.44140625" style="127" customWidth="1"/>
    <col min="4855" max="4855" width="11.88671875" style="127" customWidth="1"/>
    <col min="4856" max="4856" width="14.109375" style="127" customWidth="1"/>
    <col min="4857" max="4857" width="13.88671875" style="127" customWidth="1"/>
    <col min="4858" max="4859" width="12.77734375" style="127" customWidth="1"/>
    <col min="4860" max="4860" width="13.5546875" style="127" customWidth="1"/>
    <col min="4861" max="4861" width="15.33203125" style="127" customWidth="1"/>
    <col min="4862" max="4862" width="12.77734375" style="127" customWidth="1"/>
    <col min="4863" max="4863" width="13.88671875" style="127" customWidth="1"/>
    <col min="4864" max="4864" width="1.88671875" style="127" customWidth="1"/>
    <col min="4865" max="4865" width="13" style="127" customWidth="1"/>
    <col min="4866" max="5105" width="8.88671875" style="127"/>
    <col min="5106" max="5106" width="6" style="127" customWidth="1"/>
    <col min="5107" max="5107" width="1.44140625" style="127" customWidth="1"/>
    <col min="5108" max="5108" width="39.109375" style="127" customWidth="1"/>
    <col min="5109" max="5109" width="12" style="127" customWidth="1"/>
    <col min="5110" max="5110" width="14.44140625" style="127" customWidth="1"/>
    <col min="5111" max="5111" width="11.88671875" style="127" customWidth="1"/>
    <col min="5112" max="5112" width="14.109375" style="127" customWidth="1"/>
    <col min="5113" max="5113" width="13.88671875" style="127" customWidth="1"/>
    <col min="5114" max="5115" width="12.77734375" style="127" customWidth="1"/>
    <col min="5116" max="5116" width="13.5546875" style="127" customWidth="1"/>
    <col min="5117" max="5117" width="15.33203125" style="127" customWidth="1"/>
    <col min="5118" max="5118" width="12.77734375" style="127" customWidth="1"/>
    <col min="5119" max="5119" width="13.88671875" style="127" customWidth="1"/>
    <col min="5120" max="5120" width="1.88671875" style="127" customWidth="1"/>
    <col min="5121" max="5121" width="13" style="127" customWidth="1"/>
    <col min="5122" max="5361" width="8.88671875" style="127"/>
    <col min="5362" max="5362" width="6" style="127" customWidth="1"/>
    <col min="5363" max="5363" width="1.44140625" style="127" customWidth="1"/>
    <col min="5364" max="5364" width="39.109375" style="127" customWidth="1"/>
    <col min="5365" max="5365" width="12" style="127" customWidth="1"/>
    <col min="5366" max="5366" width="14.44140625" style="127" customWidth="1"/>
    <col min="5367" max="5367" width="11.88671875" style="127" customWidth="1"/>
    <col min="5368" max="5368" width="14.109375" style="127" customWidth="1"/>
    <col min="5369" max="5369" width="13.88671875" style="127" customWidth="1"/>
    <col min="5370" max="5371" width="12.77734375" style="127" customWidth="1"/>
    <col min="5372" max="5372" width="13.5546875" style="127" customWidth="1"/>
    <col min="5373" max="5373" width="15.33203125" style="127" customWidth="1"/>
    <col min="5374" max="5374" width="12.77734375" style="127" customWidth="1"/>
    <col min="5375" max="5375" width="13.88671875" style="127" customWidth="1"/>
    <col min="5376" max="5376" width="1.88671875" style="127" customWidth="1"/>
    <col min="5377" max="5377" width="13" style="127" customWidth="1"/>
    <col min="5378" max="5617" width="8.88671875" style="127"/>
    <col min="5618" max="5618" width="6" style="127" customWidth="1"/>
    <col min="5619" max="5619" width="1.44140625" style="127" customWidth="1"/>
    <col min="5620" max="5620" width="39.109375" style="127" customWidth="1"/>
    <col min="5621" max="5621" width="12" style="127" customWidth="1"/>
    <col min="5622" max="5622" width="14.44140625" style="127" customWidth="1"/>
    <col min="5623" max="5623" width="11.88671875" style="127" customWidth="1"/>
    <col min="5624" max="5624" width="14.109375" style="127" customWidth="1"/>
    <col min="5625" max="5625" width="13.88671875" style="127" customWidth="1"/>
    <col min="5626" max="5627" width="12.77734375" style="127" customWidth="1"/>
    <col min="5628" max="5628" width="13.5546875" style="127" customWidth="1"/>
    <col min="5629" max="5629" width="15.33203125" style="127" customWidth="1"/>
    <col min="5630" max="5630" width="12.77734375" style="127" customWidth="1"/>
    <col min="5631" max="5631" width="13.88671875" style="127" customWidth="1"/>
    <col min="5632" max="5632" width="1.88671875" style="127" customWidth="1"/>
    <col min="5633" max="5633" width="13" style="127" customWidth="1"/>
    <col min="5634" max="5873" width="8.88671875" style="127"/>
    <col min="5874" max="5874" width="6" style="127" customWidth="1"/>
    <col min="5875" max="5875" width="1.44140625" style="127" customWidth="1"/>
    <col min="5876" max="5876" width="39.109375" style="127" customWidth="1"/>
    <col min="5877" max="5877" width="12" style="127" customWidth="1"/>
    <col min="5878" max="5878" width="14.44140625" style="127" customWidth="1"/>
    <col min="5879" max="5879" width="11.88671875" style="127" customWidth="1"/>
    <col min="5880" max="5880" width="14.109375" style="127" customWidth="1"/>
    <col min="5881" max="5881" width="13.88671875" style="127" customWidth="1"/>
    <col min="5882" max="5883" width="12.77734375" style="127" customWidth="1"/>
    <col min="5884" max="5884" width="13.5546875" style="127" customWidth="1"/>
    <col min="5885" max="5885" width="15.33203125" style="127" customWidth="1"/>
    <col min="5886" max="5886" width="12.77734375" style="127" customWidth="1"/>
    <col min="5887" max="5887" width="13.88671875" style="127" customWidth="1"/>
    <col min="5888" max="5888" width="1.88671875" style="127" customWidth="1"/>
    <col min="5889" max="5889" width="13" style="127" customWidth="1"/>
    <col min="5890" max="6129" width="8.88671875" style="127"/>
    <col min="6130" max="6130" width="6" style="127" customWidth="1"/>
    <col min="6131" max="6131" width="1.44140625" style="127" customWidth="1"/>
    <col min="6132" max="6132" width="39.109375" style="127" customWidth="1"/>
    <col min="6133" max="6133" width="12" style="127" customWidth="1"/>
    <col min="6134" max="6134" width="14.44140625" style="127" customWidth="1"/>
    <col min="6135" max="6135" width="11.88671875" style="127" customWidth="1"/>
    <col min="6136" max="6136" width="14.109375" style="127" customWidth="1"/>
    <col min="6137" max="6137" width="13.88671875" style="127" customWidth="1"/>
    <col min="6138" max="6139" width="12.77734375" style="127" customWidth="1"/>
    <col min="6140" max="6140" width="13.5546875" style="127" customWidth="1"/>
    <col min="6141" max="6141" width="15.33203125" style="127" customWidth="1"/>
    <col min="6142" max="6142" width="12.77734375" style="127" customWidth="1"/>
    <col min="6143" max="6143" width="13.88671875" style="127" customWidth="1"/>
    <col min="6144" max="6144" width="1.88671875" style="127" customWidth="1"/>
    <col min="6145" max="6145" width="13" style="127" customWidth="1"/>
    <col min="6146" max="6385" width="8.88671875" style="127"/>
    <col min="6386" max="6386" width="6" style="127" customWidth="1"/>
    <col min="6387" max="6387" width="1.44140625" style="127" customWidth="1"/>
    <col min="6388" max="6388" width="39.109375" style="127" customWidth="1"/>
    <col min="6389" max="6389" width="12" style="127" customWidth="1"/>
    <col min="6390" max="6390" width="14.44140625" style="127" customWidth="1"/>
    <col min="6391" max="6391" width="11.88671875" style="127" customWidth="1"/>
    <col min="6392" max="6392" width="14.109375" style="127" customWidth="1"/>
    <col min="6393" max="6393" width="13.88671875" style="127" customWidth="1"/>
    <col min="6394" max="6395" width="12.77734375" style="127" customWidth="1"/>
    <col min="6396" max="6396" width="13.5546875" style="127" customWidth="1"/>
    <col min="6397" max="6397" width="15.33203125" style="127" customWidth="1"/>
    <col min="6398" max="6398" width="12.77734375" style="127" customWidth="1"/>
    <col min="6399" max="6399" width="13.88671875" style="127" customWidth="1"/>
    <col min="6400" max="6400" width="1.88671875" style="127" customWidth="1"/>
    <col min="6401" max="6401" width="13" style="127" customWidth="1"/>
    <col min="6402" max="6641" width="8.88671875" style="127"/>
    <col min="6642" max="6642" width="6" style="127" customWidth="1"/>
    <col min="6643" max="6643" width="1.44140625" style="127" customWidth="1"/>
    <col min="6644" max="6644" width="39.109375" style="127" customWidth="1"/>
    <col min="6645" max="6645" width="12" style="127" customWidth="1"/>
    <col min="6646" max="6646" width="14.44140625" style="127" customWidth="1"/>
    <col min="6647" max="6647" width="11.88671875" style="127" customWidth="1"/>
    <col min="6648" max="6648" width="14.109375" style="127" customWidth="1"/>
    <col min="6649" max="6649" width="13.88671875" style="127" customWidth="1"/>
    <col min="6650" max="6651" width="12.77734375" style="127" customWidth="1"/>
    <col min="6652" max="6652" width="13.5546875" style="127" customWidth="1"/>
    <col min="6653" max="6653" width="15.33203125" style="127" customWidth="1"/>
    <col min="6654" max="6654" width="12.77734375" style="127" customWidth="1"/>
    <col min="6655" max="6655" width="13.88671875" style="127" customWidth="1"/>
    <col min="6656" max="6656" width="1.88671875" style="127" customWidth="1"/>
    <col min="6657" max="6657" width="13" style="127" customWidth="1"/>
    <col min="6658" max="6897" width="8.88671875" style="127"/>
    <col min="6898" max="6898" width="6" style="127" customWidth="1"/>
    <col min="6899" max="6899" width="1.44140625" style="127" customWidth="1"/>
    <col min="6900" max="6900" width="39.109375" style="127" customWidth="1"/>
    <col min="6901" max="6901" width="12" style="127" customWidth="1"/>
    <col min="6902" max="6902" width="14.44140625" style="127" customWidth="1"/>
    <col min="6903" max="6903" width="11.88671875" style="127" customWidth="1"/>
    <col min="6904" max="6904" width="14.109375" style="127" customWidth="1"/>
    <col min="6905" max="6905" width="13.88671875" style="127" customWidth="1"/>
    <col min="6906" max="6907" width="12.77734375" style="127" customWidth="1"/>
    <col min="6908" max="6908" width="13.5546875" style="127" customWidth="1"/>
    <col min="6909" max="6909" width="15.33203125" style="127" customWidth="1"/>
    <col min="6910" max="6910" width="12.77734375" style="127" customWidth="1"/>
    <col min="6911" max="6911" width="13.88671875" style="127" customWidth="1"/>
    <col min="6912" max="6912" width="1.88671875" style="127" customWidth="1"/>
    <col min="6913" max="6913" width="13" style="127" customWidth="1"/>
    <col min="6914" max="7153" width="8.88671875" style="127"/>
    <col min="7154" max="7154" width="6" style="127" customWidth="1"/>
    <col min="7155" max="7155" width="1.44140625" style="127" customWidth="1"/>
    <col min="7156" max="7156" width="39.109375" style="127" customWidth="1"/>
    <col min="7157" max="7157" width="12" style="127" customWidth="1"/>
    <col min="7158" max="7158" width="14.44140625" style="127" customWidth="1"/>
    <col min="7159" max="7159" width="11.88671875" style="127" customWidth="1"/>
    <col min="7160" max="7160" width="14.109375" style="127" customWidth="1"/>
    <col min="7161" max="7161" width="13.88671875" style="127" customWidth="1"/>
    <col min="7162" max="7163" width="12.77734375" style="127" customWidth="1"/>
    <col min="7164" max="7164" width="13.5546875" style="127" customWidth="1"/>
    <col min="7165" max="7165" width="15.33203125" style="127" customWidth="1"/>
    <col min="7166" max="7166" width="12.77734375" style="127" customWidth="1"/>
    <col min="7167" max="7167" width="13.88671875" style="127" customWidth="1"/>
    <col min="7168" max="7168" width="1.88671875" style="127" customWidth="1"/>
    <col min="7169" max="7169" width="13" style="127" customWidth="1"/>
    <col min="7170" max="7409" width="8.88671875" style="127"/>
    <col min="7410" max="7410" width="6" style="127" customWidth="1"/>
    <col min="7411" max="7411" width="1.44140625" style="127" customWidth="1"/>
    <col min="7412" max="7412" width="39.109375" style="127" customWidth="1"/>
    <col min="7413" max="7413" width="12" style="127" customWidth="1"/>
    <col min="7414" max="7414" width="14.44140625" style="127" customWidth="1"/>
    <col min="7415" max="7415" width="11.88671875" style="127" customWidth="1"/>
    <col min="7416" max="7416" width="14.109375" style="127" customWidth="1"/>
    <col min="7417" max="7417" width="13.88671875" style="127" customWidth="1"/>
    <col min="7418" max="7419" width="12.77734375" style="127" customWidth="1"/>
    <col min="7420" max="7420" width="13.5546875" style="127" customWidth="1"/>
    <col min="7421" max="7421" width="15.33203125" style="127" customWidth="1"/>
    <col min="7422" max="7422" width="12.77734375" style="127" customWidth="1"/>
    <col min="7423" max="7423" width="13.88671875" style="127" customWidth="1"/>
    <col min="7424" max="7424" width="1.88671875" style="127" customWidth="1"/>
    <col min="7425" max="7425" width="13" style="127" customWidth="1"/>
    <col min="7426" max="7665" width="8.88671875" style="127"/>
    <col min="7666" max="7666" width="6" style="127" customWidth="1"/>
    <col min="7667" max="7667" width="1.44140625" style="127" customWidth="1"/>
    <col min="7668" max="7668" width="39.109375" style="127" customWidth="1"/>
    <col min="7669" max="7669" width="12" style="127" customWidth="1"/>
    <col min="7670" max="7670" width="14.44140625" style="127" customWidth="1"/>
    <col min="7671" max="7671" width="11.88671875" style="127" customWidth="1"/>
    <col min="7672" max="7672" width="14.109375" style="127" customWidth="1"/>
    <col min="7673" max="7673" width="13.88671875" style="127" customWidth="1"/>
    <col min="7674" max="7675" width="12.77734375" style="127" customWidth="1"/>
    <col min="7676" max="7676" width="13.5546875" style="127" customWidth="1"/>
    <col min="7677" max="7677" width="15.33203125" style="127" customWidth="1"/>
    <col min="7678" max="7678" width="12.77734375" style="127" customWidth="1"/>
    <col min="7679" max="7679" width="13.88671875" style="127" customWidth="1"/>
    <col min="7680" max="7680" width="1.88671875" style="127" customWidth="1"/>
    <col min="7681" max="7681" width="13" style="127" customWidth="1"/>
    <col min="7682" max="7921" width="8.88671875" style="127"/>
    <col min="7922" max="7922" width="6" style="127" customWidth="1"/>
    <col min="7923" max="7923" width="1.44140625" style="127" customWidth="1"/>
    <col min="7924" max="7924" width="39.109375" style="127" customWidth="1"/>
    <col min="7925" max="7925" width="12" style="127" customWidth="1"/>
    <col min="7926" max="7926" width="14.44140625" style="127" customWidth="1"/>
    <col min="7927" max="7927" width="11.88671875" style="127" customWidth="1"/>
    <col min="7928" max="7928" width="14.109375" style="127" customWidth="1"/>
    <col min="7929" max="7929" width="13.88671875" style="127" customWidth="1"/>
    <col min="7930" max="7931" width="12.77734375" style="127" customWidth="1"/>
    <col min="7932" max="7932" width="13.5546875" style="127" customWidth="1"/>
    <col min="7933" max="7933" width="15.33203125" style="127" customWidth="1"/>
    <col min="7934" max="7934" width="12.77734375" style="127" customWidth="1"/>
    <col min="7935" max="7935" width="13.88671875" style="127" customWidth="1"/>
    <col min="7936" max="7936" width="1.88671875" style="127" customWidth="1"/>
    <col min="7937" max="7937" width="13" style="127" customWidth="1"/>
    <col min="7938" max="8177" width="8.88671875" style="127"/>
    <col min="8178" max="8178" width="6" style="127" customWidth="1"/>
    <col min="8179" max="8179" width="1.44140625" style="127" customWidth="1"/>
    <col min="8180" max="8180" width="39.109375" style="127" customWidth="1"/>
    <col min="8181" max="8181" width="12" style="127" customWidth="1"/>
    <col min="8182" max="8182" width="14.44140625" style="127" customWidth="1"/>
    <col min="8183" max="8183" width="11.88671875" style="127" customWidth="1"/>
    <col min="8184" max="8184" width="14.109375" style="127" customWidth="1"/>
    <col min="8185" max="8185" width="13.88671875" style="127" customWidth="1"/>
    <col min="8186" max="8187" width="12.77734375" style="127" customWidth="1"/>
    <col min="8188" max="8188" width="13.5546875" style="127" customWidth="1"/>
    <col min="8189" max="8189" width="15.33203125" style="127" customWidth="1"/>
    <col min="8190" max="8190" width="12.77734375" style="127" customWidth="1"/>
    <col min="8191" max="8191" width="13.88671875" style="127" customWidth="1"/>
    <col min="8192" max="8192" width="1.88671875" style="127" customWidth="1"/>
    <col min="8193" max="8193" width="13" style="127" customWidth="1"/>
    <col min="8194" max="8433" width="8.88671875" style="127"/>
    <col min="8434" max="8434" width="6" style="127" customWidth="1"/>
    <col min="8435" max="8435" width="1.44140625" style="127" customWidth="1"/>
    <col min="8436" max="8436" width="39.109375" style="127" customWidth="1"/>
    <col min="8437" max="8437" width="12" style="127" customWidth="1"/>
    <col min="8438" max="8438" width="14.44140625" style="127" customWidth="1"/>
    <col min="8439" max="8439" width="11.88671875" style="127" customWidth="1"/>
    <col min="8440" max="8440" width="14.109375" style="127" customWidth="1"/>
    <col min="8441" max="8441" width="13.88671875" style="127" customWidth="1"/>
    <col min="8442" max="8443" width="12.77734375" style="127" customWidth="1"/>
    <col min="8444" max="8444" width="13.5546875" style="127" customWidth="1"/>
    <col min="8445" max="8445" width="15.33203125" style="127" customWidth="1"/>
    <col min="8446" max="8446" width="12.77734375" style="127" customWidth="1"/>
    <col min="8447" max="8447" width="13.88671875" style="127" customWidth="1"/>
    <col min="8448" max="8448" width="1.88671875" style="127" customWidth="1"/>
    <col min="8449" max="8449" width="13" style="127" customWidth="1"/>
    <col min="8450" max="8689" width="8.88671875" style="127"/>
    <col min="8690" max="8690" width="6" style="127" customWidth="1"/>
    <col min="8691" max="8691" width="1.44140625" style="127" customWidth="1"/>
    <col min="8692" max="8692" width="39.109375" style="127" customWidth="1"/>
    <col min="8693" max="8693" width="12" style="127" customWidth="1"/>
    <col min="8694" max="8694" width="14.44140625" style="127" customWidth="1"/>
    <col min="8695" max="8695" width="11.88671875" style="127" customWidth="1"/>
    <col min="8696" max="8696" width="14.109375" style="127" customWidth="1"/>
    <col min="8697" max="8697" width="13.88671875" style="127" customWidth="1"/>
    <col min="8698" max="8699" width="12.77734375" style="127" customWidth="1"/>
    <col min="8700" max="8700" width="13.5546875" style="127" customWidth="1"/>
    <col min="8701" max="8701" width="15.33203125" style="127" customWidth="1"/>
    <col min="8702" max="8702" width="12.77734375" style="127" customWidth="1"/>
    <col min="8703" max="8703" width="13.88671875" style="127" customWidth="1"/>
    <col min="8704" max="8704" width="1.88671875" style="127" customWidth="1"/>
    <col min="8705" max="8705" width="13" style="127" customWidth="1"/>
    <col min="8706" max="8945" width="8.88671875" style="127"/>
    <col min="8946" max="8946" width="6" style="127" customWidth="1"/>
    <col min="8947" max="8947" width="1.44140625" style="127" customWidth="1"/>
    <col min="8948" max="8948" width="39.109375" style="127" customWidth="1"/>
    <col min="8949" max="8949" width="12" style="127" customWidth="1"/>
    <col min="8950" max="8950" width="14.44140625" style="127" customWidth="1"/>
    <col min="8951" max="8951" width="11.88671875" style="127" customWidth="1"/>
    <col min="8952" max="8952" width="14.109375" style="127" customWidth="1"/>
    <col min="8953" max="8953" width="13.88671875" style="127" customWidth="1"/>
    <col min="8954" max="8955" width="12.77734375" style="127" customWidth="1"/>
    <col min="8956" max="8956" width="13.5546875" style="127" customWidth="1"/>
    <col min="8957" max="8957" width="15.33203125" style="127" customWidth="1"/>
    <col min="8958" max="8958" width="12.77734375" style="127" customWidth="1"/>
    <col min="8959" max="8959" width="13.88671875" style="127" customWidth="1"/>
    <col min="8960" max="8960" width="1.88671875" style="127" customWidth="1"/>
    <col min="8961" max="8961" width="13" style="127" customWidth="1"/>
    <col min="8962" max="9201" width="8.88671875" style="127"/>
    <col min="9202" max="9202" width="6" style="127" customWidth="1"/>
    <col min="9203" max="9203" width="1.44140625" style="127" customWidth="1"/>
    <col min="9204" max="9204" width="39.109375" style="127" customWidth="1"/>
    <col min="9205" max="9205" width="12" style="127" customWidth="1"/>
    <col min="9206" max="9206" width="14.44140625" style="127" customWidth="1"/>
    <col min="9207" max="9207" width="11.88671875" style="127" customWidth="1"/>
    <col min="9208" max="9208" width="14.109375" style="127" customWidth="1"/>
    <col min="9209" max="9209" width="13.88671875" style="127" customWidth="1"/>
    <col min="9210" max="9211" width="12.77734375" style="127" customWidth="1"/>
    <col min="9212" max="9212" width="13.5546875" style="127" customWidth="1"/>
    <col min="9213" max="9213" width="15.33203125" style="127" customWidth="1"/>
    <col min="9214" max="9214" width="12.77734375" style="127" customWidth="1"/>
    <col min="9215" max="9215" width="13.88671875" style="127" customWidth="1"/>
    <col min="9216" max="9216" width="1.88671875" style="127" customWidth="1"/>
    <col min="9217" max="9217" width="13" style="127" customWidth="1"/>
    <col min="9218" max="9457" width="8.88671875" style="127"/>
    <col min="9458" max="9458" width="6" style="127" customWidth="1"/>
    <col min="9459" max="9459" width="1.44140625" style="127" customWidth="1"/>
    <col min="9460" max="9460" width="39.109375" style="127" customWidth="1"/>
    <col min="9461" max="9461" width="12" style="127" customWidth="1"/>
    <col min="9462" max="9462" width="14.44140625" style="127" customWidth="1"/>
    <col min="9463" max="9463" width="11.88671875" style="127" customWidth="1"/>
    <col min="9464" max="9464" width="14.109375" style="127" customWidth="1"/>
    <col min="9465" max="9465" width="13.88671875" style="127" customWidth="1"/>
    <col min="9466" max="9467" width="12.77734375" style="127" customWidth="1"/>
    <col min="9468" max="9468" width="13.5546875" style="127" customWidth="1"/>
    <col min="9469" max="9469" width="15.33203125" style="127" customWidth="1"/>
    <col min="9470" max="9470" width="12.77734375" style="127" customWidth="1"/>
    <col min="9471" max="9471" width="13.88671875" style="127" customWidth="1"/>
    <col min="9472" max="9472" width="1.88671875" style="127" customWidth="1"/>
    <col min="9473" max="9473" width="13" style="127" customWidth="1"/>
    <col min="9474" max="9713" width="8.88671875" style="127"/>
    <col min="9714" max="9714" width="6" style="127" customWidth="1"/>
    <col min="9715" max="9715" width="1.44140625" style="127" customWidth="1"/>
    <col min="9716" max="9716" width="39.109375" style="127" customWidth="1"/>
    <col min="9717" max="9717" width="12" style="127" customWidth="1"/>
    <col min="9718" max="9718" width="14.44140625" style="127" customWidth="1"/>
    <col min="9719" max="9719" width="11.88671875" style="127" customWidth="1"/>
    <col min="9720" max="9720" width="14.109375" style="127" customWidth="1"/>
    <col min="9721" max="9721" width="13.88671875" style="127" customWidth="1"/>
    <col min="9722" max="9723" width="12.77734375" style="127" customWidth="1"/>
    <col min="9724" max="9724" width="13.5546875" style="127" customWidth="1"/>
    <col min="9725" max="9725" width="15.33203125" style="127" customWidth="1"/>
    <col min="9726" max="9726" width="12.77734375" style="127" customWidth="1"/>
    <col min="9727" max="9727" width="13.88671875" style="127" customWidth="1"/>
    <col min="9728" max="9728" width="1.88671875" style="127" customWidth="1"/>
    <col min="9729" max="9729" width="13" style="127" customWidth="1"/>
    <col min="9730" max="9969" width="8.88671875" style="127"/>
    <col min="9970" max="9970" width="6" style="127" customWidth="1"/>
    <col min="9971" max="9971" width="1.44140625" style="127" customWidth="1"/>
    <col min="9972" max="9972" width="39.109375" style="127" customWidth="1"/>
    <col min="9973" max="9973" width="12" style="127" customWidth="1"/>
    <col min="9974" max="9974" width="14.44140625" style="127" customWidth="1"/>
    <col min="9975" max="9975" width="11.88671875" style="127" customWidth="1"/>
    <col min="9976" max="9976" width="14.109375" style="127" customWidth="1"/>
    <col min="9977" max="9977" width="13.88671875" style="127" customWidth="1"/>
    <col min="9978" max="9979" width="12.77734375" style="127" customWidth="1"/>
    <col min="9980" max="9980" width="13.5546875" style="127" customWidth="1"/>
    <col min="9981" max="9981" width="15.33203125" style="127" customWidth="1"/>
    <col min="9982" max="9982" width="12.77734375" style="127" customWidth="1"/>
    <col min="9983" max="9983" width="13.88671875" style="127" customWidth="1"/>
    <col min="9984" max="9984" width="1.88671875" style="127" customWidth="1"/>
    <col min="9985" max="9985" width="13" style="127" customWidth="1"/>
    <col min="9986" max="10225" width="8.88671875" style="127"/>
    <col min="10226" max="10226" width="6" style="127" customWidth="1"/>
    <col min="10227" max="10227" width="1.44140625" style="127" customWidth="1"/>
    <col min="10228" max="10228" width="39.109375" style="127" customWidth="1"/>
    <col min="10229" max="10229" width="12" style="127" customWidth="1"/>
    <col min="10230" max="10230" width="14.44140625" style="127" customWidth="1"/>
    <col min="10231" max="10231" width="11.88671875" style="127" customWidth="1"/>
    <col min="10232" max="10232" width="14.109375" style="127" customWidth="1"/>
    <col min="10233" max="10233" width="13.88671875" style="127" customWidth="1"/>
    <col min="10234" max="10235" width="12.77734375" style="127" customWidth="1"/>
    <col min="10236" max="10236" width="13.5546875" style="127" customWidth="1"/>
    <col min="10237" max="10237" width="15.33203125" style="127" customWidth="1"/>
    <col min="10238" max="10238" width="12.77734375" style="127" customWidth="1"/>
    <col min="10239" max="10239" width="13.88671875" style="127" customWidth="1"/>
    <col min="10240" max="10240" width="1.88671875" style="127" customWidth="1"/>
    <col min="10241" max="10241" width="13" style="127" customWidth="1"/>
    <col min="10242" max="10481" width="8.88671875" style="127"/>
    <col min="10482" max="10482" width="6" style="127" customWidth="1"/>
    <col min="10483" max="10483" width="1.44140625" style="127" customWidth="1"/>
    <col min="10484" max="10484" width="39.109375" style="127" customWidth="1"/>
    <col min="10485" max="10485" width="12" style="127" customWidth="1"/>
    <col min="10486" max="10486" width="14.44140625" style="127" customWidth="1"/>
    <col min="10487" max="10487" width="11.88671875" style="127" customWidth="1"/>
    <col min="10488" max="10488" width="14.109375" style="127" customWidth="1"/>
    <col min="10489" max="10489" width="13.88671875" style="127" customWidth="1"/>
    <col min="10490" max="10491" width="12.77734375" style="127" customWidth="1"/>
    <col min="10492" max="10492" width="13.5546875" style="127" customWidth="1"/>
    <col min="10493" max="10493" width="15.33203125" style="127" customWidth="1"/>
    <col min="10494" max="10494" width="12.77734375" style="127" customWidth="1"/>
    <col min="10495" max="10495" width="13.88671875" style="127" customWidth="1"/>
    <col min="10496" max="10496" width="1.88671875" style="127" customWidth="1"/>
    <col min="10497" max="10497" width="13" style="127" customWidth="1"/>
    <col min="10498" max="10737" width="8.88671875" style="127"/>
    <col min="10738" max="10738" width="6" style="127" customWidth="1"/>
    <col min="10739" max="10739" width="1.44140625" style="127" customWidth="1"/>
    <col min="10740" max="10740" width="39.109375" style="127" customWidth="1"/>
    <col min="10741" max="10741" width="12" style="127" customWidth="1"/>
    <col min="10742" max="10742" width="14.44140625" style="127" customWidth="1"/>
    <col min="10743" max="10743" width="11.88671875" style="127" customWidth="1"/>
    <col min="10744" max="10744" width="14.109375" style="127" customWidth="1"/>
    <col min="10745" max="10745" width="13.88671875" style="127" customWidth="1"/>
    <col min="10746" max="10747" width="12.77734375" style="127" customWidth="1"/>
    <col min="10748" max="10748" width="13.5546875" style="127" customWidth="1"/>
    <col min="10749" max="10749" width="15.33203125" style="127" customWidth="1"/>
    <col min="10750" max="10750" width="12.77734375" style="127" customWidth="1"/>
    <col min="10751" max="10751" width="13.88671875" style="127" customWidth="1"/>
    <col min="10752" max="10752" width="1.88671875" style="127" customWidth="1"/>
    <col min="10753" max="10753" width="13" style="127" customWidth="1"/>
    <col min="10754" max="10993" width="8.88671875" style="127"/>
    <col min="10994" max="10994" width="6" style="127" customWidth="1"/>
    <col min="10995" max="10995" width="1.44140625" style="127" customWidth="1"/>
    <col min="10996" max="10996" width="39.109375" style="127" customWidth="1"/>
    <col min="10997" max="10997" width="12" style="127" customWidth="1"/>
    <col min="10998" max="10998" width="14.44140625" style="127" customWidth="1"/>
    <col min="10999" max="10999" width="11.88671875" style="127" customWidth="1"/>
    <col min="11000" max="11000" width="14.109375" style="127" customWidth="1"/>
    <col min="11001" max="11001" width="13.88671875" style="127" customWidth="1"/>
    <col min="11002" max="11003" width="12.77734375" style="127" customWidth="1"/>
    <col min="11004" max="11004" width="13.5546875" style="127" customWidth="1"/>
    <col min="11005" max="11005" width="15.33203125" style="127" customWidth="1"/>
    <col min="11006" max="11006" width="12.77734375" style="127" customWidth="1"/>
    <col min="11007" max="11007" width="13.88671875" style="127" customWidth="1"/>
    <col min="11008" max="11008" width="1.88671875" style="127" customWidth="1"/>
    <col min="11009" max="11009" width="13" style="127" customWidth="1"/>
    <col min="11010" max="11249" width="8.88671875" style="127"/>
    <col min="11250" max="11250" width="6" style="127" customWidth="1"/>
    <col min="11251" max="11251" width="1.44140625" style="127" customWidth="1"/>
    <col min="11252" max="11252" width="39.109375" style="127" customWidth="1"/>
    <col min="11253" max="11253" width="12" style="127" customWidth="1"/>
    <col min="11254" max="11254" width="14.44140625" style="127" customWidth="1"/>
    <col min="11255" max="11255" width="11.88671875" style="127" customWidth="1"/>
    <col min="11256" max="11256" width="14.109375" style="127" customWidth="1"/>
    <col min="11257" max="11257" width="13.88671875" style="127" customWidth="1"/>
    <col min="11258" max="11259" width="12.77734375" style="127" customWidth="1"/>
    <col min="11260" max="11260" width="13.5546875" style="127" customWidth="1"/>
    <col min="11261" max="11261" width="15.33203125" style="127" customWidth="1"/>
    <col min="11262" max="11262" width="12.77734375" style="127" customWidth="1"/>
    <col min="11263" max="11263" width="13.88671875" style="127" customWidth="1"/>
    <col min="11264" max="11264" width="1.88671875" style="127" customWidth="1"/>
    <col min="11265" max="11265" width="13" style="127" customWidth="1"/>
    <col min="11266" max="11505" width="8.88671875" style="127"/>
    <col min="11506" max="11506" width="6" style="127" customWidth="1"/>
    <col min="11507" max="11507" width="1.44140625" style="127" customWidth="1"/>
    <col min="11508" max="11508" width="39.109375" style="127" customWidth="1"/>
    <col min="11509" max="11509" width="12" style="127" customWidth="1"/>
    <col min="11510" max="11510" width="14.44140625" style="127" customWidth="1"/>
    <col min="11511" max="11511" width="11.88671875" style="127" customWidth="1"/>
    <col min="11512" max="11512" width="14.109375" style="127" customWidth="1"/>
    <col min="11513" max="11513" width="13.88671875" style="127" customWidth="1"/>
    <col min="11514" max="11515" width="12.77734375" style="127" customWidth="1"/>
    <col min="11516" max="11516" width="13.5546875" style="127" customWidth="1"/>
    <col min="11517" max="11517" width="15.33203125" style="127" customWidth="1"/>
    <col min="11518" max="11518" width="12.77734375" style="127" customWidth="1"/>
    <col min="11519" max="11519" width="13.88671875" style="127" customWidth="1"/>
    <col min="11520" max="11520" width="1.88671875" style="127" customWidth="1"/>
    <col min="11521" max="11521" width="13" style="127" customWidth="1"/>
    <col min="11522" max="11761" width="8.88671875" style="127"/>
    <col min="11762" max="11762" width="6" style="127" customWidth="1"/>
    <col min="11763" max="11763" width="1.44140625" style="127" customWidth="1"/>
    <col min="11764" max="11764" width="39.109375" style="127" customWidth="1"/>
    <col min="11765" max="11765" width="12" style="127" customWidth="1"/>
    <col min="11766" max="11766" width="14.44140625" style="127" customWidth="1"/>
    <col min="11767" max="11767" width="11.88671875" style="127" customWidth="1"/>
    <col min="11768" max="11768" width="14.109375" style="127" customWidth="1"/>
    <col min="11769" max="11769" width="13.88671875" style="127" customWidth="1"/>
    <col min="11770" max="11771" width="12.77734375" style="127" customWidth="1"/>
    <col min="11772" max="11772" width="13.5546875" style="127" customWidth="1"/>
    <col min="11773" max="11773" width="15.33203125" style="127" customWidth="1"/>
    <col min="11774" max="11774" width="12.77734375" style="127" customWidth="1"/>
    <col min="11775" max="11775" width="13.88671875" style="127" customWidth="1"/>
    <col min="11776" max="11776" width="1.88671875" style="127" customWidth="1"/>
    <col min="11777" max="11777" width="13" style="127" customWidth="1"/>
    <col min="11778" max="12017" width="8.88671875" style="127"/>
    <col min="12018" max="12018" width="6" style="127" customWidth="1"/>
    <col min="12019" max="12019" width="1.44140625" style="127" customWidth="1"/>
    <col min="12020" max="12020" width="39.109375" style="127" customWidth="1"/>
    <col min="12021" max="12021" width="12" style="127" customWidth="1"/>
    <col min="12022" max="12022" width="14.44140625" style="127" customWidth="1"/>
    <col min="12023" max="12023" width="11.88671875" style="127" customWidth="1"/>
    <col min="12024" max="12024" width="14.109375" style="127" customWidth="1"/>
    <col min="12025" max="12025" width="13.88671875" style="127" customWidth="1"/>
    <col min="12026" max="12027" width="12.77734375" style="127" customWidth="1"/>
    <col min="12028" max="12028" width="13.5546875" style="127" customWidth="1"/>
    <col min="12029" max="12029" width="15.33203125" style="127" customWidth="1"/>
    <col min="12030" max="12030" width="12.77734375" style="127" customWidth="1"/>
    <col min="12031" max="12031" width="13.88671875" style="127" customWidth="1"/>
    <col min="12032" max="12032" width="1.88671875" style="127" customWidth="1"/>
    <col min="12033" max="12033" width="13" style="127" customWidth="1"/>
    <col min="12034" max="12273" width="8.88671875" style="127"/>
    <col min="12274" max="12274" width="6" style="127" customWidth="1"/>
    <col min="12275" max="12275" width="1.44140625" style="127" customWidth="1"/>
    <col min="12276" max="12276" width="39.109375" style="127" customWidth="1"/>
    <col min="12277" max="12277" width="12" style="127" customWidth="1"/>
    <col min="12278" max="12278" width="14.44140625" style="127" customWidth="1"/>
    <col min="12279" max="12279" width="11.88671875" style="127" customWidth="1"/>
    <col min="12280" max="12280" width="14.109375" style="127" customWidth="1"/>
    <col min="12281" max="12281" width="13.88671875" style="127" customWidth="1"/>
    <col min="12282" max="12283" width="12.77734375" style="127" customWidth="1"/>
    <col min="12284" max="12284" width="13.5546875" style="127" customWidth="1"/>
    <col min="12285" max="12285" width="15.33203125" style="127" customWidth="1"/>
    <col min="12286" max="12286" width="12.77734375" style="127" customWidth="1"/>
    <col min="12287" max="12287" width="13.88671875" style="127" customWidth="1"/>
    <col min="12288" max="12288" width="1.88671875" style="127" customWidth="1"/>
    <col min="12289" max="12289" width="13" style="127" customWidth="1"/>
    <col min="12290" max="12529" width="8.88671875" style="127"/>
    <col min="12530" max="12530" width="6" style="127" customWidth="1"/>
    <col min="12531" max="12531" width="1.44140625" style="127" customWidth="1"/>
    <col min="12532" max="12532" width="39.109375" style="127" customWidth="1"/>
    <col min="12533" max="12533" width="12" style="127" customWidth="1"/>
    <col min="12534" max="12534" width="14.44140625" style="127" customWidth="1"/>
    <col min="12535" max="12535" width="11.88671875" style="127" customWidth="1"/>
    <col min="12536" max="12536" width="14.109375" style="127" customWidth="1"/>
    <col min="12537" max="12537" width="13.88671875" style="127" customWidth="1"/>
    <col min="12538" max="12539" width="12.77734375" style="127" customWidth="1"/>
    <col min="12540" max="12540" width="13.5546875" style="127" customWidth="1"/>
    <col min="12541" max="12541" width="15.33203125" style="127" customWidth="1"/>
    <col min="12542" max="12542" width="12.77734375" style="127" customWidth="1"/>
    <col min="12543" max="12543" width="13.88671875" style="127" customWidth="1"/>
    <col min="12544" max="12544" width="1.88671875" style="127" customWidth="1"/>
    <col min="12545" max="12545" width="13" style="127" customWidth="1"/>
    <col min="12546" max="12785" width="8.88671875" style="127"/>
    <col min="12786" max="12786" width="6" style="127" customWidth="1"/>
    <col min="12787" max="12787" width="1.44140625" style="127" customWidth="1"/>
    <col min="12788" max="12788" width="39.109375" style="127" customWidth="1"/>
    <col min="12789" max="12789" width="12" style="127" customWidth="1"/>
    <col min="12790" max="12790" width="14.44140625" style="127" customWidth="1"/>
    <col min="12791" max="12791" width="11.88671875" style="127" customWidth="1"/>
    <col min="12792" max="12792" width="14.109375" style="127" customWidth="1"/>
    <col min="12793" max="12793" width="13.88671875" style="127" customWidth="1"/>
    <col min="12794" max="12795" width="12.77734375" style="127" customWidth="1"/>
    <col min="12796" max="12796" width="13.5546875" style="127" customWidth="1"/>
    <col min="12797" max="12797" width="15.33203125" style="127" customWidth="1"/>
    <col min="12798" max="12798" width="12.77734375" style="127" customWidth="1"/>
    <col min="12799" max="12799" width="13.88671875" style="127" customWidth="1"/>
    <col min="12800" max="12800" width="1.88671875" style="127" customWidth="1"/>
    <col min="12801" max="12801" width="13" style="127" customWidth="1"/>
    <col min="12802" max="13041" width="8.88671875" style="127"/>
    <col min="13042" max="13042" width="6" style="127" customWidth="1"/>
    <col min="13043" max="13043" width="1.44140625" style="127" customWidth="1"/>
    <col min="13044" max="13044" width="39.109375" style="127" customWidth="1"/>
    <col min="13045" max="13045" width="12" style="127" customWidth="1"/>
    <col min="13046" max="13046" width="14.44140625" style="127" customWidth="1"/>
    <col min="13047" max="13047" width="11.88671875" style="127" customWidth="1"/>
    <col min="13048" max="13048" width="14.109375" style="127" customWidth="1"/>
    <col min="13049" max="13049" width="13.88671875" style="127" customWidth="1"/>
    <col min="13050" max="13051" width="12.77734375" style="127" customWidth="1"/>
    <col min="13052" max="13052" width="13.5546875" style="127" customWidth="1"/>
    <col min="13053" max="13053" width="15.33203125" style="127" customWidth="1"/>
    <col min="13054" max="13054" width="12.77734375" style="127" customWidth="1"/>
    <col min="13055" max="13055" width="13.88671875" style="127" customWidth="1"/>
    <col min="13056" max="13056" width="1.88671875" style="127" customWidth="1"/>
    <col min="13057" max="13057" width="13" style="127" customWidth="1"/>
    <col min="13058" max="13297" width="8.88671875" style="127"/>
    <col min="13298" max="13298" width="6" style="127" customWidth="1"/>
    <col min="13299" max="13299" width="1.44140625" style="127" customWidth="1"/>
    <col min="13300" max="13300" width="39.109375" style="127" customWidth="1"/>
    <col min="13301" max="13301" width="12" style="127" customWidth="1"/>
    <col min="13302" max="13302" width="14.44140625" style="127" customWidth="1"/>
    <col min="13303" max="13303" width="11.88671875" style="127" customWidth="1"/>
    <col min="13304" max="13304" width="14.109375" style="127" customWidth="1"/>
    <col min="13305" max="13305" width="13.88671875" style="127" customWidth="1"/>
    <col min="13306" max="13307" width="12.77734375" style="127" customWidth="1"/>
    <col min="13308" max="13308" width="13.5546875" style="127" customWidth="1"/>
    <col min="13309" max="13309" width="15.33203125" style="127" customWidth="1"/>
    <col min="13310" max="13310" width="12.77734375" style="127" customWidth="1"/>
    <col min="13311" max="13311" width="13.88671875" style="127" customWidth="1"/>
    <col min="13312" max="13312" width="1.88671875" style="127" customWidth="1"/>
    <col min="13313" max="13313" width="13" style="127" customWidth="1"/>
    <col min="13314" max="13553" width="8.88671875" style="127"/>
    <col min="13554" max="13554" width="6" style="127" customWidth="1"/>
    <col min="13555" max="13555" width="1.44140625" style="127" customWidth="1"/>
    <col min="13556" max="13556" width="39.109375" style="127" customWidth="1"/>
    <col min="13557" max="13557" width="12" style="127" customWidth="1"/>
    <col min="13558" max="13558" width="14.44140625" style="127" customWidth="1"/>
    <col min="13559" max="13559" width="11.88671875" style="127" customWidth="1"/>
    <col min="13560" max="13560" width="14.109375" style="127" customWidth="1"/>
    <col min="13561" max="13561" width="13.88671875" style="127" customWidth="1"/>
    <col min="13562" max="13563" width="12.77734375" style="127" customWidth="1"/>
    <col min="13564" max="13564" width="13.5546875" style="127" customWidth="1"/>
    <col min="13565" max="13565" width="15.33203125" style="127" customWidth="1"/>
    <col min="13566" max="13566" width="12.77734375" style="127" customWidth="1"/>
    <col min="13567" max="13567" width="13.88671875" style="127" customWidth="1"/>
    <col min="13568" max="13568" width="1.88671875" style="127" customWidth="1"/>
    <col min="13569" max="13569" width="13" style="127" customWidth="1"/>
    <col min="13570" max="13809" width="8.88671875" style="127"/>
    <col min="13810" max="13810" width="6" style="127" customWidth="1"/>
    <col min="13811" max="13811" width="1.44140625" style="127" customWidth="1"/>
    <col min="13812" max="13812" width="39.109375" style="127" customWidth="1"/>
    <col min="13813" max="13813" width="12" style="127" customWidth="1"/>
    <col min="13814" max="13814" width="14.44140625" style="127" customWidth="1"/>
    <col min="13815" max="13815" width="11.88671875" style="127" customWidth="1"/>
    <col min="13816" max="13816" width="14.109375" style="127" customWidth="1"/>
    <col min="13817" max="13817" width="13.88671875" style="127" customWidth="1"/>
    <col min="13818" max="13819" width="12.77734375" style="127" customWidth="1"/>
    <col min="13820" max="13820" width="13.5546875" style="127" customWidth="1"/>
    <col min="13821" max="13821" width="15.33203125" style="127" customWidth="1"/>
    <col min="13822" max="13822" width="12.77734375" style="127" customWidth="1"/>
    <col min="13823" max="13823" width="13.88671875" style="127" customWidth="1"/>
    <col min="13824" max="13824" width="1.88671875" style="127" customWidth="1"/>
    <col min="13825" max="13825" width="13" style="127" customWidth="1"/>
    <col min="13826" max="14065" width="8.88671875" style="127"/>
    <col min="14066" max="14066" width="6" style="127" customWidth="1"/>
    <col min="14067" max="14067" width="1.44140625" style="127" customWidth="1"/>
    <col min="14068" max="14068" width="39.109375" style="127" customWidth="1"/>
    <col min="14069" max="14069" width="12" style="127" customWidth="1"/>
    <col min="14070" max="14070" width="14.44140625" style="127" customWidth="1"/>
    <col min="14071" max="14071" width="11.88671875" style="127" customWidth="1"/>
    <col min="14072" max="14072" width="14.109375" style="127" customWidth="1"/>
    <col min="14073" max="14073" width="13.88671875" style="127" customWidth="1"/>
    <col min="14074" max="14075" width="12.77734375" style="127" customWidth="1"/>
    <col min="14076" max="14076" width="13.5546875" style="127" customWidth="1"/>
    <col min="14077" max="14077" width="15.33203125" style="127" customWidth="1"/>
    <col min="14078" max="14078" width="12.77734375" style="127" customWidth="1"/>
    <col min="14079" max="14079" width="13.88671875" style="127" customWidth="1"/>
    <col min="14080" max="14080" width="1.88671875" style="127" customWidth="1"/>
    <col min="14081" max="14081" width="13" style="127" customWidth="1"/>
    <col min="14082" max="14321" width="8.88671875" style="127"/>
    <col min="14322" max="14322" width="6" style="127" customWidth="1"/>
    <col min="14323" max="14323" width="1.44140625" style="127" customWidth="1"/>
    <col min="14324" max="14324" width="39.109375" style="127" customWidth="1"/>
    <col min="14325" max="14325" width="12" style="127" customWidth="1"/>
    <col min="14326" max="14326" width="14.44140625" style="127" customWidth="1"/>
    <col min="14327" max="14327" width="11.88671875" style="127" customWidth="1"/>
    <col min="14328" max="14328" width="14.109375" style="127" customWidth="1"/>
    <col min="14329" max="14329" width="13.88671875" style="127" customWidth="1"/>
    <col min="14330" max="14331" width="12.77734375" style="127" customWidth="1"/>
    <col min="14332" max="14332" width="13.5546875" style="127" customWidth="1"/>
    <col min="14333" max="14333" width="15.33203125" style="127" customWidth="1"/>
    <col min="14334" max="14334" width="12.77734375" style="127" customWidth="1"/>
    <col min="14335" max="14335" width="13.88671875" style="127" customWidth="1"/>
    <col min="14336" max="14336" width="1.88671875" style="127" customWidth="1"/>
    <col min="14337" max="14337" width="13" style="127" customWidth="1"/>
    <col min="14338" max="14577" width="8.88671875" style="127"/>
    <col min="14578" max="14578" width="6" style="127" customWidth="1"/>
    <col min="14579" max="14579" width="1.44140625" style="127" customWidth="1"/>
    <col min="14580" max="14580" width="39.109375" style="127" customWidth="1"/>
    <col min="14581" max="14581" width="12" style="127" customWidth="1"/>
    <col min="14582" max="14582" width="14.44140625" style="127" customWidth="1"/>
    <col min="14583" max="14583" width="11.88671875" style="127" customWidth="1"/>
    <col min="14584" max="14584" width="14.109375" style="127" customWidth="1"/>
    <col min="14585" max="14585" width="13.88671875" style="127" customWidth="1"/>
    <col min="14586" max="14587" width="12.77734375" style="127" customWidth="1"/>
    <col min="14588" max="14588" width="13.5546875" style="127" customWidth="1"/>
    <col min="14589" max="14589" width="15.33203125" style="127" customWidth="1"/>
    <col min="14590" max="14590" width="12.77734375" style="127" customWidth="1"/>
    <col min="14591" max="14591" width="13.88671875" style="127" customWidth="1"/>
    <col min="14592" max="14592" width="1.88671875" style="127" customWidth="1"/>
    <col min="14593" max="14593" width="13" style="127" customWidth="1"/>
    <col min="14594" max="14833" width="8.88671875" style="127"/>
    <col min="14834" max="14834" width="6" style="127" customWidth="1"/>
    <col min="14835" max="14835" width="1.44140625" style="127" customWidth="1"/>
    <col min="14836" max="14836" width="39.109375" style="127" customWidth="1"/>
    <col min="14837" max="14837" width="12" style="127" customWidth="1"/>
    <col min="14838" max="14838" width="14.44140625" style="127" customWidth="1"/>
    <col min="14839" max="14839" width="11.88671875" style="127" customWidth="1"/>
    <col min="14840" max="14840" width="14.109375" style="127" customWidth="1"/>
    <col min="14841" max="14841" width="13.88671875" style="127" customWidth="1"/>
    <col min="14842" max="14843" width="12.77734375" style="127" customWidth="1"/>
    <col min="14844" max="14844" width="13.5546875" style="127" customWidth="1"/>
    <col min="14845" max="14845" width="15.33203125" style="127" customWidth="1"/>
    <col min="14846" max="14846" width="12.77734375" style="127" customWidth="1"/>
    <col min="14847" max="14847" width="13.88671875" style="127" customWidth="1"/>
    <col min="14848" max="14848" width="1.88671875" style="127" customWidth="1"/>
    <col min="14849" max="14849" width="13" style="127" customWidth="1"/>
    <col min="14850" max="15089" width="8.88671875" style="127"/>
    <col min="15090" max="15090" width="6" style="127" customWidth="1"/>
    <col min="15091" max="15091" width="1.44140625" style="127" customWidth="1"/>
    <col min="15092" max="15092" width="39.109375" style="127" customWidth="1"/>
    <col min="15093" max="15093" width="12" style="127" customWidth="1"/>
    <col min="15094" max="15094" width="14.44140625" style="127" customWidth="1"/>
    <col min="15095" max="15095" width="11.88671875" style="127" customWidth="1"/>
    <col min="15096" max="15096" width="14.109375" style="127" customWidth="1"/>
    <col min="15097" max="15097" width="13.88671875" style="127" customWidth="1"/>
    <col min="15098" max="15099" width="12.77734375" style="127" customWidth="1"/>
    <col min="15100" max="15100" width="13.5546875" style="127" customWidth="1"/>
    <col min="15101" max="15101" width="15.33203125" style="127" customWidth="1"/>
    <col min="15102" max="15102" width="12.77734375" style="127" customWidth="1"/>
    <col min="15103" max="15103" width="13.88671875" style="127" customWidth="1"/>
    <col min="15104" max="15104" width="1.88671875" style="127" customWidth="1"/>
    <col min="15105" max="15105" width="13" style="127" customWidth="1"/>
    <col min="15106" max="15345" width="8.88671875" style="127"/>
    <col min="15346" max="15346" width="6" style="127" customWidth="1"/>
    <col min="15347" max="15347" width="1.44140625" style="127" customWidth="1"/>
    <col min="15348" max="15348" width="39.109375" style="127" customWidth="1"/>
    <col min="15349" max="15349" width="12" style="127" customWidth="1"/>
    <col min="15350" max="15350" width="14.44140625" style="127" customWidth="1"/>
    <col min="15351" max="15351" width="11.88671875" style="127" customWidth="1"/>
    <col min="15352" max="15352" width="14.109375" style="127" customWidth="1"/>
    <col min="15353" max="15353" width="13.88671875" style="127" customWidth="1"/>
    <col min="15354" max="15355" width="12.77734375" style="127" customWidth="1"/>
    <col min="15356" max="15356" width="13.5546875" style="127" customWidth="1"/>
    <col min="15357" max="15357" width="15.33203125" style="127" customWidth="1"/>
    <col min="15358" max="15358" width="12.77734375" style="127" customWidth="1"/>
    <col min="15359" max="15359" width="13.88671875" style="127" customWidth="1"/>
    <col min="15360" max="15360" width="1.88671875" style="127" customWidth="1"/>
    <col min="15361" max="15361" width="13" style="127" customWidth="1"/>
    <col min="15362" max="15601" width="8.88671875" style="127"/>
    <col min="15602" max="15602" width="6" style="127" customWidth="1"/>
    <col min="15603" max="15603" width="1.44140625" style="127" customWidth="1"/>
    <col min="15604" max="15604" width="39.109375" style="127" customWidth="1"/>
    <col min="15605" max="15605" width="12" style="127" customWidth="1"/>
    <col min="15606" max="15606" width="14.44140625" style="127" customWidth="1"/>
    <col min="15607" max="15607" width="11.88671875" style="127" customWidth="1"/>
    <col min="15608" max="15608" width="14.109375" style="127" customWidth="1"/>
    <col min="15609" max="15609" width="13.88671875" style="127" customWidth="1"/>
    <col min="15610" max="15611" width="12.77734375" style="127" customWidth="1"/>
    <col min="15612" max="15612" width="13.5546875" style="127" customWidth="1"/>
    <col min="15613" max="15613" width="15.33203125" style="127" customWidth="1"/>
    <col min="15614" max="15614" width="12.77734375" style="127" customWidth="1"/>
    <col min="15615" max="15615" width="13.88671875" style="127" customWidth="1"/>
    <col min="15616" max="15616" width="1.88671875" style="127" customWidth="1"/>
    <col min="15617" max="15617" width="13" style="127" customWidth="1"/>
    <col min="15618" max="15857" width="8.88671875" style="127"/>
    <col min="15858" max="15858" width="6" style="127" customWidth="1"/>
    <col min="15859" max="15859" width="1.44140625" style="127" customWidth="1"/>
    <col min="15860" max="15860" width="39.109375" style="127" customWidth="1"/>
    <col min="15861" max="15861" width="12" style="127" customWidth="1"/>
    <col min="15862" max="15862" width="14.44140625" style="127" customWidth="1"/>
    <col min="15863" max="15863" width="11.88671875" style="127" customWidth="1"/>
    <col min="15864" max="15864" width="14.109375" style="127" customWidth="1"/>
    <col min="15865" max="15865" width="13.88671875" style="127" customWidth="1"/>
    <col min="15866" max="15867" width="12.77734375" style="127" customWidth="1"/>
    <col min="15868" max="15868" width="13.5546875" style="127" customWidth="1"/>
    <col min="15869" max="15869" width="15.33203125" style="127" customWidth="1"/>
    <col min="15870" max="15870" width="12.77734375" style="127" customWidth="1"/>
    <col min="15871" max="15871" width="13.88671875" style="127" customWidth="1"/>
    <col min="15872" max="15872" width="1.88671875" style="127" customWidth="1"/>
    <col min="15873" max="15873" width="13" style="127" customWidth="1"/>
    <col min="15874" max="16113" width="8.88671875" style="127"/>
    <col min="16114" max="16114" width="6" style="127" customWidth="1"/>
    <col min="16115" max="16115" width="1.44140625" style="127" customWidth="1"/>
    <col min="16116" max="16116" width="39.109375" style="127" customWidth="1"/>
    <col min="16117" max="16117" width="12" style="127" customWidth="1"/>
    <col min="16118" max="16118" width="14.44140625" style="127" customWidth="1"/>
    <col min="16119" max="16119" width="11.88671875" style="127" customWidth="1"/>
    <col min="16120" max="16120" width="14.109375" style="127" customWidth="1"/>
    <col min="16121" max="16121" width="13.88671875" style="127" customWidth="1"/>
    <col min="16122" max="16123" width="12.77734375" style="127" customWidth="1"/>
    <col min="16124" max="16124" width="13.5546875" style="127" customWidth="1"/>
    <col min="16125" max="16125" width="15.33203125" style="127" customWidth="1"/>
    <col min="16126" max="16126" width="12.77734375" style="127" customWidth="1"/>
    <col min="16127" max="16127" width="13.88671875" style="127" customWidth="1"/>
    <col min="16128" max="16128" width="1.88671875" style="127" customWidth="1"/>
    <col min="16129" max="16129" width="13" style="127" customWidth="1"/>
    <col min="16130" max="16369" width="8.88671875" style="127"/>
    <col min="16370" max="16384" width="8.88671875" style="127" customWidth="1"/>
  </cols>
  <sheetData>
    <row r="1" spans="2:50">
      <c r="O1" s="398" t="s">
        <v>318</v>
      </c>
    </row>
    <row r="2" spans="2:50">
      <c r="O2" s="398" t="s">
        <v>362</v>
      </c>
    </row>
    <row r="3" spans="2:50">
      <c r="O3" s="161" t="s">
        <v>306</v>
      </c>
    </row>
    <row r="4" spans="2:50">
      <c r="B4" s="131"/>
      <c r="D4" s="98"/>
      <c r="E4" s="98"/>
      <c r="F4" s="98"/>
      <c r="G4" s="98"/>
      <c r="H4" s="103"/>
      <c r="I4" s="98"/>
      <c r="J4" s="98"/>
      <c r="K4" s="98"/>
      <c r="L4" s="98"/>
      <c r="N4" s="103"/>
      <c r="O4" s="161" t="str">
        <f>DEOK!G7</f>
        <v>For the 12 months ended: 12/31/2017</v>
      </c>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row>
    <row r="5" spans="2:50">
      <c r="B5" s="131"/>
      <c r="D5" s="99"/>
      <c r="E5" s="98"/>
      <c r="F5" s="98"/>
      <c r="G5" s="98"/>
      <c r="H5" s="103"/>
      <c r="I5" s="98"/>
      <c r="J5" s="98"/>
      <c r="K5" s="98"/>
      <c r="L5" s="98"/>
      <c r="N5" s="103"/>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row>
    <row r="6" spans="2:50">
      <c r="B6" s="209" t="s">
        <v>275</v>
      </c>
      <c r="C6" s="263"/>
      <c r="D6" s="263"/>
      <c r="E6" s="208"/>
      <c r="F6" s="209"/>
      <c r="G6" s="209"/>
      <c r="H6" s="263"/>
      <c r="I6" s="209"/>
      <c r="J6" s="209"/>
      <c r="K6" s="209"/>
      <c r="L6" s="209"/>
      <c r="M6" s="263"/>
      <c r="N6" s="207"/>
      <c r="O6" s="263"/>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row>
    <row r="7" spans="2:50">
      <c r="B7" s="209" t="s">
        <v>319</v>
      </c>
      <c r="C7" s="263"/>
      <c r="D7" s="208"/>
      <c r="E7" s="208"/>
      <c r="F7" s="209"/>
      <c r="G7" s="209"/>
      <c r="H7" s="263"/>
      <c r="I7" s="209"/>
      <c r="J7" s="209"/>
      <c r="K7" s="209"/>
      <c r="L7" s="209"/>
      <c r="M7" s="207"/>
      <c r="N7" s="207"/>
      <c r="O7" s="263"/>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row>
    <row r="8" spans="2:50" ht="14.25" customHeight="1">
      <c r="B8" s="262"/>
      <c r="D8" s="98"/>
      <c r="E8" s="98"/>
      <c r="F8" s="98"/>
      <c r="G8" s="98"/>
      <c r="I8" s="209"/>
      <c r="J8" s="98"/>
      <c r="K8" s="98"/>
      <c r="L8" s="98"/>
      <c r="N8" s="103"/>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row>
    <row r="9" spans="2:50">
      <c r="B9" s="209" t="str">
        <f>DEOK!A11</f>
        <v>DUKE ENERGY OHIO AND DUKE ENERGY KENTUCKY (DEOK)</v>
      </c>
      <c r="C9" s="263"/>
      <c r="D9" s="263"/>
      <c r="E9" s="263"/>
      <c r="F9" s="209"/>
      <c r="G9" s="209"/>
      <c r="H9" s="263"/>
      <c r="I9" s="209"/>
      <c r="J9" s="209"/>
      <c r="K9" s="209"/>
      <c r="L9" s="209"/>
      <c r="M9" s="209"/>
      <c r="N9" s="207"/>
      <c r="O9" s="207"/>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row>
    <row r="10" spans="2:50">
      <c r="B10" s="209" t="s">
        <v>317</v>
      </c>
      <c r="C10" s="263"/>
      <c r="D10" s="263"/>
      <c r="E10" s="263"/>
      <c r="F10" s="208"/>
      <c r="G10" s="208"/>
      <c r="H10" s="208"/>
      <c r="I10" s="208"/>
      <c r="J10" s="208"/>
      <c r="K10" s="208"/>
      <c r="L10" s="208"/>
      <c r="M10" s="208"/>
      <c r="N10" s="208"/>
      <c r="O10" s="208"/>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row>
    <row r="11" spans="2:50">
      <c r="B11" s="209"/>
      <c r="C11" s="263"/>
      <c r="D11" s="263"/>
      <c r="E11" s="263"/>
      <c r="F11" s="208"/>
      <c r="G11" s="208"/>
      <c r="H11" s="208"/>
      <c r="I11" s="208"/>
      <c r="J11" s="208"/>
      <c r="K11" s="208"/>
      <c r="L11" s="208"/>
      <c r="M11" s="208"/>
      <c r="N11" s="208"/>
      <c r="O11" s="208"/>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row>
    <row r="12" spans="2:50" ht="15.75">
      <c r="B12" s="264" t="s">
        <v>291</v>
      </c>
      <c r="C12" s="263"/>
      <c r="D12" s="209"/>
      <c r="E12" s="209"/>
      <c r="F12" s="263"/>
      <c r="G12" s="264"/>
      <c r="H12" s="263"/>
      <c r="I12" s="208"/>
      <c r="J12" s="208"/>
      <c r="K12" s="208"/>
      <c r="L12" s="208"/>
      <c r="M12" s="208"/>
      <c r="N12" s="207"/>
      <c r="O12" s="207"/>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row>
    <row r="13" spans="2:50" ht="15.75">
      <c r="B13" s="131"/>
      <c r="D13" s="98"/>
      <c r="E13" s="98"/>
      <c r="F13" s="139"/>
      <c r="G13" s="139"/>
      <c r="I13" s="102"/>
      <c r="J13" s="102"/>
      <c r="K13" s="102"/>
      <c r="L13" s="102"/>
      <c r="M13" s="102"/>
      <c r="N13" s="103"/>
      <c r="O13" s="103"/>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row>
    <row r="14" spans="2:50" ht="15.75">
      <c r="B14" s="131"/>
      <c r="D14" s="162">
        <v>-1</v>
      </c>
      <c r="E14" s="162">
        <v>-2</v>
      </c>
      <c r="F14" s="162">
        <v>-3</v>
      </c>
      <c r="G14" s="162">
        <v>-4</v>
      </c>
      <c r="H14" s="162">
        <v>-5</v>
      </c>
      <c r="I14" s="162">
        <v>-6</v>
      </c>
      <c r="J14" s="162">
        <v>-7</v>
      </c>
      <c r="K14" s="162">
        <v>-8</v>
      </c>
      <c r="L14" s="162">
        <v>-9</v>
      </c>
      <c r="M14" s="162">
        <v>-10</v>
      </c>
      <c r="N14" s="162">
        <v>-11</v>
      </c>
      <c r="O14" s="162">
        <v>-12</v>
      </c>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row>
    <row r="15" spans="2:50" ht="63">
      <c r="B15" s="163" t="s">
        <v>245</v>
      </c>
      <c r="C15" s="164"/>
      <c r="D15" s="164" t="s">
        <v>221</v>
      </c>
      <c r="E15" s="165" t="s">
        <v>360</v>
      </c>
      <c r="F15" s="166" t="s">
        <v>247</v>
      </c>
      <c r="G15" s="166" t="s">
        <v>240</v>
      </c>
      <c r="H15" s="167" t="s">
        <v>248</v>
      </c>
      <c r="I15" s="166" t="s">
        <v>249</v>
      </c>
      <c r="J15" s="166" t="s">
        <v>244</v>
      </c>
      <c r="K15" s="167" t="s">
        <v>250</v>
      </c>
      <c r="L15" s="166" t="s">
        <v>251</v>
      </c>
      <c r="M15" s="168" t="s">
        <v>252</v>
      </c>
      <c r="N15" s="169" t="s">
        <v>253</v>
      </c>
      <c r="O15" s="168" t="s">
        <v>254</v>
      </c>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row>
    <row r="16" spans="2:50" ht="46.5" customHeight="1">
      <c r="B16" s="170"/>
      <c r="C16" s="171"/>
      <c r="D16" s="171"/>
      <c r="E16" s="171"/>
      <c r="F16" s="172" t="s">
        <v>17</v>
      </c>
      <c r="G16" s="610" t="s">
        <v>865</v>
      </c>
      <c r="H16" s="173"/>
      <c r="I16" s="172" t="s">
        <v>18</v>
      </c>
      <c r="J16" s="610" t="s">
        <v>866</v>
      </c>
      <c r="K16" s="173"/>
      <c r="L16" s="172" t="s">
        <v>257</v>
      </c>
      <c r="M16" s="173" t="s">
        <v>258</v>
      </c>
      <c r="N16" s="174" t="s">
        <v>215</v>
      </c>
      <c r="O16" s="175" t="s">
        <v>259</v>
      </c>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row>
    <row r="17" spans="2:50">
      <c r="B17" s="176"/>
      <c r="C17" s="102"/>
      <c r="D17" s="102"/>
      <c r="E17" s="102"/>
      <c r="F17" s="102"/>
      <c r="G17" s="102"/>
      <c r="H17" s="177"/>
      <c r="I17" s="102"/>
      <c r="J17" s="102"/>
      <c r="K17" s="177"/>
      <c r="L17" s="102"/>
      <c r="M17" s="177"/>
      <c r="N17" s="103"/>
      <c r="O17" s="178"/>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row>
    <row r="18" spans="2:50">
      <c r="B18" s="632" t="s">
        <v>1</v>
      </c>
      <c r="C18" s="633"/>
      <c r="D18" s="634"/>
      <c r="E18" s="635"/>
      <c r="F18" s="641">
        <f>'Appx B - DEO(RTEP)'!O66+'Appx B - DEK(RTEP)'!O66</f>
        <v>0</v>
      </c>
      <c r="G18" s="637"/>
      <c r="H18" s="638">
        <f>'Appx B - DEO(RTEP)'!Q66+'Appx B - DEK(RTEP)'!Q66</f>
        <v>0</v>
      </c>
      <c r="I18" s="641">
        <f>'Appx B - DEO(RTEP)'!R66+'Appx B - DEK(RTEP)'!R66</f>
        <v>0</v>
      </c>
      <c r="J18" s="637"/>
      <c r="K18" s="638">
        <f>'Appx B - DEO(RTEP)'!T66+'Appx B - DEK(RTEP)'!T66</f>
        <v>0</v>
      </c>
      <c r="L18" s="1057">
        <f>'Appx B - DEO(RTEP)'!U66+'Appx B - DEK(RTEP)'!U66</f>
        <v>0</v>
      </c>
      <c r="M18" s="638">
        <f>H18+K18+L18</f>
        <v>0</v>
      </c>
      <c r="N18" s="641">
        <f>'Appx B - DEO(RTEP)'!W66+'Appx B - DEK(RTEP)'!W66</f>
        <v>0</v>
      </c>
      <c r="O18" s="638">
        <f>M18+N18</f>
        <v>0</v>
      </c>
    </row>
    <row r="19" spans="2:50">
      <c r="B19" s="632" t="s">
        <v>262</v>
      </c>
      <c r="C19" s="633"/>
      <c r="D19" s="633"/>
      <c r="E19" s="633"/>
      <c r="F19" s="641">
        <f>'Appx B - DEO(RTEP)'!O67+'Appx B - DEK(RTEP)'!O67</f>
        <v>0</v>
      </c>
      <c r="G19" s="637"/>
      <c r="H19" s="638">
        <f>'Appx B - DEO(RTEP)'!Q67+'Appx B - DEK(RTEP)'!Q67</f>
        <v>0</v>
      </c>
      <c r="I19" s="641">
        <f>'Appx B - DEO(RTEP)'!R67+'Appx B - DEK(RTEP)'!R67</f>
        <v>0</v>
      </c>
      <c r="J19" s="637"/>
      <c r="K19" s="638">
        <f>'Appx B - DEO(RTEP)'!T67+'Appx B - DEK(RTEP)'!T67</f>
        <v>0</v>
      </c>
      <c r="L19" s="1057">
        <f>'Appx B - DEO(RTEP)'!U67+'Appx B - DEK(RTEP)'!U67</f>
        <v>0</v>
      </c>
      <c r="M19" s="638">
        <f>H19+K19+L19</f>
        <v>0</v>
      </c>
      <c r="N19" s="641">
        <f>'Appx B - DEO(RTEP)'!W67+'Appx B - DEK(RTEP)'!W67</f>
        <v>0</v>
      </c>
      <c r="O19" s="638">
        <f>M19+N19</f>
        <v>0</v>
      </c>
    </row>
    <row r="20" spans="2:50">
      <c r="B20" s="632" t="s">
        <v>265</v>
      </c>
      <c r="C20" s="633"/>
      <c r="D20" s="633"/>
      <c r="E20" s="633"/>
      <c r="F20" s="641">
        <f>'Appx B - DEO(RTEP)'!O68+'Appx B - DEK(RTEP)'!O68</f>
        <v>0</v>
      </c>
      <c r="G20" s="637"/>
      <c r="H20" s="638">
        <f>'Appx B - DEO(RTEP)'!Q68+'Appx B - DEK(RTEP)'!Q68</f>
        <v>0</v>
      </c>
      <c r="I20" s="641">
        <f>'Appx B - DEO(RTEP)'!R68+'Appx B - DEK(RTEP)'!R68</f>
        <v>0</v>
      </c>
      <c r="J20" s="637"/>
      <c r="K20" s="638">
        <f>'Appx B - DEO(RTEP)'!T68+'Appx B - DEK(RTEP)'!T68</f>
        <v>0</v>
      </c>
      <c r="L20" s="1057">
        <f>'Appx B - DEO(RTEP)'!U68+'Appx B - DEK(RTEP)'!U68</f>
        <v>0</v>
      </c>
      <c r="M20" s="638">
        <f>H20+K20+L20</f>
        <v>0</v>
      </c>
      <c r="N20" s="641">
        <f>'Appx B - DEO(RTEP)'!W68+'Appx B - DEK(RTEP)'!W68</f>
        <v>0</v>
      </c>
      <c r="O20" s="638">
        <f>M20+N20</f>
        <v>0</v>
      </c>
    </row>
    <row r="21" spans="2:50">
      <c r="B21" s="179"/>
      <c r="H21" s="181"/>
      <c r="K21" s="181"/>
      <c r="M21" s="181"/>
      <c r="O21" s="181"/>
    </row>
    <row r="22" spans="2:50">
      <c r="B22" s="179"/>
      <c r="H22" s="181"/>
      <c r="K22" s="181"/>
      <c r="M22" s="181"/>
      <c r="O22" s="181"/>
    </row>
    <row r="23" spans="2:50">
      <c r="B23" s="179"/>
      <c r="H23" s="181"/>
      <c r="K23" s="181"/>
      <c r="M23" s="181"/>
      <c r="O23" s="181"/>
    </row>
    <row r="24" spans="2:50">
      <c r="B24" s="179"/>
      <c r="H24" s="181"/>
      <c r="K24" s="181"/>
      <c r="M24" s="181"/>
      <c r="O24" s="181"/>
    </row>
    <row r="25" spans="2:50">
      <c r="B25" s="179"/>
      <c r="H25" s="181"/>
      <c r="K25" s="181"/>
      <c r="M25" s="181"/>
      <c r="O25" s="181"/>
    </row>
    <row r="26" spans="2:50">
      <c r="B26" s="179"/>
      <c r="D26" s="184"/>
      <c r="E26" s="184"/>
      <c r="F26" s="184"/>
      <c r="G26" s="184"/>
      <c r="H26" s="185"/>
      <c r="I26" s="184"/>
      <c r="J26" s="184"/>
      <c r="K26" s="185"/>
      <c r="L26" s="184"/>
      <c r="M26" s="185"/>
      <c r="N26" s="184"/>
      <c r="O26" s="185"/>
    </row>
    <row r="27" spans="2:50">
      <c r="B27" s="179"/>
      <c r="D27" s="184"/>
      <c r="E27" s="184"/>
      <c r="F27" s="184"/>
      <c r="G27" s="184"/>
      <c r="H27" s="185"/>
      <c r="I27" s="184"/>
      <c r="J27" s="184"/>
      <c r="K27" s="185"/>
      <c r="L27" s="184"/>
      <c r="M27" s="185"/>
      <c r="N27" s="184"/>
      <c r="O27" s="185"/>
    </row>
    <row r="28" spans="2:50">
      <c r="B28" s="179"/>
      <c r="D28" s="184"/>
      <c r="E28" s="184"/>
      <c r="F28" s="184"/>
      <c r="G28" s="184"/>
      <c r="H28" s="185"/>
      <c r="I28" s="184"/>
      <c r="J28" s="184"/>
      <c r="K28" s="185"/>
      <c r="L28" s="184"/>
      <c r="M28" s="185"/>
      <c r="N28" s="184"/>
      <c r="O28" s="185"/>
    </row>
    <row r="29" spans="2:50">
      <c r="B29" s="179"/>
      <c r="D29" s="184"/>
      <c r="E29" s="184"/>
      <c r="F29" s="184"/>
      <c r="G29" s="184"/>
      <c r="H29" s="185"/>
      <c r="I29" s="184"/>
      <c r="J29" s="184"/>
      <c r="K29" s="185"/>
      <c r="L29" s="184"/>
      <c r="M29" s="185"/>
      <c r="N29" s="184"/>
      <c r="O29" s="185"/>
    </row>
    <row r="30" spans="2:50">
      <c r="B30" s="179"/>
      <c r="D30" s="184"/>
      <c r="E30" s="184"/>
      <c r="F30" s="184"/>
      <c r="G30" s="184"/>
      <c r="H30" s="185"/>
      <c r="I30" s="184"/>
      <c r="J30" s="184"/>
      <c r="K30" s="185"/>
      <c r="L30" s="184"/>
      <c r="M30" s="185"/>
      <c r="N30" s="184"/>
      <c r="O30" s="185"/>
    </row>
    <row r="31" spans="2:50">
      <c r="B31" s="179"/>
      <c r="D31" s="184"/>
      <c r="E31" s="184"/>
      <c r="F31" s="184"/>
      <c r="G31" s="184"/>
      <c r="H31" s="185"/>
      <c r="I31" s="184"/>
      <c r="J31" s="184"/>
      <c r="K31" s="185"/>
      <c r="L31" s="184"/>
      <c r="M31" s="185"/>
      <c r="N31" s="184"/>
      <c r="O31" s="185"/>
    </row>
    <row r="32" spans="2:50">
      <c r="B32" s="179"/>
      <c r="D32" s="184"/>
      <c r="E32" s="184"/>
      <c r="F32" s="184"/>
      <c r="G32" s="184"/>
      <c r="H32" s="185"/>
      <c r="I32" s="184"/>
      <c r="J32" s="184"/>
      <c r="K32" s="185"/>
      <c r="L32" s="184"/>
      <c r="M32" s="185"/>
      <c r="N32" s="184"/>
      <c r="O32" s="185"/>
    </row>
    <row r="33" spans="2:15">
      <c r="B33" s="179"/>
      <c r="D33" s="184"/>
      <c r="E33" s="184"/>
      <c r="F33" s="184"/>
      <c r="G33" s="184"/>
      <c r="H33" s="185"/>
      <c r="I33" s="184"/>
      <c r="J33" s="184"/>
      <c r="K33" s="185"/>
      <c r="L33" s="184"/>
      <c r="M33" s="185"/>
      <c r="N33" s="184"/>
      <c r="O33" s="185"/>
    </row>
    <row r="34" spans="2:15">
      <c r="B34" s="179"/>
      <c r="D34" s="184"/>
      <c r="E34" s="184"/>
      <c r="F34" s="184"/>
      <c r="G34" s="184"/>
      <c r="H34" s="185"/>
      <c r="I34" s="184"/>
      <c r="J34" s="184"/>
      <c r="K34" s="185"/>
      <c r="L34" s="184"/>
      <c r="M34" s="185"/>
      <c r="N34" s="184"/>
      <c r="O34" s="185"/>
    </row>
    <row r="35" spans="2:15">
      <c r="B35" s="179"/>
      <c r="D35" s="184"/>
      <c r="E35" s="184"/>
      <c r="F35" s="184"/>
      <c r="G35" s="184"/>
      <c r="H35" s="185"/>
      <c r="I35" s="184"/>
      <c r="J35" s="184"/>
      <c r="K35" s="185"/>
      <c r="L35" s="184"/>
      <c r="M35" s="185"/>
      <c r="N35" s="184"/>
      <c r="O35" s="185"/>
    </row>
    <row r="36" spans="2:15">
      <c r="B36" s="179"/>
      <c r="D36" s="184"/>
      <c r="E36" s="184"/>
      <c r="F36" s="184"/>
      <c r="G36" s="184"/>
      <c r="H36" s="185"/>
      <c r="I36" s="184"/>
      <c r="J36" s="184"/>
      <c r="K36" s="185"/>
      <c r="L36" s="184"/>
      <c r="M36" s="185"/>
      <c r="N36" s="184"/>
      <c r="O36" s="185"/>
    </row>
    <row r="37" spans="2:15">
      <c r="B37" s="186"/>
      <c r="C37" s="187"/>
      <c r="D37" s="188"/>
      <c r="E37" s="188"/>
      <c r="F37" s="188"/>
      <c r="G37" s="188"/>
      <c r="H37" s="189"/>
      <c r="I37" s="188"/>
      <c r="J37" s="188"/>
      <c r="K37" s="189"/>
      <c r="L37" s="188"/>
      <c r="M37" s="189"/>
      <c r="N37" s="188"/>
      <c r="O37" s="189"/>
    </row>
    <row r="38" spans="2:15">
      <c r="B38" s="133" t="s">
        <v>268</v>
      </c>
      <c r="C38" s="155"/>
      <c r="D38" s="99" t="s">
        <v>269</v>
      </c>
      <c r="E38" s="99"/>
      <c r="F38" s="105"/>
      <c r="G38" s="105"/>
      <c r="H38" s="103"/>
      <c r="I38" s="103"/>
      <c r="J38" s="103"/>
      <c r="K38" s="103"/>
      <c r="L38" s="103"/>
      <c r="M38" s="962">
        <f>SUM(M18:M37)</f>
        <v>0</v>
      </c>
      <c r="N38" s="962">
        <f>SUM(N18:N37)</f>
        <v>0</v>
      </c>
      <c r="O38" s="962">
        <f>SUM(O18:O37)</f>
        <v>0</v>
      </c>
    </row>
    <row r="39" spans="2:15">
      <c r="B39" s="93"/>
      <c r="C39" s="184"/>
      <c r="D39" s="184"/>
      <c r="E39" s="184"/>
      <c r="F39" s="184"/>
      <c r="G39" s="184"/>
      <c r="H39" s="184"/>
      <c r="I39" s="184"/>
      <c r="J39" s="184"/>
      <c r="K39" s="184"/>
      <c r="L39" s="184"/>
      <c r="M39" s="963"/>
      <c r="N39" s="963"/>
      <c r="O39" s="963"/>
    </row>
    <row r="40" spans="2:15">
      <c r="B40" s="190">
        <v>3</v>
      </c>
      <c r="C40" s="184"/>
      <c r="D40" s="611" t="s">
        <v>605</v>
      </c>
      <c r="E40" s="605"/>
      <c r="F40" s="605"/>
      <c r="G40" s="605"/>
      <c r="H40" s="605"/>
      <c r="I40" s="605"/>
      <c r="J40" s="605"/>
      <c r="K40" s="605"/>
      <c r="L40" s="605"/>
      <c r="M40" s="962"/>
      <c r="N40" s="963"/>
      <c r="O40" s="962">
        <f>O38</f>
        <v>0</v>
      </c>
    </row>
    <row r="41" spans="2:15">
      <c r="B41" s="184"/>
      <c r="C41" s="184"/>
      <c r="D41" s="605"/>
      <c r="E41" s="605"/>
      <c r="F41" s="605"/>
      <c r="G41" s="605"/>
      <c r="H41" s="605"/>
      <c r="I41" s="605"/>
      <c r="J41" s="605"/>
      <c r="K41" s="605"/>
      <c r="L41" s="605"/>
      <c r="M41" s="605"/>
      <c r="N41" s="605"/>
      <c r="O41" s="605"/>
    </row>
    <row r="42" spans="2:15">
      <c r="B42" s="184"/>
      <c r="C42" s="184"/>
      <c r="D42" s="605"/>
      <c r="E42" s="605"/>
      <c r="F42" s="605"/>
      <c r="G42" s="605"/>
      <c r="H42" s="605"/>
      <c r="I42" s="605"/>
      <c r="J42" s="605"/>
      <c r="K42" s="605"/>
      <c r="L42" s="605"/>
      <c r="M42" s="605"/>
      <c r="N42" s="605"/>
      <c r="O42" s="605"/>
    </row>
    <row r="43" spans="2:15">
      <c r="B43" s="98" t="s">
        <v>98</v>
      </c>
      <c r="C43" s="184"/>
      <c r="D43" s="605"/>
      <c r="E43" s="605"/>
      <c r="F43" s="605"/>
      <c r="G43" s="605"/>
      <c r="H43" s="605"/>
      <c r="I43" s="605"/>
      <c r="J43" s="605"/>
      <c r="K43" s="605"/>
      <c r="L43" s="605"/>
      <c r="M43" s="605"/>
      <c r="N43" s="605"/>
      <c r="O43" s="605"/>
    </row>
    <row r="44" spans="2:15" ht="15.75" thickBot="1">
      <c r="B44" s="191" t="s">
        <v>99</v>
      </c>
      <c r="C44" s="184"/>
      <c r="D44" s="605"/>
      <c r="E44" s="605"/>
      <c r="F44" s="605"/>
      <c r="G44" s="605"/>
      <c r="H44" s="605"/>
      <c r="I44" s="605"/>
      <c r="J44" s="605"/>
      <c r="K44" s="605"/>
      <c r="L44" s="605"/>
      <c r="M44" s="605"/>
      <c r="N44" s="605"/>
      <c r="O44" s="605"/>
    </row>
    <row r="45" spans="2:15">
      <c r="B45" s="192" t="s">
        <v>100</v>
      </c>
      <c r="C45" s="101"/>
      <c r="D45" s="1079" t="s">
        <v>667</v>
      </c>
      <c r="E45" s="1080"/>
      <c r="F45" s="1080"/>
      <c r="G45" s="1080"/>
      <c r="H45" s="1080"/>
      <c r="I45" s="1080"/>
      <c r="J45" s="1080"/>
      <c r="K45" s="1080"/>
      <c r="L45" s="1080"/>
      <c r="M45" s="1080"/>
      <c r="N45" s="1080"/>
      <c r="O45" s="1080"/>
    </row>
    <row r="46" spans="2:15">
      <c r="B46" s="192" t="s">
        <v>101</v>
      </c>
      <c r="C46" s="101"/>
      <c r="D46" s="1079" t="s">
        <v>668</v>
      </c>
      <c r="E46" s="1080"/>
      <c r="F46" s="1080"/>
      <c r="G46" s="1080"/>
      <c r="H46" s="1080"/>
      <c r="I46" s="1080"/>
      <c r="J46" s="1080"/>
      <c r="K46" s="1080"/>
      <c r="L46" s="1080"/>
      <c r="M46" s="1080"/>
      <c r="N46" s="1080"/>
      <c r="O46" s="1080"/>
    </row>
    <row r="47" spans="2:15" ht="27.75" customHeight="1">
      <c r="B47" s="193" t="s">
        <v>102</v>
      </c>
      <c r="C47" s="101"/>
      <c r="D47" s="1081" t="s">
        <v>270</v>
      </c>
      <c r="E47" s="1081"/>
      <c r="F47" s="1081"/>
      <c r="G47" s="1081"/>
      <c r="H47" s="1081"/>
      <c r="I47" s="1081"/>
      <c r="J47" s="1081"/>
      <c r="K47" s="1081"/>
      <c r="L47" s="1081"/>
      <c r="M47" s="1081"/>
      <c r="N47" s="1081"/>
      <c r="O47" s="1081"/>
    </row>
    <row r="48" spans="2:15" ht="15" customHeight="1">
      <c r="B48" s="193" t="s">
        <v>103</v>
      </c>
      <c r="C48" s="101"/>
      <c r="D48" s="1081" t="s">
        <v>271</v>
      </c>
      <c r="E48" s="1081"/>
      <c r="F48" s="1081"/>
      <c r="G48" s="1081"/>
      <c r="H48" s="1081"/>
      <c r="I48" s="1081"/>
      <c r="J48" s="1081"/>
      <c r="K48" s="1081"/>
      <c r="L48" s="1081"/>
      <c r="M48" s="1081"/>
      <c r="N48" s="1081"/>
      <c r="O48" s="1081"/>
    </row>
    <row r="49" spans="1:15">
      <c r="B49" s="192" t="s">
        <v>104</v>
      </c>
      <c r="C49" s="101"/>
      <c r="D49" s="1080" t="s">
        <v>334</v>
      </c>
      <c r="E49" s="1080"/>
      <c r="F49" s="1080"/>
      <c r="G49" s="1080"/>
      <c r="H49" s="1080"/>
      <c r="I49" s="1080"/>
      <c r="J49" s="1080"/>
      <c r="K49" s="1080"/>
      <c r="L49" s="1080"/>
      <c r="M49" s="1080"/>
      <c r="N49" s="1080"/>
      <c r="O49" s="1080"/>
    </row>
    <row r="50" spans="1:15">
      <c r="B50" s="192" t="s">
        <v>105</v>
      </c>
      <c r="C50" s="101"/>
      <c r="D50" s="1080" t="s">
        <v>272</v>
      </c>
      <c r="E50" s="1080"/>
      <c r="F50" s="1080"/>
      <c r="G50" s="1080"/>
      <c r="H50" s="1080"/>
      <c r="I50" s="1080"/>
      <c r="J50" s="1080"/>
      <c r="K50" s="1080"/>
      <c r="L50" s="1080"/>
      <c r="M50" s="1080"/>
      <c r="N50" s="1080"/>
      <c r="O50" s="1080"/>
    </row>
    <row r="51" spans="1:15">
      <c r="B51" s="192" t="s">
        <v>106</v>
      </c>
      <c r="C51" s="101"/>
      <c r="D51" s="1079" t="s">
        <v>604</v>
      </c>
      <c r="E51" s="1080"/>
      <c r="F51" s="1080"/>
      <c r="G51" s="1080"/>
      <c r="H51" s="1080"/>
      <c r="I51" s="1080"/>
      <c r="J51" s="1080"/>
      <c r="K51" s="1080"/>
      <c r="L51" s="1080"/>
      <c r="M51" s="1080"/>
      <c r="N51" s="1080"/>
      <c r="O51" s="1080"/>
    </row>
    <row r="52" spans="1:15">
      <c r="B52" s="383" t="s">
        <v>108</v>
      </c>
      <c r="C52" s="130"/>
      <c r="D52" s="1079" t="s">
        <v>358</v>
      </c>
      <c r="E52" s="1079"/>
      <c r="F52" s="1079"/>
      <c r="G52" s="1079"/>
      <c r="H52" s="1079"/>
      <c r="I52" s="1079"/>
      <c r="J52" s="1079"/>
      <c r="K52" s="1079"/>
      <c r="L52" s="1079"/>
      <c r="M52" s="1079"/>
      <c r="N52" s="1079"/>
      <c r="O52" s="1079"/>
    </row>
    <row r="53" spans="1:15">
      <c r="A53" s="144"/>
      <c r="B53" s="184"/>
      <c r="C53" s="184"/>
      <c r="D53" s="184"/>
      <c r="E53" s="184"/>
      <c r="F53" s="184"/>
    </row>
    <row r="54" spans="1:15">
      <c r="A54" s="144"/>
      <c r="B54" s="184"/>
      <c r="C54" s="184"/>
      <c r="D54" s="184"/>
      <c r="E54" s="184"/>
      <c r="F54" s="184"/>
    </row>
    <row r="55" spans="1:15">
      <c r="A55" s="184"/>
      <c r="B55" s="184"/>
      <c r="C55" s="184"/>
      <c r="D55" s="184"/>
      <c r="E55" s="184"/>
      <c r="F55" s="184"/>
    </row>
    <row r="56" spans="1:15">
      <c r="A56" s="184"/>
      <c r="B56" s="184"/>
      <c r="C56" s="184"/>
      <c r="D56" s="184"/>
      <c r="E56" s="184"/>
      <c r="F56" s="184"/>
    </row>
    <row r="57" spans="1:15">
      <c r="A57" s="184"/>
      <c r="B57" s="184"/>
      <c r="C57" s="184"/>
      <c r="D57" s="184"/>
      <c r="E57" s="184"/>
      <c r="F57" s="184"/>
    </row>
    <row r="58" spans="1:15">
      <c r="A58" s="184"/>
      <c r="B58" s="184"/>
      <c r="C58" s="184"/>
      <c r="D58" s="184"/>
      <c r="E58" s="184"/>
      <c r="F58" s="184"/>
    </row>
    <row r="59" spans="1:15">
      <c r="A59" s="184"/>
      <c r="B59" s="184"/>
      <c r="C59" s="184"/>
      <c r="D59" s="184"/>
      <c r="E59" s="184"/>
      <c r="F59" s="184"/>
    </row>
    <row r="60" spans="1:15">
      <c r="A60" s="184"/>
      <c r="B60" s="184"/>
      <c r="C60" s="184"/>
      <c r="D60" s="184"/>
      <c r="E60" s="184"/>
      <c r="F60" s="184"/>
    </row>
    <row r="61" spans="1:15">
      <c r="A61" s="184"/>
      <c r="B61" s="184"/>
      <c r="C61" s="184"/>
      <c r="D61" s="184"/>
      <c r="E61" s="184"/>
      <c r="F61" s="184"/>
    </row>
    <row r="62" spans="1:15">
      <c r="A62" s="184"/>
      <c r="B62" s="184"/>
      <c r="C62" s="184"/>
      <c r="D62" s="184"/>
      <c r="E62" s="184"/>
      <c r="F62" s="184"/>
    </row>
    <row r="63" spans="1:15">
      <c r="A63" s="184"/>
      <c r="B63" s="184"/>
      <c r="C63" s="184"/>
      <c r="D63" s="184"/>
      <c r="E63" s="184"/>
      <c r="F63" s="184"/>
    </row>
    <row r="64" spans="1:15">
      <c r="A64" s="184"/>
      <c r="B64" s="184"/>
      <c r="C64" s="184"/>
      <c r="D64" s="184"/>
      <c r="E64" s="184"/>
      <c r="F64" s="184"/>
    </row>
    <row r="65" spans="1:6">
      <c r="A65" s="184"/>
      <c r="B65" s="184"/>
      <c r="C65" s="184"/>
      <c r="D65" s="184"/>
      <c r="E65" s="184"/>
      <c r="F65" s="184"/>
    </row>
    <row r="66" spans="1:6">
      <c r="A66" s="184"/>
      <c r="B66" s="184"/>
      <c r="C66" s="184"/>
      <c r="D66" s="184"/>
      <c r="E66" s="184"/>
      <c r="F66" s="184"/>
    </row>
    <row r="67" spans="1:6">
      <c r="A67" s="184"/>
      <c r="B67" s="184"/>
      <c r="C67" s="184"/>
      <c r="D67" s="184"/>
      <c r="E67" s="184"/>
      <c r="F67" s="184"/>
    </row>
    <row r="68" spans="1:6">
      <c r="A68" s="184"/>
      <c r="B68" s="184"/>
      <c r="C68" s="184"/>
      <c r="D68" s="184"/>
      <c r="E68" s="184"/>
      <c r="F68" s="184"/>
    </row>
    <row r="69" spans="1:6">
      <c r="A69" s="184"/>
      <c r="B69" s="184"/>
      <c r="C69" s="184"/>
      <c r="D69" s="184"/>
      <c r="E69" s="184"/>
      <c r="F69" s="184"/>
    </row>
    <row r="70" spans="1:6">
      <c r="A70" s="184"/>
      <c r="B70" s="184"/>
      <c r="C70" s="184"/>
      <c r="D70" s="184"/>
      <c r="E70" s="184"/>
      <c r="F70" s="184"/>
    </row>
    <row r="71" spans="1:6">
      <c r="A71" s="184"/>
      <c r="B71" s="184"/>
      <c r="C71" s="184"/>
      <c r="D71" s="184"/>
      <c r="E71" s="184"/>
      <c r="F71" s="184"/>
    </row>
    <row r="72" spans="1:6">
      <c r="A72" s="184"/>
      <c r="B72" s="184"/>
      <c r="C72" s="184"/>
      <c r="D72" s="184"/>
      <c r="E72" s="184"/>
      <c r="F72" s="184"/>
    </row>
    <row r="73" spans="1:6">
      <c r="A73" s="184"/>
      <c r="B73" s="184"/>
      <c r="C73" s="184"/>
      <c r="D73" s="184"/>
      <c r="E73" s="184"/>
      <c r="F73" s="184"/>
    </row>
    <row r="74" spans="1:6">
      <c r="A74" s="184"/>
      <c r="B74" s="184"/>
      <c r="C74" s="184"/>
      <c r="D74" s="184"/>
      <c r="E74" s="184"/>
      <c r="F74" s="184"/>
    </row>
    <row r="75" spans="1:6">
      <c r="A75" s="184"/>
      <c r="B75" s="184"/>
      <c r="C75" s="184"/>
      <c r="D75" s="184"/>
      <c r="E75" s="184"/>
      <c r="F75" s="184"/>
    </row>
    <row r="76" spans="1:6">
      <c r="A76" s="184"/>
      <c r="B76" s="184"/>
      <c r="C76" s="184"/>
      <c r="D76" s="184"/>
      <c r="E76" s="184"/>
      <c r="F76" s="184"/>
    </row>
    <row r="77" spans="1:6">
      <c r="A77" s="184"/>
      <c r="B77" s="184"/>
      <c r="C77" s="184"/>
      <c r="D77" s="184"/>
      <c r="E77" s="184"/>
      <c r="F77" s="184"/>
    </row>
    <row r="78" spans="1:6">
      <c r="A78" s="184"/>
      <c r="B78" s="184"/>
      <c r="C78" s="184"/>
      <c r="D78" s="184"/>
      <c r="E78" s="184"/>
      <c r="F78" s="184"/>
    </row>
    <row r="79" spans="1:6">
      <c r="A79" s="184"/>
      <c r="B79" s="184"/>
      <c r="C79" s="184"/>
      <c r="D79" s="184"/>
      <c r="E79" s="184"/>
      <c r="F79" s="184"/>
    </row>
    <row r="80" spans="1:6">
      <c r="A80" s="184"/>
      <c r="B80" s="184"/>
      <c r="C80" s="184"/>
      <c r="D80" s="184"/>
      <c r="E80" s="184"/>
      <c r="F80" s="184"/>
    </row>
    <row r="81" spans="1:6">
      <c r="A81" s="184"/>
      <c r="B81" s="184"/>
      <c r="C81" s="184"/>
      <c r="D81" s="184"/>
      <c r="E81" s="184"/>
      <c r="F81" s="184"/>
    </row>
    <row r="82" spans="1:6">
      <c r="A82" s="184"/>
      <c r="B82" s="184"/>
      <c r="C82" s="184"/>
      <c r="D82" s="184"/>
      <c r="E82" s="184"/>
      <c r="F82" s="184"/>
    </row>
    <row r="83" spans="1:6">
      <c r="A83" s="184"/>
      <c r="B83" s="184"/>
      <c r="C83" s="184"/>
      <c r="D83" s="184"/>
      <c r="E83" s="184"/>
      <c r="F83" s="184"/>
    </row>
    <row r="84" spans="1:6">
      <c r="A84" s="184"/>
      <c r="B84" s="184"/>
      <c r="C84" s="184"/>
      <c r="D84" s="184"/>
      <c r="E84" s="184"/>
      <c r="F84" s="184"/>
    </row>
    <row r="85" spans="1:6">
      <c r="A85" s="184"/>
      <c r="B85" s="184"/>
      <c r="C85" s="184"/>
      <c r="D85" s="184"/>
      <c r="E85" s="184"/>
      <c r="F85" s="184"/>
    </row>
    <row r="86" spans="1:6">
      <c r="A86" s="184"/>
      <c r="B86" s="184"/>
      <c r="C86" s="184"/>
      <c r="D86" s="184"/>
      <c r="E86" s="184"/>
      <c r="F86" s="184"/>
    </row>
    <row r="87" spans="1:6">
      <c r="A87" s="184"/>
      <c r="B87" s="184"/>
      <c r="C87" s="184"/>
      <c r="D87" s="184"/>
      <c r="E87" s="184"/>
      <c r="F87" s="184"/>
    </row>
    <row r="88" spans="1:6">
      <c r="A88" s="184"/>
      <c r="B88" s="184"/>
      <c r="C88" s="184"/>
      <c r="D88" s="184"/>
      <c r="E88" s="184"/>
      <c r="F88" s="184"/>
    </row>
    <row r="89" spans="1:6">
      <c r="A89" s="184"/>
      <c r="B89" s="184"/>
      <c r="C89" s="184"/>
      <c r="D89" s="184"/>
      <c r="E89" s="184"/>
      <c r="F89" s="184"/>
    </row>
    <row r="90" spans="1:6">
      <c r="A90" s="184"/>
      <c r="B90" s="184"/>
      <c r="C90" s="184"/>
      <c r="D90" s="184"/>
      <c r="E90" s="184"/>
      <c r="F90" s="184"/>
    </row>
    <row r="91" spans="1:6">
      <c r="A91" s="184"/>
      <c r="B91" s="184"/>
      <c r="C91" s="184"/>
      <c r="D91" s="184"/>
      <c r="E91" s="184"/>
      <c r="F91" s="184"/>
    </row>
    <row r="92" spans="1:6">
      <c r="A92" s="184"/>
      <c r="B92" s="184"/>
      <c r="C92" s="184"/>
      <c r="D92" s="184"/>
      <c r="E92" s="184"/>
      <c r="F92" s="184"/>
    </row>
    <row r="93" spans="1:6">
      <c r="A93" s="184"/>
      <c r="B93" s="184"/>
      <c r="C93" s="184"/>
      <c r="D93" s="184"/>
      <c r="E93" s="184"/>
      <c r="F93" s="184"/>
    </row>
    <row r="94" spans="1:6">
      <c r="A94" s="184"/>
      <c r="B94" s="184"/>
      <c r="C94" s="184"/>
      <c r="D94" s="184"/>
      <c r="E94" s="184"/>
      <c r="F94" s="184"/>
    </row>
    <row r="95" spans="1:6">
      <c r="A95" s="184"/>
      <c r="B95" s="184"/>
      <c r="C95" s="184"/>
      <c r="D95" s="184"/>
      <c r="E95" s="184"/>
      <c r="F95" s="184"/>
    </row>
    <row r="96" spans="1:6">
      <c r="A96" s="184"/>
      <c r="B96" s="184"/>
      <c r="C96" s="184"/>
      <c r="D96" s="184"/>
      <c r="E96" s="184"/>
      <c r="F96" s="184"/>
    </row>
    <row r="97" spans="1:6">
      <c r="A97" s="184"/>
      <c r="B97" s="184"/>
      <c r="C97" s="184"/>
      <c r="D97" s="184"/>
      <c r="E97" s="184"/>
      <c r="F97" s="184"/>
    </row>
    <row r="98" spans="1:6">
      <c r="A98" s="184"/>
      <c r="B98" s="184"/>
      <c r="C98" s="184"/>
      <c r="D98" s="184"/>
      <c r="E98" s="184"/>
      <c r="F98" s="184"/>
    </row>
    <row r="99" spans="1:6">
      <c r="A99" s="184"/>
      <c r="B99" s="184"/>
      <c r="C99" s="184"/>
      <c r="D99" s="184"/>
      <c r="E99" s="184"/>
      <c r="F99" s="184"/>
    </row>
    <row r="100" spans="1:6">
      <c r="A100" s="184"/>
      <c r="B100" s="184"/>
      <c r="C100" s="184"/>
      <c r="D100" s="184"/>
      <c r="E100" s="184"/>
      <c r="F100" s="184"/>
    </row>
    <row r="101" spans="1:6">
      <c r="A101" s="184"/>
      <c r="B101" s="184"/>
      <c r="C101" s="184"/>
      <c r="D101" s="184"/>
      <c r="E101" s="184"/>
      <c r="F101" s="184"/>
    </row>
    <row r="102" spans="1:6">
      <c r="A102" s="184"/>
      <c r="B102" s="184"/>
      <c r="C102" s="184"/>
      <c r="D102" s="184"/>
      <c r="E102" s="184"/>
      <c r="F102" s="184"/>
    </row>
    <row r="103" spans="1:6">
      <c r="A103" s="184"/>
      <c r="B103" s="184"/>
      <c r="C103" s="184"/>
      <c r="D103" s="184"/>
      <c r="E103" s="184"/>
      <c r="F103" s="184"/>
    </row>
    <row r="104" spans="1:6">
      <c r="A104" s="184"/>
      <c r="B104" s="184"/>
      <c r="C104" s="184"/>
      <c r="D104" s="184"/>
      <c r="E104" s="184"/>
      <c r="F104" s="184"/>
    </row>
    <row r="105" spans="1:6">
      <c r="A105" s="184"/>
      <c r="B105" s="184"/>
      <c r="C105" s="184"/>
      <c r="D105" s="184"/>
      <c r="E105" s="184"/>
      <c r="F105" s="184"/>
    </row>
    <row r="106" spans="1:6">
      <c r="A106" s="184"/>
      <c r="B106" s="184"/>
      <c r="C106" s="184"/>
      <c r="D106" s="184"/>
      <c r="E106" s="184"/>
      <c r="F106" s="184"/>
    </row>
    <row r="107" spans="1:6">
      <c r="A107" s="184"/>
      <c r="B107" s="184"/>
      <c r="C107" s="184"/>
      <c r="D107" s="184"/>
      <c r="E107" s="184"/>
      <c r="F107" s="184"/>
    </row>
    <row r="108" spans="1:6">
      <c r="A108" s="184"/>
      <c r="B108" s="184"/>
      <c r="C108" s="184"/>
      <c r="D108" s="184"/>
      <c r="E108" s="184"/>
      <c r="F108" s="184"/>
    </row>
    <row r="109" spans="1:6">
      <c r="A109" s="184"/>
      <c r="B109" s="184"/>
      <c r="C109" s="184"/>
      <c r="D109" s="184"/>
      <c r="E109" s="184"/>
      <c r="F109" s="184"/>
    </row>
    <row r="110" spans="1:6">
      <c r="A110" s="184"/>
      <c r="B110" s="184"/>
      <c r="C110" s="184"/>
      <c r="D110" s="184"/>
      <c r="E110" s="184"/>
      <c r="F110" s="184"/>
    </row>
    <row r="111" spans="1:6">
      <c r="A111" s="184"/>
      <c r="B111" s="184"/>
      <c r="C111" s="184"/>
      <c r="D111" s="184"/>
      <c r="E111" s="184"/>
      <c r="F111" s="184"/>
    </row>
    <row r="112" spans="1:6">
      <c r="A112" s="184"/>
      <c r="B112" s="184"/>
      <c r="C112" s="184"/>
      <c r="D112" s="184"/>
      <c r="E112" s="184"/>
      <c r="F112" s="184"/>
    </row>
    <row r="113" spans="1:6">
      <c r="A113" s="184"/>
      <c r="B113" s="184"/>
      <c r="C113" s="184"/>
      <c r="D113" s="184"/>
      <c r="E113" s="184"/>
      <c r="F113" s="184"/>
    </row>
    <row r="114" spans="1:6">
      <c r="A114" s="184"/>
      <c r="B114" s="184"/>
      <c r="C114" s="184"/>
      <c r="D114" s="184"/>
      <c r="E114" s="184"/>
      <c r="F114" s="184"/>
    </row>
    <row r="115" spans="1:6">
      <c r="A115" s="184"/>
      <c r="B115" s="184"/>
      <c r="C115" s="184"/>
      <c r="D115" s="184"/>
      <c r="E115" s="184"/>
      <c r="F115" s="184"/>
    </row>
    <row r="116" spans="1:6">
      <c r="A116" s="184"/>
      <c r="B116" s="184"/>
      <c r="C116" s="184"/>
      <c r="D116" s="184"/>
      <c r="E116" s="184"/>
      <c r="F116" s="184"/>
    </row>
    <row r="117" spans="1:6">
      <c r="A117" s="184"/>
      <c r="B117" s="184"/>
      <c r="C117" s="184"/>
      <c r="D117" s="184"/>
      <c r="E117" s="184"/>
      <c r="F117" s="184"/>
    </row>
    <row r="118" spans="1:6">
      <c r="A118" s="184"/>
      <c r="B118" s="184"/>
      <c r="C118" s="184"/>
      <c r="D118" s="184"/>
      <c r="E118" s="184"/>
      <c r="F118" s="184"/>
    </row>
    <row r="119" spans="1:6">
      <c r="A119" s="184"/>
      <c r="B119" s="184"/>
      <c r="C119" s="184"/>
      <c r="D119" s="184"/>
      <c r="E119" s="184"/>
      <c r="F119" s="184"/>
    </row>
    <row r="120" spans="1:6">
      <c r="A120" s="184"/>
      <c r="B120" s="184"/>
      <c r="C120" s="184"/>
      <c r="D120" s="184"/>
      <c r="E120" s="184"/>
      <c r="F120" s="184"/>
    </row>
    <row r="121" spans="1:6">
      <c r="A121" s="184"/>
      <c r="B121" s="184"/>
      <c r="C121" s="184"/>
      <c r="D121" s="184"/>
      <c r="E121" s="184"/>
      <c r="F121" s="184"/>
    </row>
    <row r="122" spans="1:6">
      <c r="A122" s="184"/>
      <c r="B122" s="184"/>
      <c r="C122" s="184"/>
      <c r="D122" s="184"/>
      <c r="E122" s="184"/>
      <c r="F122" s="184"/>
    </row>
    <row r="123" spans="1:6">
      <c r="A123" s="184"/>
      <c r="B123" s="184"/>
      <c r="C123" s="184"/>
      <c r="D123" s="184"/>
      <c r="E123" s="184"/>
      <c r="F123" s="184"/>
    </row>
    <row r="124" spans="1:6">
      <c r="A124" s="184"/>
      <c r="B124" s="184"/>
      <c r="C124" s="184"/>
      <c r="D124" s="184"/>
      <c r="E124" s="184"/>
      <c r="F124" s="184"/>
    </row>
    <row r="125" spans="1:6">
      <c r="A125" s="184"/>
      <c r="B125" s="184"/>
      <c r="C125" s="184"/>
      <c r="D125" s="184"/>
      <c r="E125" s="184"/>
      <c r="F125" s="184"/>
    </row>
    <row r="126" spans="1:6">
      <c r="A126" s="184"/>
      <c r="B126" s="184"/>
      <c r="C126" s="184"/>
      <c r="D126" s="184"/>
      <c r="E126" s="184"/>
      <c r="F126" s="184"/>
    </row>
    <row r="127" spans="1:6">
      <c r="A127" s="184"/>
      <c r="B127" s="184"/>
      <c r="C127" s="184"/>
      <c r="D127" s="184"/>
      <c r="E127" s="184"/>
      <c r="F127" s="184"/>
    </row>
    <row r="128" spans="1:6">
      <c r="A128" s="184"/>
      <c r="B128" s="184"/>
      <c r="C128" s="184"/>
      <c r="D128" s="184"/>
      <c r="E128" s="184"/>
      <c r="F128" s="184"/>
    </row>
    <row r="129" spans="1:6">
      <c r="A129" s="184"/>
      <c r="B129" s="184"/>
      <c r="C129" s="184"/>
      <c r="D129" s="184"/>
      <c r="E129" s="184"/>
      <c r="F129" s="184"/>
    </row>
    <row r="130" spans="1:6">
      <c r="A130" s="184"/>
      <c r="B130" s="184"/>
      <c r="C130" s="184"/>
      <c r="D130" s="184"/>
      <c r="E130" s="184"/>
      <c r="F130" s="184"/>
    </row>
    <row r="131" spans="1:6">
      <c r="A131" s="184"/>
      <c r="B131" s="184"/>
      <c r="C131" s="184"/>
      <c r="D131" s="184"/>
      <c r="E131" s="184"/>
      <c r="F131" s="184"/>
    </row>
    <row r="132" spans="1:6">
      <c r="A132" s="184"/>
      <c r="B132" s="184"/>
      <c r="C132" s="184"/>
      <c r="D132" s="184"/>
      <c r="E132" s="184"/>
      <c r="F132" s="184"/>
    </row>
    <row r="133" spans="1:6">
      <c r="A133" s="184"/>
      <c r="B133" s="184"/>
      <c r="C133" s="184"/>
      <c r="D133" s="184"/>
      <c r="E133" s="184"/>
      <c r="F133" s="184"/>
    </row>
    <row r="134" spans="1:6">
      <c r="A134" s="184"/>
      <c r="B134" s="184"/>
      <c r="C134" s="184"/>
      <c r="D134" s="184"/>
      <c r="E134" s="184"/>
      <c r="F134" s="184"/>
    </row>
    <row r="135" spans="1:6">
      <c r="A135" s="184"/>
      <c r="B135" s="184"/>
      <c r="C135" s="184"/>
      <c r="D135" s="184"/>
      <c r="E135" s="184"/>
      <c r="F135" s="184"/>
    </row>
    <row r="136" spans="1:6">
      <c r="A136" s="184"/>
      <c r="B136" s="184"/>
      <c r="C136" s="184"/>
      <c r="D136" s="184"/>
      <c r="E136" s="184"/>
      <c r="F136" s="184"/>
    </row>
    <row r="137" spans="1:6">
      <c r="A137" s="184"/>
      <c r="B137" s="184"/>
      <c r="C137" s="184"/>
      <c r="D137" s="184"/>
      <c r="E137" s="184"/>
      <c r="F137" s="184"/>
    </row>
    <row r="138" spans="1:6">
      <c r="A138" s="184"/>
      <c r="B138" s="184"/>
      <c r="C138" s="184"/>
      <c r="D138" s="184"/>
      <c r="E138" s="184"/>
      <c r="F138" s="184"/>
    </row>
    <row r="139" spans="1:6">
      <c r="A139" s="184"/>
      <c r="B139" s="184"/>
      <c r="C139" s="184"/>
      <c r="D139" s="184"/>
      <c r="E139" s="184"/>
      <c r="F139" s="184"/>
    </row>
    <row r="140" spans="1:6">
      <c r="A140" s="184"/>
      <c r="B140" s="184"/>
      <c r="C140" s="184"/>
      <c r="D140" s="184"/>
      <c r="E140" s="184"/>
      <c r="F140" s="184"/>
    </row>
    <row r="141" spans="1:6">
      <c r="A141" s="184"/>
      <c r="B141" s="184"/>
      <c r="C141" s="184"/>
      <c r="D141" s="184"/>
      <c r="E141" s="184"/>
      <c r="F141" s="184"/>
    </row>
    <row r="142" spans="1:6">
      <c r="A142" s="184"/>
      <c r="B142" s="184"/>
      <c r="C142" s="184"/>
      <c r="D142" s="184"/>
      <c r="E142" s="184"/>
      <c r="F142" s="184"/>
    </row>
    <row r="143" spans="1:6">
      <c r="A143" s="184"/>
      <c r="B143" s="184"/>
      <c r="C143" s="184"/>
      <c r="D143" s="184"/>
      <c r="E143" s="184"/>
      <c r="F143" s="184"/>
    </row>
    <row r="144" spans="1:6">
      <c r="A144" s="184"/>
      <c r="B144" s="184"/>
      <c r="C144" s="184"/>
      <c r="D144" s="184"/>
      <c r="E144" s="184"/>
      <c r="F144" s="184"/>
    </row>
    <row r="145" spans="1:6">
      <c r="A145" s="184"/>
      <c r="B145" s="184"/>
      <c r="C145" s="184"/>
      <c r="D145" s="184"/>
      <c r="E145" s="184"/>
      <c r="F145" s="184"/>
    </row>
    <row r="146" spans="1:6">
      <c r="A146" s="184"/>
      <c r="B146" s="184"/>
      <c r="C146" s="184"/>
      <c r="D146" s="184"/>
      <c r="E146" s="184"/>
      <c r="F146" s="184"/>
    </row>
    <row r="147" spans="1:6">
      <c r="A147" s="184"/>
      <c r="B147" s="184"/>
      <c r="C147" s="184"/>
      <c r="D147" s="184"/>
      <c r="E147" s="184"/>
      <c r="F147" s="184"/>
    </row>
    <row r="148" spans="1:6">
      <c r="A148" s="184"/>
      <c r="B148" s="184"/>
      <c r="C148" s="184"/>
      <c r="D148" s="184"/>
      <c r="E148" s="184"/>
      <c r="F148" s="184"/>
    </row>
    <row r="149" spans="1:6">
      <c r="A149" s="184"/>
      <c r="B149" s="184"/>
      <c r="C149" s="184"/>
      <c r="D149" s="184"/>
      <c r="E149" s="184"/>
      <c r="F149" s="184"/>
    </row>
    <row r="150" spans="1:6">
      <c r="A150" s="184"/>
      <c r="B150" s="184"/>
      <c r="C150" s="184"/>
      <c r="D150" s="184"/>
      <c r="E150" s="184"/>
      <c r="F150" s="184"/>
    </row>
    <row r="151" spans="1:6">
      <c r="A151" s="184"/>
      <c r="B151" s="184"/>
      <c r="C151" s="184"/>
      <c r="D151" s="184"/>
      <c r="E151" s="184"/>
      <c r="F151" s="184"/>
    </row>
    <row r="152" spans="1:6">
      <c r="A152" s="184"/>
      <c r="B152" s="184"/>
      <c r="C152" s="184"/>
      <c r="D152" s="184"/>
      <c r="E152" s="184"/>
      <c r="F152" s="184"/>
    </row>
    <row r="153" spans="1:6">
      <c r="A153" s="184"/>
      <c r="B153" s="184"/>
      <c r="C153" s="184"/>
      <c r="D153" s="184"/>
      <c r="E153" s="184"/>
      <c r="F153" s="184"/>
    </row>
    <row r="154" spans="1:6">
      <c r="A154" s="184"/>
      <c r="B154" s="184"/>
      <c r="C154" s="184"/>
      <c r="D154" s="184"/>
      <c r="E154" s="184"/>
      <c r="F154" s="184"/>
    </row>
    <row r="155" spans="1:6">
      <c r="A155" s="184"/>
      <c r="B155" s="184"/>
      <c r="C155" s="184"/>
      <c r="D155" s="184"/>
      <c r="E155" s="184"/>
      <c r="F155" s="184"/>
    </row>
    <row r="156" spans="1:6">
      <c r="A156" s="184"/>
      <c r="B156" s="184"/>
      <c r="C156" s="184"/>
      <c r="D156" s="184"/>
      <c r="E156" s="184"/>
      <c r="F156" s="184"/>
    </row>
    <row r="157" spans="1:6">
      <c r="A157" s="184"/>
      <c r="B157" s="184"/>
      <c r="C157" s="184"/>
      <c r="D157" s="184"/>
      <c r="E157" s="184"/>
      <c r="F157" s="184"/>
    </row>
    <row r="158" spans="1:6">
      <c r="A158" s="184"/>
      <c r="B158" s="184"/>
      <c r="C158" s="184"/>
      <c r="D158" s="184"/>
      <c r="E158" s="184"/>
      <c r="F158" s="184"/>
    </row>
    <row r="159" spans="1:6">
      <c r="A159" s="184"/>
      <c r="B159" s="184"/>
      <c r="C159" s="184"/>
      <c r="D159" s="184"/>
      <c r="E159" s="184"/>
      <c r="F159" s="184"/>
    </row>
    <row r="160" spans="1:6">
      <c r="A160" s="184"/>
      <c r="B160" s="184"/>
      <c r="C160" s="184"/>
      <c r="D160" s="184"/>
      <c r="E160" s="184"/>
      <c r="F160" s="184"/>
    </row>
    <row r="161" spans="1:6">
      <c r="A161" s="184"/>
      <c r="B161" s="184"/>
      <c r="C161" s="184"/>
      <c r="D161" s="184"/>
      <c r="E161" s="184"/>
      <c r="F161" s="184"/>
    </row>
    <row r="162" spans="1:6">
      <c r="A162" s="184"/>
      <c r="B162" s="184"/>
      <c r="C162" s="184"/>
      <c r="D162" s="184"/>
      <c r="E162" s="184"/>
      <c r="F162" s="184"/>
    </row>
    <row r="163" spans="1:6">
      <c r="A163" s="184"/>
      <c r="B163" s="184"/>
      <c r="C163" s="184"/>
      <c r="D163" s="184"/>
      <c r="E163" s="184"/>
      <c r="F163" s="184"/>
    </row>
    <row r="164" spans="1:6">
      <c r="A164" s="184"/>
      <c r="B164" s="184"/>
      <c r="C164" s="184"/>
      <c r="D164" s="184"/>
      <c r="E164" s="184"/>
      <c r="F164" s="184"/>
    </row>
    <row r="165" spans="1:6">
      <c r="A165" s="184"/>
      <c r="B165" s="184"/>
      <c r="C165" s="184"/>
      <c r="D165" s="184"/>
      <c r="E165" s="184"/>
      <c r="F165" s="184"/>
    </row>
    <row r="166" spans="1:6">
      <c r="A166" s="184"/>
      <c r="B166" s="184"/>
      <c r="C166" s="184"/>
      <c r="D166" s="184"/>
      <c r="E166" s="184"/>
      <c r="F166" s="184"/>
    </row>
    <row r="167" spans="1:6">
      <c r="A167" s="184"/>
      <c r="B167" s="184"/>
      <c r="C167" s="184"/>
      <c r="D167" s="184"/>
      <c r="E167" s="184"/>
      <c r="F167" s="184"/>
    </row>
    <row r="168" spans="1:6">
      <c r="A168" s="184"/>
      <c r="B168" s="184"/>
      <c r="C168" s="184"/>
      <c r="D168" s="184"/>
      <c r="E168" s="184"/>
      <c r="F168" s="184"/>
    </row>
    <row r="169" spans="1:6">
      <c r="A169" s="184"/>
      <c r="B169" s="184"/>
      <c r="C169" s="184"/>
      <c r="D169" s="184"/>
      <c r="E169" s="184"/>
      <c r="F169" s="184"/>
    </row>
    <row r="170" spans="1:6">
      <c r="A170" s="184"/>
      <c r="B170" s="184"/>
      <c r="C170" s="184"/>
      <c r="D170" s="184"/>
      <c r="E170" s="184"/>
      <c r="F170" s="184"/>
    </row>
    <row r="171" spans="1:6">
      <c r="A171" s="184"/>
      <c r="B171" s="184"/>
      <c r="C171" s="184"/>
      <c r="D171" s="184"/>
      <c r="E171" s="184"/>
      <c r="F171" s="184"/>
    </row>
    <row r="172" spans="1:6">
      <c r="A172" s="184"/>
      <c r="B172" s="184"/>
      <c r="C172" s="184"/>
      <c r="D172" s="184"/>
      <c r="E172" s="184"/>
      <c r="F172" s="184"/>
    </row>
    <row r="173" spans="1:6">
      <c r="A173" s="184"/>
      <c r="B173" s="184"/>
      <c r="C173" s="184"/>
      <c r="D173" s="184"/>
      <c r="E173" s="184"/>
      <c r="F173" s="184"/>
    </row>
    <row r="174" spans="1:6">
      <c r="A174" s="184"/>
      <c r="B174" s="184"/>
      <c r="C174" s="184"/>
      <c r="D174" s="184"/>
      <c r="E174" s="184"/>
      <c r="F174" s="184"/>
    </row>
    <row r="175" spans="1:6">
      <c r="A175" s="184"/>
      <c r="B175" s="184"/>
      <c r="C175" s="184"/>
      <c r="D175" s="184"/>
      <c r="E175" s="184"/>
      <c r="F175" s="184"/>
    </row>
    <row r="176" spans="1:6">
      <c r="A176" s="184"/>
      <c r="B176" s="184"/>
      <c r="C176" s="184"/>
      <c r="D176" s="184"/>
      <c r="E176" s="184"/>
      <c r="F176" s="184"/>
    </row>
    <row r="177" spans="1:6">
      <c r="A177" s="184"/>
      <c r="B177" s="184"/>
      <c r="C177" s="184"/>
      <c r="D177" s="184"/>
      <c r="E177" s="184"/>
      <c r="F177" s="184"/>
    </row>
    <row r="178" spans="1:6">
      <c r="A178" s="184"/>
      <c r="B178" s="184"/>
      <c r="C178" s="184"/>
      <c r="D178" s="184"/>
      <c r="E178" s="184"/>
      <c r="F178" s="184"/>
    </row>
    <row r="179" spans="1:6">
      <c r="A179" s="184"/>
      <c r="B179" s="184"/>
      <c r="C179" s="184"/>
      <c r="D179" s="184"/>
      <c r="E179" s="184"/>
      <c r="F179" s="184"/>
    </row>
    <row r="180" spans="1:6">
      <c r="A180" s="184"/>
      <c r="B180" s="184"/>
      <c r="C180" s="184"/>
      <c r="D180" s="184"/>
      <c r="E180" s="184"/>
      <c r="F180" s="184"/>
    </row>
    <row r="181" spans="1:6">
      <c r="A181" s="184"/>
      <c r="B181" s="184"/>
      <c r="C181" s="184"/>
      <c r="D181" s="184"/>
      <c r="E181" s="184"/>
      <c r="F181" s="184"/>
    </row>
    <row r="182" spans="1:6">
      <c r="A182" s="184"/>
      <c r="B182" s="184"/>
      <c r="C182" s="184"/>
      <c r="D182" s="184"/>
      <c r="E182" s="184"/>
      <c r="F182" s="184"/>
    </row>
    <row r="183" spans="1:6">
      <c r="A183" s="184"/>
      <c r="B183" s="184"/>
      <c r="C183" s="184"/>
      <c r="D183" s="184"/>
      <c r="E183" s="184"/>
      <c r="F183" s="184"/>
    </row>
    <row r="184" spans="1:6">
      <c r="A184" s="184"/>
      <c r="B184" s="184"/>
      <c r="C184" s="184"/>
      <c r="D184" s="184"/>
      <c r="E184" s="184"/>
      <c r="F184" s="184"/>
    </row>
    <row r="185" spans="1:6">
      <c r="A185" s="184"/>
      <c r="B185" s="184"/>
      <c r="C185" s="184"/>
      <c r="D185" s="184"/>
      <c r="E185" s="184"/>
      <c r="F185" s="184"/>
    </row>
    <row r="186" spans="1:6">
      <c r="A186" s="184"/>
      <c r="B186" s="184"/>
      <c r="C186" s="184"/>
      <c r="D186" s="184"/>
      <c r="E186" s="184"/>
      <c r="F186" s="184"/>
    </row>
    <row r="187" spans="1:6">
      <c r="A187" s="184"/>
      <c r="B187" s="184"/>
      <c r="C187" s="184"/>
      <c r="D187" s="184"/>
      <c r="E187" s="184"/>
      <c r="F187" s="184"/>
    </row>
    <row r="188" spans="1:6">
      <c r="A188" s="184"/>
      <c r="B188" s="184"/>
      <c r="C188" s="184"/>
      <c r="D188" s="184"/>
      <c r="E188" s="184"/>
      <c r="F188" s="184"/>
    </row>
    <row r="189" spans="1:6">
      <c r="A189" s="184"/>
      <c r="B189" s="184"/>
      <c r="C189" s="184"/>
      <c r="D189" s="184"/>
      <c r="E189" s="184"/>
      <c r="F189" s="184"/>
    </row>
    <row r="190" spans="1:6">
      <c r="A190" s="184"/>
      <c r="B190" s="184"/>
      <c r="C190" s="184"/>
      <c r="D190" s="184"/>
      <c r="E190" s="184"/>
      <c r="F190" s="184"/>
    </row>
    <row r="191" spans="1:6">
      <c r="A191" s="184"/>
      <c r="B191" s="184"/>
      <c r="C191" s="184"/>
      <c r="D191" s="184"/>
      <c r="E191" s="184"/>
      <c r="F191" s="184"/>
    </row>
    <row r="192" spans="1:6">
      <c r="A192" s="184"/>
      <c r="B192" s="184"/>
      <c r="C192" s="184"/>
      <c r="D192" s="184"/>
      <c r="E192" s="184"/>
      <c r="F192" s="184"/>
    </row>
    <row r="193" spans="1:6">
      <c r="A193" s="184"/>
      <c r="B193" s="184"/>
      <c r="C193" s="184"/>
      <c r="D193" s="184"/>
      <c r="E193" s="184"/>
      <c r="F193" s="184"/>
    </row>
    <row r="194" spans="1:6">
      <c r="A194" s="184"/>
      <c r="B194" s="184"/>
      <c r="C194" s="184"/>
      <c r="D194" s="184"/>
      <c r="E194" s="184"/>
      <c r="F194" s="184"/>
    </row>
    <row r="195" spans="1:6">
      <c r="A195" s="184"/>
      <c r="B195" s="184"/>
      <c r="C195" s="184"/>
      <c r="D195" s="184"/>
      <c r="E195" s="184"/>
      <c r="F195" s="184"/>
    </row>
    <row r="196" spans="1:6">
      <c r="A196" s="184"/>
      <c r="B196" s="184"/>
      <c r="C196" s="184"/>
      <c r="D196" s="184"/>
      <c r="E196" s="184"/>
      <c r="F196" s="184"/>
    </row>
    <row r="197" spans="1:6">
      <c r="A197" s="184"/>
      <c r="B197" s="184"/>
      <c r="C197" s="184"/>
      <c r="D197" s="184"/>
      <c r="E197" s="184"/>
      <c r="F197" s="184"/>
    </row>
    <row r="198" spans="1:6">
      <c r="A198" s="184"/>
      <c r="B198" s="184"/>
      <c r="C198" s="184"/>
      <c r="D198" s="184"/>
      <c r="E198" s="184"/>
      <c r="F198" s="184"/>
    </row>
    <row r="199" spans="1:6">
      <c r="A199" s="184"/>
      <c r="B199" s="184"/>
      <c r="C199" s="184"/>
      <c r="D199" s="184"/>
      <c r="E199" s="184"/>
      <c r="F199" s="184"/>
    </row>
    <row r="200" spans="1:6">
      <c r="A200" s="184"/>
      <c r="B200" s="184"/>
      <c r="C200" s="184"/>
      <c r="D200" s="184"/>
      <c r="E200" s="184"/>
      <c r="F200" s="184"/>
    </row>
    <row r="201" spans="1:6">
      <c r="A201" s="184"/>
      <c r="B201" s="184"/>
      <c r="C201" s="184"/>
      <c r="D201" s="184"/>
      <c r="E201" s="184"/>
      <c r="F201" s="184"/>
    </row>
    <row r="202" spans="1:6">
      <c r="A202" s="184"/>
      <c r="B202" s="184"/>
      <c r="C202" s="184"/>
      <c r="D202" s="184"/>
      <c r="E202" s="184"/>
      <c r="F202" s="184"/>
    </row>
    <row r="203" spans="1:6">
      <c r="A203" s="184"/>
      <c r="B203" s="184"/>
      <c r="C203" s="184"/>
      <c r="D203" s="184"/>
      <c r="E203" s="184"/>
      <c r="F203" s="184"/>
    </row>
    <row r="204" spans="1:6">
      <c r="A204" s="184"/>
      <c r="B204" s="184"/>
      <c r="C204" s="184"/>
      <c r="D204" s="184"/>
      <c r="E204" s="184"/>
      <c r="F204" s="184"/>
    </row>
    <row r="205" spans="1:6">
      <c r="A205" s="184"/>
      <c r="B205" s="184"/>
      <c r="C205" s="184"/>
      <c r="D205" s="184"/>
      <c r="E205" s="184"/>
      <c r="F205" s="184"/>
    </row>
    <row r="206" spans="1:6">
      <c r="A206" s="184"/>
      <c r="B206" s="184"/>
      <c r="C206" s="184"/>
      <c r="D206" s="184"/>
      <c r="E206" s="184"/>
      <c r="F206" s="184"/>
    </row>
    <row r="207" spans="1:6">
      <c r="A207" s="184"/>
      <c r="B207" s="184"/>
      <c r="C207" s="184"/>
      <c r="D207" s="184"/>
      <c r="E207" s="184"/>
      <c r="F207" s="184"/>
    </row>
    <row r="208" spans="1:6">
      <c r="A208" s="184"/>
      <c r="B208" s="184"/>
      <c r="C208" s="184"/>
      <c r="D208" s="184"/>
      <c r="E208" s="184"/>
      <c r="F208" s="184"/>
    </row>
    <row r="209" spans="1:6">
      <c r="A209" s="184"/>
      <c r="B209" s="184"/>
      <c r="C209" s="184"/>
      <c r="D209" s="184"/>
      <c r="E209" s="184"/>
      <c r="F209" s="184"/>
    </row>
    <row r="210" spans="1:6">
      <c r="A210" s="184"/>
      <c r="B210" s="184"/>
      <c r="C210" s="184"/>
      <c r="D210" s="184"/>
      <c r="E210" s="184"/>
      <c r="F210" s="184"/>
    </row>
    <row r="211" spans="1:6">
      <c r="A211" s="184"/>
      <c r="B211" s="184"/>
      <c r="C211" s="184"/>
      <c r="D211" s="184"/>
      <c r="E211" s="184"/>
      <c r="F211" s="184"/>
    </row>
    <row r="212" spans="1:6">
      <c r="A212" s="184"/>
      <c r="B212" s="184"/>
      <c r="C212" s="184"/>
      <c r="D212" s="184"/>
      <c r="E212" s="184"/>
      <c r="F212" s="184"/>
    </row>
    <row r="213" spans="1:6">
      <c r="A213" s="184"/>
      <c r="B213" s="184"/>
      <c r="C213" s="184"/>
      <c r="D213" s="184"/>
      <c r="E213" s="184"/>
      <c r="F213" s="184"/>
    </row>
    <row r="214" spans="1:6">
      <c r="A214" s="184"/>
      <c r="B214" s="184"/>
      <c r="C214" s="184"/>
      <c r="D214" s="184"/>
      <c r="E214" s="184"/>
      <c r="F214" s="184"/>
    </row>
    <row r="215" spans="1:6">
      <c r="A215" s="184"/>
      <c r="B215" s="184"/>
      <c r="C215" s="184"/>
      <c r="D215" s="184"/>
      <c r="E215" s="184"/>
      <c r="F215" s="184"/>
    </row>
    <row r="216" spans="1:6">
      <c r="A216" s="184"/>
      <c r="B216" s="184"/>
      <c r="C216" s="184"/>
      <c r="D216" s="184"/>
      <c r="E216" s="184"/>
      <c r="F216" s="184"/>
    </row>
    <row r="217" spans="1:6">
      <c r="A217" s="184"/>
      <c r="B217" s="184"/>
      <c r="C217" s="184"/>
      <c r="D217" s="184"/>
      <c r="E217" s="184"/>
      <c r="F217" s="184"/>
    </row>
    <row r="218" spans="1:6">
      <c r="A218" s="184"/>
      <c r="B218" s="184"/>
      <c r="C218" s="184"/>
      <c r="D218" s="184"/>
      <c r="E218" s="184"/>
      <c r="F218" s="184"/>
    </row>
    <row r="219" spans="1:6">
      <c r="A219" s="184"/>
      <c r="B219" s="184"/>
      <c r="C219" s="184"/>
      <c r="D219" s="184"/>
      <c r="E219" s="184"/>
      <c r="F219" s="184"/>
    </row>
    <row r="220" spans="1:6">
      <c r="A220" s="184"/>
      <c r="B220" s="184"/>
      <c r="C220" s="184"/>
      <c r="D220" s="184"/>
      <c r="E220" s="184"/>
      <c r="F220" s="184"/>
    </row>
    <row r="221" spans="1:6">
      <c r="A221" s="184"/>
      <c r="B221" s="184"/>
      <c r="C221" s="184"/>
      <c r="D221" s="184"/>
      <c r="E221" s="184"/>
      <c r="F221" s="184"/>
    </row>
    <row r="222" spans="1:6">
      <c r="A222" s="184"/>
      <c r="B222" s="184"/>
      <c r="C222" s="184"/>
      <c r="D222" s="184"/>
      <c r="E222" s="184"/>
      <c r="F222" s="184"/>
    </row>
    <row r="223" spans="1:6">
      <c r="A223" s="184"/>
      <c r="B223" s="184"/>
      <c r="C223" s="184"/>
      <c r="D223" s="184"/>
      <c r="E223" s="184"/>
      <c r="F223" s="184"/>
    </row>
    <row r="224" spans="1:6">
      <c r="A224" s="184"/>
      <c r="B224" s="184"/>
      <c r="C224" s="184"/>
      <c r="D224" s="184"/>
      <c r="E224" s="184"/>
      <c r="F224" s="184"/>
    </row>
    <row r="225" spans="1:6">
      <c r="A225" s="184"/>
      <c r="B225" s="184"/>
      <c r="C225" s="184"/>
      <c r="D225" s="184"/>
      <c r="E225" s="184"/>
      <c r="F225" s="184"/>
    </row>
    <row r="226" spans="1:6">
      <c r="A226" s="184"/>
      <c r="B226" s="184"/>
      <c r="C226" s="184"/>
      <c r="D226" s="184"/>
      <c r="E226" s="184"/>
      <c r="F226" s="184"/>
    </row>
    <row r="227" spans="1:6">
      <c r="A227" s="184"/>
      <c r="B227" s="184"/>
      <c r="C227" s="184"/>
      <c r="D227" s="184"/>
      <c r="E227" s="184"/>
      <c r="F227" s="184"/>
    </row>
    <row r="228" spans="1:6">
      <c r="A228" s="184"/>
      <c r="B228" s="184"/>
      <c r="C228" s="184"/>
      <c r="D228" s="184"/>
      <c r="E228" s="184"/>
      <c r="F228" s="184"/>
    </row>
    <row r="229" spans="1:6">
      <c r="A229" s="184"/>
      <c r="B229" s="184"/>
      <c r="C229" s="184"/>
      <c r="D229" s="184"/>
      <c r="E229" s="184"/>
      <c r="F229" s="184"/>
    </row>
    <row r="230" spans="1:6">
      <c r="A230" s="184"/>
      <c r="B230" s="184"/>
      <c r="C230" s="184"/>
      <c r="D230" s="184"/>
      <c r="E230" s="184"/>
      <c r="F230" s="184"/>
    </row>
    <row r="231" spans="1:6">
      <c r="A231" s="184"/>
      <c r="B231" s="184"/>
      <c r="C231" s="184"/>
      <c r="D231" s="184"/>
      <c r="E231" s="184"/>
      <c r="F231" s="184"/>
    </row>
    <row r="232" spans="1:6">
      <c r="A232" s="184"/>
      <c r="B232" s="184"/>
      <c r="C232" s="184"/>
      <c r="D232" s="184"/>
      <c r="E232" s="184"/>
      <c r="F232" s="184"/>
    </row>
    <row r="233" spans="1:6">
      <c r="A233" s="184"/>
      <c r="B233" s="184"/>
      <c r="C233" s="184"/>
      <c r="D233" s="184"/>
      <c r="E233" s="184"/>
      <c r="F233" s="184"/>
    </row>
    <row r="234" spans="1:6">
      <c r="A234" s="184"/>
      <c r="B234" s="184"/>
      <c r="C234" s="184"/>
      <c r="D234" s="184"/>
      <c r="E234" s="184"/>
      <c r="F234" s="184"/>
    </row>
    <row r="235" spans="1:6">
      <c r="A235" s="184"/>
      <c r="B235" s="184"/>
      <c r="C235" s="184"/>
      <c r="D235" s="184"/>
      <c r="E235" s="184"/>
      <c r="F235" s="184"/>
    </row>
    <row r="236" spans="1:6">
      <c r="A236" s="184"/>
      <c r="B236" s="184"/>
      <c r="C236" s="184"/>
      <c r="D236" s="184"/>
      <c r="E236" s="184"/>
      <c r="F236" s="184"/>
    </row>
    <row r="237" spans="1:6">
      <c r="A237" s="184"/>
      <c r="B237" s="184"/>
      <c r="C237" s="184"/>
      <c r="D237" s="184"/>
      <c r="E237" s="184"/>
      <c r="F237" s="184"/>
    </row>
    <row r="238" spans="1:6">
      <c r="A238" s="184"/>
      <c r="B238" s="184"/>
      <c r="C238" s="184"/>
      <c r="D238" s="184"/>
      <c r="E238" s="184"/>
      <c r="F238" s="184"/>
    </row>
    <row r="239" spans="1:6">
      <c r="A239" s="184"/>
      <c r="B239" s="184"/>
      <c r="C239" s="184"/>
      <c r="D239" s="184"/>
      <c r="E239" s="184"/>
      <c r="F239" s="184"/>
    </row>
    <row r="240" spans="1:6">
      <c r="A240" s="184"/>
      <c r="B240" s="184"/>
      <c r="C240" s="184"/>
      <c r="D240" s="184"/>
      <c r="E240" s="184"/>
      <c r="F240" s="184"/>
    </row>
    <row r="241" spans="1:6">
      <c r="A241" s="184"/>
      <c r="B241" s="184"/>
      <c r="C241" s="184"/>
      <c r="D241" s="184"/>
      <c r="E241" s="184"/>
      <c r="F241" s="184"/>
    </row>
    <row r="242" spans="1:6">
      <c r="A242" s="184"/>
      <c r="B242" s="184"/>
      <c r="C242" s="184"/>
      <c r="D242" s="184"/>
      <c r="E242" s="184"/>
      <c r="F242" s="184"/>
    </row>
    <row r="243" spans="1:6">
      <c r="A243" s="184"/>
    </row>
    <row r="244" spans="1:6">
      <c r="A244" s="184"/>
    </row>
    <row r="245" spans="1:6">
      <c r="A245" s="184"/>
    </row>
    <row r="246" spans="1:6">
      <c r="A246" s="184"/>
    </row>
    <row r="247" spans="1:6">
      <c r="A247" s="184"/>
    </row>
    <row r="248" spans="1:6">
      <c r="A248" s="184"/>
    </row>
    <row r="249" spans="1:6">
      <c r="A249" s="184"/>
    </row>
    <row r="250" spans="1:6">
      <c r="A250" s="184"/>
    </row>
  </sheetData>
  <mergeCells count="8">
    <mergeCell ref="D52:O52"/>
    <mergeCell ref="D51:O51"/>
    <mergeCell ref="D45:O45"/>
    <mergeCell ref="D46:O46"/>
    <mergeCell ref="D47:O47"/>
    <mergeCell ref="D48:O48"/>
    <mergeCell ref="D49:O49"/>
    <mergeCell ref="D50:O50"/>
  </mergeCells>
  <printOptions horizontalCentered="1"/>
  <pageMargins left="0.75" right="0.75" top="0.75" bottom="0.5" header="0.5" footer="0.5"/>
  <pageSetup scale="5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7030A0"/>
    <pageSetUpPr fitToPage="1"/>
  </sheetPr>
  <dimension ref="A1:BG298"/>
  <sheetViews>
    <sheetView zoomScale="75" zoomScaleNormal="75" workbookViewId="0"/>
  </sheetViews>
  <sheetFormatPr defaultRowHeight="15"/>
  <cols>
    <col min="1" max="1" width="6" style="127" customWidth="1"/>
    <col min="2" max="2" width="1.44140625" style="127" customWidth="1"/>
    <col min="3" max="3" width="50" style="127" customWidth="1"/>
    <col min="4" max="4" width="1.44140625" style="127" customWidth="1"/>
    <col min="5" max="5" width="37.109375" style="127" customWidth="1"/>
    <col min="6" max="6" width="1.109375" style="127" customWidth="1"/>
    <col min="7" max="7" width="14.109375" style="127" customWidth="1"/>
    <col min="8" max="8" width="1" style="127" customWidth="1"/>
    <col min="9" max="10" width="12.77734375" style="127" customWidth="1"/>
    <col min="11" max="11" width="5.21875" style="127" customWidth="1"/>
    <col min="12" max="12" width="2.21875" style="127" customWidth="1"/>
    <col min="13" max="13" width="26.21875" style="127" customWidth="1"/>
    <col min="14" max="14" width="9.77734375" style="127" customWidth="1"/>
    <col min="15" max="15" width="9" style="127" customWidth="1"/>
    <col min="16" max="16" width="14" style="127" customWidth="1"/>
    <col min="17" max="17" width="13.33203125" style="127" customWidth="1"/>
    <col min="18" max="18" width="9" style="127" customWidth="1"/>
    <col min="19" max="19" width="14.6640625" style="127" customWidth="1"/>
    <col min="20" max="20" width="12.77734375" style="127" customWidth="1"/>
    <col min="21" max="21" width="12.109375" style="127" customWidth="1"/>
    <col min="22" max="22" width="16.6640625" style="127" customWidth="1"/>
    <col min="23" max="23" width="11.5546875" style="127" customWidth="1"/>
    <col min="24" max="24" width="15.77734375" style="127" customWidth="1"/>
    <col min="25" max="242" width="8.88671875" style="127"/>
    <col min="243" max="243" width="6" style="127" customWidth="1"/>
    <col min="244" max="244" width="1.44140625" style="127" customWidth="1"/>
    <col min="245" max="245" width="39.109375" style="127" customWidth="1"/>
    <col min="246" max="246" width="12" style="127" customWidth="1"/>
    <col min="247" max="247" width="14.44140625" style="127" customWidth="1"/>
    <col min="248" max="248" width="11.88671875" style="127" customWidth="1"/>
    <col min="249" max="249" width="14.109375" style="127" customWidth="1"/>
    <col min="250" max="250" width="13.88671875" style="127" customWidth="1"/>
    <col min="251" max="252" width="12.77734375" style="127" customWidth="1"/>
    <col min="253" max="253" width="13.5546875" style="127" customWidth="1"/>
    <col min="254" max="254" width="15.33203125" style="127" customWidth="1"/>
    <col min="255" max="255" width="12.77734375" style="127" customWidth="1"/>
    <col min="256" max="256" width="13.88671875" style="127" customWidth="1"/>
    <col min="257" max="257" width="1.88671875" style="127" customWidth="1"/>
    <col min="258" max="258" width="13" style="127" customWidth="1"/>
    <col min="259" max="498" width="8.88671875" style="127"/>
    <col min="499" max="499" width="6" style="127" customWidth="1"/>
    <col min="500" max="500" width="1.44140625" style="127" customWidth="1"/>
    <col min="501" max="501" width="39.109375" style="127" customWidth="1"/>
    <col min="502" max="502" width="12" style="127" customWidth="1"/>
    <col min="503" max="503" width="14.44140625" style="127" customWidth="1"/>
    <col min="504" max="504" width="11.88671875" style="127" customWidth="1"/>
    <col min="505" max="505" width="14.109375" style="127" customWidth="1"/>
    <col min="506" max="506" width="13.88671875" style="127" customWidth="1"/>
    <col min="507" max="508" width="12.77734375" style="127" customWidth="1"/>
    <col min="509" max="509" width="13.5546875" style="127" customWidth="1"/>
    <col min="510" max="510" width="15.33203125" style="127" customWidth="1"/>
    <col min="511" max="511" width="12.77734375" style="127" customWidth="1"/>
    <col min="512" max="512" width="13.88671875" style="127" customWidth="1"/>
    <col min="513" max="513" width="1.88671875" style="127" customWidth="1"/>
    <col min="514" max="514" width="13" style="127" customWidth="1"/>
    <col min="515" max="754" width="8.88671875" style="127"/>
    <col min="755" max="755" width="6" style="127" customWidth="1"/>
    <col min="756" max="756" width="1.44140625" style="127" customWidth="1"/>
    <col min="757" max="757" width="39.109375" style="127" customWidth="1"/>
    <col min="758" max="758" width="12" style="127" customWidth="1"/>
    <col min="759" max="759" width="14.44140625" style="127" customWidth="1"/>
    <col min="760" max="760" width="11.88671875" style="127" customWidth="1"/>
    <col min="761" max="761" width="14.109375" style="127" customWidth="1"/>
    <col min="762" max="762" width="13.88671875" style="127" customWidth="1"/>
    <col min="763" max="764" width="12.77734375" style="127" customWidth="1"/>
    <col min="765" max="765" width="13.5546875" style="127" customWidth="1"/>
    <col min="766" max="766" width="15.33203125" style="127" customWidth="1"/>
    <col min="767" max="767" width="12.77734375" style="127" customWidth="1"/>
    <col min="768" max="768" width="13.88671875" style="127" customWidth="1"/>
    <col min="769" max="769" width="1.88671875" style="127" customWidth="1"/>
    <col min="770" max="770" width="13" style="127" customWidth="1"/>
    <col min="771" max="1010" width="8.88671875" style="127"/>
    <col min="1011" max="1011" width="6" style="127" customWidth="1"/>
    <col min="1012" max="1012" width="1.44140625" style="127" customWidth="1"/>
    <col min="1013" max="1013" width="39.109375" style="127" customWidth="1"/>
    <col min="1014" max="1014" width="12" style="127" customWidth="1"/>
    <col min="1015" max="1015" width="14.44140625" style="127" customWidth="1"/>
    <col min="1016" max="1016" width="11.88671875" style="127" customWidth="1"/>
    <col min="1017" max="1017" width="14.109375" style="127" customWidth="1"/>
    <col min="1018" max="1018" width="13.88671875" style="127" customWidth="1"/>
    <col min="1019" max="1020" width="12.77734375" style="127" customWidth="1"/>
    <col min="1021" max="1021" width="13.5546875" style="127" customWidth="1"/>
    <col min="1022" max="1022" width="15.33203125" style="127" customWidth="1"/>
    <col min="1023" max="1023" width="12.77734375" style="127" customWidth="1"/>
    <col min="1024" max="1024" width="13.88671875" style="127" customWidth="1"/>
    <col min="1025" max="1025" width="1.88671875" style="127" customWidth="1"/>
    <col min="1026" max="1026" width="13" style="127" customWidth="1"/>
    <col min="1027" max="1266" width="8.88671875" style="127"/>
    <col min="1267" max="1267" width="6" style="127" customWidth="1"/>
    <col min="1268" max="1268" width="1.44140625" style="127" customWidth="1"/>
    <col min="1269" max="1269" width="39.109375" style="127" customWidth="1"/>
    <col min="1270" max="1270" width="12" style="127" customWidth="1"/>
    <col min="1271" max="1271" width="14.44140625" style="127" customWidth="1"/>
    <col min="1272" max="1272" width="11.88671875" style="127" customWidth="1"/>
    <col min="1273" max="1273" width="14.109375" style="127" customWidth="1"/>
    <col min="1274" max="1274" width="13.88671875" style="127" customWidth="1"/>
    <col min="1275" max="1276" width="12.77734375" style="127" customWidth="1"/>
    <col min="1277" max="1277" width="13.5546875" style="127" customWidth="1"/>
    <col min="1278" max="1278" width="15.33203125" style="127" customWidth="1"/>
    <col min="1279" max="1279" width="12.77734375" style="127" customWidth="1"/>
    <col min="1280" max="1280" width="13.88671875" style="127" customWidth="1"/>
    <col min="1281" max="1281" width="1.88671875" style="127" customWidth="1"/>
    <col min="1282" max="1282" width="13" style="127" customWidth="1"/>
    <col min="1283" max="1522" width="8.88671875" style="127"/>
    <col min="1523" max="1523" width="6" style="127" customWidth="1"/>
    <col min="1524" max="1524" width="1.44140625" style="127" customWidth="1"/>
    <col min="1525" max="1525" width="39.109375" style="127" customWidth="1"/>
    <col min="1526" max="1526" width="12" style="127" customWidth="1"/>
    <col min="1527" max="1527" width="14.44140625" style="127" customWidth="1"/>
    <col min="1528" max="1528" width="11.88671875" style="127" customWidth="1"/>
    <col min="1529" max="1529" width="14.109375" style="127" customWidth="1"/>
    <col min="1530" max="1530" width="13.88671875" style="127" customWidth="1"/>
    <col min="1531" max="1532" width="12.77734375" style="127" customWidth="1"/>
    <col min="1533" max="1533" width="13.5546875" style="127" customWidth="1"/>
    <col min="1534" max="1534" width="15.33203125" style="127" customWidth="1"/>
    <col min="1535" max="1535" width="12.77734375" style="127" customWidth="1"/>
    <col min="1536" max="1536" width="13.88671875" style="127" customWidth="1"/>
    <col min="1537" max="1537" width="1.88671875" style="127" customWidth="1"/>
    <col min="1538" max="1538" width="13" style="127" customWidth="1"/>
    <col min="1539" max="1778" width="8.88671875" style="127"/>
    <col min="1779" max="1779" width="6" style="127" customWidth="1"/>
    <col min="1780" max="1780" width="1.44140625" style="127" customWidth="1"/>
    <col min="1781" max="1781" width="39.109375" style="127" customWidth="1"/>
    <col min="1782" max="1782" width="12" style="127" customWidth="1"/>
    <col min="1783" max="1783" width="14.44140625" style="127" customWidth="1"/>
    <col min="1784" max="1784" width="11.88671875" style="127" customWidth="1"/>
    <col min="1785" max="1785" width="14.109375" style="127" customWidth="1"/>
    <col min="1786" max="1786" width="13.88671875" style="127" customWidth="1"/>
    <col min="1787" max="1788" width="12.77734375" style="127" customWidth="1"/>
    <col min="1789" max="1789" width="13.5546875" style="127" customWidth="1"/>
    <col min="1790" max="1790" width="15.33203125" style="127" customWidth="1"/>
    <col min="1791" max="1791" width="12.77734375" style="127" customWidth="1"/>
    <col min="1792" max="1792" width="13.88671875" style="127" customWidth="1"/>
    <col min="1793" max="1793" width="1.88671875" style="127" customWidth="1"/>
    <col min="1794" max="1794" width="13" style="127" customWidth="1"/>
    <col min="1795" max="2034" width="8.88671875" style="127"/>
    <col min="2035" max="2035" width="6" style="127" customWidth="1"/>
    <col min="2036" max="2036" width="1.44140625" style="127" customWidth="1"/>
    <col min="2037" max="2037" width="39.109375" style="127" customWidth="1"/>
    <col min="2038" max="2038" width="12" style="127" customWidth="1"/>
    <col min="2039" max="2039" width="14.44140625" style="127" customWidth="1"/>
    <col min="2040" max="2040" width="11.88671875" style="127" customWidth="1"/>
    <col min="2041" max="2041" width="14.109375" style="127" customWidth="1"/>
    <col min="2042" max="2042" width="13.88671875" style="127" customWidth="1"/>
    <col min="2043" max="2044" width="12.77734375" style="127" customWidth="1"/>
    <col min="2045" max="2045" width="13.5546875" style="127" customWidth="1"/>
    <col min="2046" max="2046" width="15.33203125" style="127" customWidth="1"/>
    <col min="2047" max="2047" width="12.77734375" style="127" customWidth="1"/>
    <col min="2048" max="2048" width="13.88671875" style="127" customWidth="1"/>
    <col min="2049" max="2049" width="1.88671875" style="127" customWidth="1"/>
    <col min="2050" max="2050" width="13" style="127" customWidth="1"/>
    <col min="2051" max="2290" width="8.88671875" style="127"/>
    <col min="2291" max="2291" width="6" style="127" customWidth="1"/>
    <col min="2292" max="2292" width="1.44140625" style="127" customWidth="1"/>
    <col min="2293" max="2293" width="39.109375" style="127" customWidth="1"/>
    <col min="2294" max="2294" width="12" style="127" customWidth="1"/>
    <col min="2295" max="2295" width="14.44140625" style="127" customWidth="1"/>
    <col min="2296" max="2296" width="11.88671875" style="127" customWidth="1"/>
    <col min="2297" max="2297" width="14.109375" style="127" customWidth="1"/>
    <col min="2298" max="2298" width="13.88671875" style="127" customWidth="1"/>
    <col min="2299" max="2300" width="12.77734375" style="127" customWidth="1"/>
    <col min="2301" max="2301" width="13.5546875" style="127" customWidth="1"/>
    <col min="2302" max="2302" width="15.33203125" style="127" customWidth="1"/>
    <col min="2303" max="2303" width="12.77734375" style="127" customWidth="1"/>
    <col min="2304" max="2304" width="13.88671875" style="127" customWidth="1"/>
    <col min="2305" max="2305" width="1.88671875" style="127" customWidth="1"/>
    <col min="2306" max="2306" width="13" style="127" customWidth="1"/>
    <col min="2307" max="2546" width="8.88671875" style="127"/>
    <col min="2547" max="2547" width="6" style="127" customWidth="1"/>
    <col min="2548" max="2548" width="1.44140625" style="127" customWidth="1"/>
    <col min="2549" max="2549" width="39.109375" style="127" customWidth="1"/>
    <col min="2550" max="2550" width="12" style="127" customWidth="1"/>
    <col min="2551" max="2551" width="14.44140625" style="127" customWidth="1"/>
    <col min="2552" max="2552" width="11.88671875" style="127" customWidth="1"/>
    <col min="2553" max="2553" width="14.109375" style="127" customWidth="1"/>
    <col min="2554" max="2554" width="13.88671875" style="127" customWidth="1"/>
    <col min="2555" max="2556" width="12.77734375" style="127" customWidth="1"/>
    <col min="2557" max="2557" width="13.5546875" style="127" customWidth="1"/>
    <col min="2558" max="2558" width="15.33203125" style="127" customWidth="1"/>
    <col min="2559" max="2559" width="12.77734375" style="127" customWidth="1"/>
    <col min="2560" max="2560" width="13.88671875" style="127" customWidth="1"/>
    <col min="2561" max="2561" width="1.88671875" style="127" customWidth="1"/>
    <col min="2562" max="2562" width="13" style="127" customWidth="1"/>
    <col min="2563" max="2802" width="8.88671875" style="127"/>
    <col min="2803" max="2803" width="6" style="127" customWidth="1"/>
    <col min="2804" max="2804" width="1.44140625" style="127" customWidth="1"/>
    <col min="2805" max="2805" width="39.109375" style="127" customWidth="1"/>
    <col min="2806" max="2806" width="12" style="127" customWidth="1"/>
    <col min="2807" max="2807" width="14.44140625" style="127" customWidth="1"/>
    <col min="2808" max="2808" width="11.88671875" style="127" customWidth="1"/>
    <col min="2809" max="2809" width="14.109375" style="127" customWidth="1"/>
    <col min="2810" max="2810" width="13.88671875" style="127" customWidth="1"/>
    <col min="2811" max="2812" width="12.77734375" style="127" customWidth="1"/>
    <col min="2813" max="2813" width="13.5546875" style="127" customWidth="1"/>
    <col min="2814" max="2814" width="15.33203125" style="127" customWidth="1"/>
    <col min="2815" max="2815" width="12.77734375" style="127" customWidth="1"/>
    <col min="2816" max="2816" width="13.88671875" style="127" customWidth="1"/>
    <col min="2817" max="2817" width="1.88671875" style="127" customWidth="1"/>
    <col min="2818" max="2818" width="13" style="127" customWidth="1"/>
    <col min="2819" max="3058" width="8.88671875" style="127"/>
    <col min="3059" max="3059" width="6" style="127" customWidth="1"/>
    <col min="3060" max="3060" width="1.44140625" style="127" customWidth="1"/>
    <col min="3061" max="3061" width="39.109375" style="127" customWidth="1"/>
    <col min="3062" max="3062" width="12" style="127" customWidth="1"/>
    <col min="3063" max="3063" width="14.44140625" style="127" customWidth="1"/>
    <col min="3064" max="3064" width="11.88671875" style="127" customWidth="1"/>
    <col min="3065" max="3065" width="14.109375" style="127" customWidth="1"/>
    <col min="3066" max="3066" width="13.88671875" style="127" customWidth="1"/>
    <col min="3067" max="3068" width="12.77734375" style="127" customWidth="1"/>
    <col min="3069" max="3069" width="13.5546875" style="127" customWidth="1"/>
    <col min="3070" max="3070" width="15.33203125" style="127" customWidth="1"/>
    <col min="3071" max="3071" width="12.77734375" style="127" customWidth="1"/>
    <col min="3072" max="3072" width="13.88671875" style="127" customWidth="1"/>
    <col min="3073" max="3073" width="1.88671875" style="127" customWidth="1"/>
    <col min="3074" max="3074" width="13" style="127" customWidth="1"/>
    <col min="3075" max="3314" width="8.88671875" style="127"/>
    <col min="3315" max="3315" width="6" style="127" customWidth="1"/>
    <col min="3316" max="3316" width="1.44140625" style="127" customWidth="1"/>
    <col min="3317" max="3317" width="39.109375" style="127" customWidth="1"/>
    <col min="3318" max="3318" width="12" style="127" customWidth="1"/>
    <col min="3319" max="3319" width="14.44140625" style="127" customWidth="1"/>
    <col min="3320" max="3320" width="11.88671875" style="127" customWidth="1"/>
    <col min="3321" max="3321" width="14.109375" style="127" customWidth="1"/>
    <col min="3322" max="3322" width="13.88671875" style="127" customWidth="1"/>
    <col min="3323" max="3324" width="12.77734375" style="127" customWidth="1"/>
    <col min="3325" max="3325" width="13.5546875" style="127" customWidth="1"/>
    <col min="3326" max="3326" width="15.33203125" style="127" customWidth="1"/>
    <col min="3327" max="3327" width="12.77734375" style="127" customWidth="1"/>
    <col min="3328" max="3328" width="13.88671875" style="127" customWidth="1"/>
    <col min="3329" max="3329" width="1.88671875" style="127" customWidth="1"/>
    <col min="3330" max="3330" width="13" style="127" customWidth="1"/>
    <col min="3331" max="3570" width="8.88671875" style="127"/>
    <col min="3571" max="3571" width="6" style="127" customWidth="1"/>
    <col min="3572" max="3572" width="1.44140625" style="127" customWidth="1"/>
    <col min="3573" max="3573" width="39.109375" style="127" customWidth="1"/>
    <col min="3574" max="3574" width="12" style="127" customWidth="1"/>
    <col min="3575" max="3575" width="14.44140625" style="127" customWidth="1"/>
    <col min="3576" max="3576" width="11.88671875" style="127" customWidth="1"/>
    <col min="3577" max="3577" width="14.109375" style="127" customWidth="1"/>
    <col min="3578" max="3578" width="13.88671875" style="127" customWidth="1"/>
    <col min="3579" max="3580" width="12.77734375" style="127" customWidth="1"/>
    <col min="3581" max="3581" width="13.5546875" style="127" customWidth="1"/>
    <col min="3582" max="3582" width="15.33203125" style="127" customWidth="1"/>
    <col min="3583" max="3583" width="12.77734375" style="127" customWidth="1"/>
    <col min="3584" max="3584" width="13.88671875" style="127" customWidth="1"/>
    <col min="3585" max="3585" width="1.88671875" style="127" customWidth="1"/>
    <col min="3586" max="3586" width="13" style="127" customWidth="1"/>
    <col min="3587" max="3826" width="8.88671875" style="127"/>
    <col min="3827" max="3827" width="6" style="127" customWidth="1"/>
    <col min="3828" max="3828" width="1.44140625" style="127" customWidth="1"/>
    <col min="3829" max="3829" width="39.109375" style="127" customWidth="1"/>
    <col min="3830" max="3830" width="12" style="127" customWidth="1"/>
    <col min="3831" max="3831" width="14.44140625" style="127" customWidth="1"/>
    <col min="3832" max="3832" width="11.88671875" style="127" customWidth="1"/>
    <col min="3833" max="3833" width="14.109375" style="127" customWidth="1"/>
    <col min="3834" max="3834" width="13.88671875" style="127" customWidth="1"/>
    <col min="3835" max="3836" width="12.77734375" style="127" customWidth="1"/>
    <col min="3837" max="3837" width="13.5546875" style="127" customWidth="1"/>
    <col min="3838" max="3838" width="15.33203125" style="127" customWidth="1"/>
    <col min="3839" max="3839" width="12.77734375" style="127" customWidth="1"/>
    <col min="3840" max="3840" width="13.88671875" style="127" customWidth="1"/>
    <col min="3841" max="3841" width="1.88671875" style="127" customWidth="1"/>
    <col min="3842" max="3842" width="13" style="127" customWidth="1"/>
    <col min="3843" max="4082" width="8.88671875" style="127"/>
    <col min="4083" max="4083" width="6" style="127" customWidth="1"/>
    <col min="4084" max="4084" width="1.44140625" style="127" customWidth="1"/>
    <col min="4085" max="4085" width="39.109375" style="127" customWidth="1"/>
    <col min="4086" max="4086" width="12" style="127" customWidth="1"/>
    <col min="4087" max="4087" width="14.44140625" style="127" customWidth="1"/>
    <col min="4088" max="4088" width="11.88671875" style="127" customWidth="1"/>
    <col min="4089" max="4089" width="14.109375" style="127" customWidth="1"/>
    <col min="4090" max="4090" width="13.88671875" style="127" customWidth="1"/>
    <col min="4091" max="4092" width="12.77734375" style="127" customWidth="1"/>
    <col min="4093" max="4093" width="13.5546875" style="127" customWidth="1"/>
    <col min="4094" max="4094" width="15.33203125" style="127" customWidth="1"/>
    <col min="4095" max="4095" width="12.77734375" style="127" customWidth="1"/>
    <col min="4096" max="4096" width="13.88671875" style="127" customWidth="1"/>
    <col min="4097" max="4097" width="1.88671875" style="127" customWidth="1"/>
    <col min="4098" max="4098" width="13" style="127" customWidth="1"/>
    <col min="4099" max="4338" width="8.88671875" style="127"/>
    <col min="4339" max="4339" width="6" style="127" customWidth="1"/>
    <col min="4340" max="4340" width="1.44140625" style="127" customWidth="1"/>
    <col min="4341" max="4341" width="39.109375" style="127" customWidth="1"/>
    <col min="4342" max="4342" width="12" style="127" customWidth="1"/>
    <col min="4343" max="4343" width="14.44140625" style="127" customWidth="1"/>
    <col min="4344" max="4344" width="11.88671875" style="127" customWidth="1"/>
    <col min="4345" max="4345" width="14.109375" style="127" customWidth="1"/>
    <col min="4346" max="4346" width="13.88671875" style="127" customWidth="1"/>
    <col min="4347" max="4348" width="12.77734375" style="127" customWidth="1"/>
    <col min="4349" max="4349" width="13.5546875" style="127" customWidth="1"/>
    <col min="4350" max="4350" width="15.33203125" style="127" customWidth="1"/>
    <col min="4351" max="4351" width="12.77734375" style="127" customWidth="1"/>
    <col min="4352" max="4352" width="13.88671875" style="127" customWidth="1"/>
    <col min="4353" max="4353" width="1.88671875" style="127" customWidth="1"/>
    <col min="4354" max="4354" width="13" style="127" customWidth="1"/>
    <col min="4355" max="4594" width="8.88671875" style="127"/>
    <col min="4595" max="4595" width="6" style="127" customWidth="1"/>
    <col min="4596" max="4596" width="1.44140625" style="127" customWidth="1"/>
    <col min="4597" max="4597" width="39.109375" style="127" customWidth="1"/>
    <col min="4598" max="4598" width="12" style="127" customWidth="1"/>
    <col min="4599" max="4599" width="14.44140625" style="127" customWidth="1"/>
    <col min="4600" max="4600" width="11.88671875" style="127" customWidth="1"/>
    <col min="4601" max="4601" width="14.109375" style="127" customWidth="1"/>
    <col min="4602" max="4602" width="13.88671875" style="127" customWidth="1"/>
    <col min="4603" max="4604" width="12.77734375" style="127" customWidth="1"/>
    <col min="4605" max="4605" width="13.5546875" style="127" customWidth="1"/>
    <col min="4606" max="4606" width="15.33203125" style="127" customWidth="1"/>
    <col min="4607" max="4607" width="12.77734375" style="127" customWidth="1"/>
    <col min="4608" max="4608" width="13.88671875" style="127" customWidth="1"/>
    <col min="4609" max="4609" width="1.88671875" style="127" customWidth="1"/>
    <col min="4610" max="4610" width="13" style="127" customWidth="1"/>
    <col min="4611" max="4850" width="8.88671875" style="127"/>
    <col min="4851" max="4851" width="6" style="127" customWidth="1"/>
    <col min="4852" max="4852" width="1.44140625" style="127" customWidth="1"/>
    <col min="4853" max="4853" width="39.109375" style="127" customWidth="1"/>
    <col min="4854" max="4854" width="12" style="127" customWidth="1"/>
    <col min="4855" max="4855" width="14.44140625" style="127" customWidth="1"/>
    <col min="4856" max="4856" width="11.88671875" style="127" customWidth="1"/>
    <col min="4857" max="4857" width="14.109375" style="127" customWidth="1"/>
    <col min="4858" max="4858" width="13.88671875" style="127" customWidth="1"/>
    <col min="4859" max="4860" width="12.77734375" style="127" customWidth="1"/>
    <col min="4861" max="4861" width="13.5546875" style="127" customWidth="1"/>
    <col min="4862" max="4862" width="15.33203125" style="127" customWidth="1"/>
    <col min="4863" max="4863" width="12.77734375" style="127" customWidth="1"/>
    <col min="4864" max="4864" width="13.88671875" style="127" customWidth="1"/>
    <col min="4865" max="4865" width="1.88671875" style="127" customWidth="1"/>
    <col min="4866" max="4866" width="13" style="127" customWidth="1"/>
    <col min="4867" max="5106" width="8.88671875" style="127"/>
    <col min="5107" max="5107" width="6" style="127" customWidth="1"/>
    <col min="5108" max="5108" width="1.44140625" style="127" customWidth="1"/>
    <col min="5109" max="5109" width="39.109375" style="127" customWidth="1"/>
    <col min="5110" max="5110" width="12" style="127" customWidth="1"/>
    <col min="5111" max="5111" width="14.44140625" style="127" customWidth="1"/>
    <col min="5112" max="5112" width="11.88671875" style="127" customWidth="1"/>
    <col min="5113" max="5113" width="14.109375" style="127" customWidth="1"/>
    <col min="5114" max="5114" width="13.88671875" style="127" customWidth="1"/>
    <col min="5115" max="5116" width="12.77734375" style="127" customWidth="1"/>
    <col min="5117" max="5117" width="13.5546875" style="127" customWidth="1"/>
    <col min="5118" max="5118" width="15.33203125" style="127" customWidth="1"/>
    <col min="5119" max="5119" width="12.77734375" style="127" customWidth="1"/>
    <col min="5120" max="5120" width="13.88671875" style="127" customWidth="1"/>
    <col min="5121" max="5121" width="1.88671875" style="127" customWidth="1"/>
    <col min="5122" max="5122" width="13" style="127" customWidth="1"/>
    <col min="5123" max="5362" width="8.88671875" style="127"/>
    <col min="5363" max="5363" width="6" style="127" customWidth="1"/>
    <col min="5364" max="5364" width="1.44140625" style="127" customWidth="1"/>
    <col min="5365" max="5365" width="39.109375" style="127" customWidth="1"/>
    <col min="5366" max="5366" width="12" style="127" customWidth="1"/>
    <col min="5367" max="5367" width="14.44140625" style="127" customWidth="1"/>
    <col min="5368" max="5368" width="11.88671875" style="127" customWidth="1"/>
    <col min="5369" max="5369" width="14.109375" style="127" customWidth="1"/>
    <col min="5370" max="5370" width="13.88671875" style="127" customWidth="1"/>
    <col min="5371" max="5372" width="12.77734375" style="127" customWidth="1"/>
    <col min="5373" max="5373" width="13.5546875" style="127" customWidth="1"/>
    <col min="5374" max="5374" width="15.33203125" style="127" customWidth="1"/>
    <col min="5375" max="5375" width="12.77734375" style="127" customWidth="1"/>
    <col min="5376" max="5376" width="13.88671875" style="127" customWidth="1"/>
    <col min="5377" max="5377" width="1.88671875" style="127" customWidth="1"/>
    <col min="5378" max="5378" width="13" style="127" customWidth="1"/>
    <col min="5379" max="5618" width="8.88671875" style="127"/>
    <col min="5619" max="5619" width="6" style="127" customWidth="1"/>
    <col min="5620" max="5620" width="1.44140625" style="127" customWidth="1"/>
    <col min="5621" max="5621" width="39.109375" style="127" customWidth="1"/>
    <col min="5622" max="5622" width="12" style="127" customWidth="1"/>
    <col min="5623" max="5623" width="14.44140625" style="127" customWidth="1"/>
    <col min="5624" max="5624" width="11.88671875" style="127" customWidth="1"/>
    <col min="5625" max="5625" width="14.109375" style="127" customWidth="1"/>
    <col min="5626" max="5626" width="13.88671875" style="127" customWidth="1"/>
    <col min="5627" max="5628" width="12.77734375" style="127" customWidth="1"/>
    <col min="5629" max="5629" width="13.5546875" style="127" customWidth="1"/>
    <col min="5630" max="5630" width="15.33203125" style="127" customWidth="1"/>
    <col min="5631" max="5631" width="12.77734375" style="127" customWidth="1"/>
    <col min="5632" max="5632" width="13.88671875" style="127" customWidth="1"/>
    <col min="5633" max="5633" width="1.88671875" style="127" customWidth="1"/>
    <col min="5634" max="5634" width="13" style="127" customWidth="1"/>
    <col min="5635" max="5874" width="8.88671875" style="127"/>
    <col min="5875" max="5875" width="6" style="127" customWidth="1"/>
    <col min="5876" max="5876" width="1.44140625" style="127" customWidth="1"/>
    <col min="5877" max="5877" width="39.109375" style="127" customWidth="1"/>
    <col min="5878" max="5878" width="12" style="127" customWidth="1"/>
    <col min="5879" max="5879" width="14.44140625" style="127" customWidth="1"/>
    <col min="5880" max="5880" width="11.88671875" style="127" customWidth="1"/>
    <col min="5881" max="5881" width="14.109375" style="127" customWidth="1"/>
    <col min="5882" max="5882" width="13.88671875" style="127" customWidth="1"/>
    <col min="5883" max="5884" width="12.77734375" style="127" customWidth="1"/>
    <col min="5885" max="5885" width="13.5546875" style="127" customWidth="1"/>
    <col min="5886" max="5886" width="15.33203125" style="127" customWidth="1"/>
    <col min="5887" max="5887" width="12.77734375" style="127" customWidth="1"/>
    <col min="5888" max="5888" width="13.88671875" style="127" customWidth="1"/>
    <col min="5889" max="5889" width="1.88671875" style="127" customWidth="1"/>
    <col min="5890" max="5890" width="13" style="127" customWidth="1"/>
    <col min="5891" max="6130" width="8.88671875" style="127"/>
    <col min="6131" max="6131" width="6" style="127" customWidth="1"/>
    <col min="6132" max="6132" width="1.44140625" style="127" customWidth="1"/>
    <col min="6133" max="6133" width="39.109375" style="127" customWidth="1"/>
    <col min="6134" max="6134" width="12" style="127" customWidth="1"/>
    <col min="6135" max="6135" width="14.44140625" style="127" customWidth="1"/>
    <col min="6136" max="6136" width="11.88671875" style="127" customWidth="1"/>
    <col min="6137" max="6137" width="14.109375" style="127" customWidth="1"/>
    <col min="6138" max="6138" width="13.88671875" style="127" customWidth="1"/>
    <col min="6139" max="6140" width="12.77734375" style="127" customWidth="1"/>
    <col min="6141" max="6141" width="13.5546875" style="127" customWidth="1"/>
    <col min="6142" max="6142" width="15.33203125" style="127" customWidth="1"/>
    <col min="6143" max="6143" width="12.77734375" style="127" customWidth="1"/>
    <col min="6144" max="6144" width="13.88671875" style="127" customWidth="1"/>
    <col min="6145" max="6145" width="1.88671875" style="127" customWidth="1"/>
    <col min="6146" max="6146" width="13" style="127" customWidth="1"/>
    <col min="6147" max="6386" width="8.88671875" style="127"/>
    <col min="6387" max="6387" width="6" style="127" customWidth="1"/>
    <col min="6388" max="6388" width="1.44140625" style="127" customWidth="1"/>
    <col min="6389" max="6389" width="39.109375" style="127" customWidth="1"/>
    <col min="6390" max="6390" width="12" style="127" customWidth="1"/>
    <col min="6391" max="6391" width="14.44140625" style="127" customWidth="1"/>
    <col min="6392" max="6392" width="11.88671875" style="127" customWidth="1"/>
    <col min="6393" max="6393" width="14.109375" style="127" customWidth="1"/>
    <col min="6394" max="6394" width="13.88671875" style="127" customWidth="1"/>
    <col min="6395" max="6396" width="12.77734375" style="127" customWidth="1"/>
    <col min="6397" max="6397" width="13.5546875" style="127" customWidth="1"/>
    <col min="6398" max="6398" width="15.33203125" style="127" customWidth="1"/>
    <col min="6399" max="6399" width="12.77734375" style="127" customWidth="1"/>
    <col min="6400" max="6400" width="13.88671875" style="127" customWidth="1"/>
    <col min="6401" max="6401" width="1.88671875" style="127" customWidth="1"/>
    <col min="6402" max="6402" width="13" style="127" customWidth="1"/>
    <col min="6403" max="6642" width="8.88671875" style="127"/>
    <col min="6643" max="6643" width="6" style="127" customWidth="1"/>
    <col min="6644" max="6644" width="1.44140625" style="127" customWidth="1"/>
    <col min="6645" max="6645" width="39.109375" style="127" customWidth="1"/>
    <col min="6646" max="6646" width="12" style="127" customWidth="1"/>
    <col min="6647" max="6647" width="14.44140625" style="127" customWidth="1"/>
    <col min="6648" max="6648" width="11.88671875" style="127" customWidth="1"/>
    <col min="6649" max="6649" width="14.109375" style="127" customWidth="1"/>
    <col min="6650" max="6650" width="13.88671875" style="127" customWidth="1"/>
    <col min="6651" max="6652" width="12.77734375" style="127" customWidth="1"/>
    <col min="6653" max="6653" width="13.5546875" style="127" customWidth="1"/>
    <col min="6654" max="6654" width="15.33203125" style="127" customWidth="1"/>
    <col min="6655" max="6655" width="12.77734375" style="127" customWidth="1"/>
    <col min="6656" max="6656" width="13.88671875" style="127" customWidth="1"/>
    <col min="6657" max="6657" width="1.88671875" style="127" customWidth="1"/>
    <col min="6658" max="6658" width="13" style="127" customWidth="1"/>
    <col min="6659" max="6898" width="8.88671875" style="127"/>
    <col min="6899" max="6899" width="6" style="127" customWidth="1"/>
    <col min="6900" max="6900" width="1.44140625" style="127" customWidth="1"/>
    <col min="6901" max="6901" width="39.109375" style="127" customWidth="1"/>
    <col min="6902" max="6902" width="12" style="127" customWidth="1"/>
    <col min="6903" max="6903" width="14.44140625" style="127" customWidth="1"/>
    <col min="6904" max="6904" width="11.88671875" style="127" customWidth="1"/>
    <col min="6905" max="6905" width="14.109375" style="127" customWidth="1"/>
    <col min="6906" max="6906" width="13.88671875" style="127" customWidth="1"/>
    <col min="6907" max="6908" width="12.77734375" style="127" customWidth="1"/>
    <col min="6909" max="6909" width="13.5546875" style="127" customWidth="1"/>
    <col min="6910" max="6910" width="15.33203125" style="127" customWidth="1"/>
    <col min="6911" max="6911" width="12.77734375" style="127" customWidth="1"/>
    <col min="6912" max="6912" width="13.88671875" style="127" customWidth="1"/>
    <col min="6913" max="6913" width="1.88671875" style="127" customWidth="1"/>
    <col min="6914" max="6914" width="13" style="127" customWidth="1"/>
    <col min="6915" max="7154" width="8.88671875" style="127"/>
    <col min="7155" max="7155" width="6" style="127" customWidth="1"/>
    <col min="7156" max="7156" width="1.44140625" style="127" customWidth="1"/>
    <col min="7157" max="7157" width="39.109375" style="127" customWidth="1"/>
    <col min="7158" max="7158" width="12" style="127" customWidth="1"/>
    <col min="7159" max="7159" width="14.44140625" style="127" customWidth="1"/>
    <col min="7160" max="7160" width="11.88671875" style="127" customWidth="1"/>
    <col min="7161" max="7161" width="14.109375" style="127" customWidth="1"/>
    <col min="7162" max="7162" width="13.88671875" style="127" customWidth="1"/>
    <col min="7163" max="7164" width="12.77734375" style="127" customWidth="1"/>
    <col min="7165" max="7165" width="13.5546875" style="127" customWidth="1"/>
    <col min="7166" max="7166" width="15.33203125" style="127" customWidth="1"/>
    <col min="7167" max="7167" width="12.77734375" style="127" customWidth="1"/>
    <col min="7168" max="7168" width="13.88671875" style="127" customWidth="1"/>
    <col min="7169" max="7169" width="1.88671875" style="127" customWidth="1"/>
    <col min="7170" max="7170" width="13" style="127" customWidth="1"/>
    <col min="7171" max="7410" width="8.88671875" style="127"/>
    <col min="7411" max="7411" width="6" style="127" customWidth="1"/>
    <col min="7412" max="7412" width="1.44140625" style="127" customWidth="1"/>
    <col min="7413" max="7413" width="39.109375" style="127" customWidth="1"/>
    <col min="7414" max="7414" width="12" style="127" customWidth="1"/>
    <col min="7415" max="7415" width="14.44140625" style="127" customWidth="1"/>
    <col min="7416" max="7416" width="11.88671875" style="127" customWidth="1"/>
    <col min="7417" max="7417" width="14.109375" style="127" customWidth="1"/>
    <col min="7418" max="7418" width="13.88671875" style="127" customWidth="1"/>
    <col min="7419" max="7420" width="12.77734375" style="127" customWidth="1"/>
    <col min="7421" max="7421" width="13.5546875" style="127" customWidth="1"/>
    <col min="7422" max="7422" width="15.33203125" style="127" customWidth="1"/>
    <col min="7423" max="7423" width="12.77734375" style="127" customWidth="1"/>
    <col min="7424" max="7424" width="13.88671875" style="127" customWidth="1"/>
    <col min="7425" max="7425" width="1.88671875" style="127" customWidth="1"/>
    <col min="7426" max="7426" width="13" style="127" customWidth="1"/>
    <col min="7427" max="7666" width="8.88671875" style="127"/>
    <col min="7667" max="7667" width="6" style="127" customWidth="1"/>
    <col min="7668" max="7668" width="1.44140625" style="127" customWidth="1"/>
    <col min="7669" max="7669" width="39.109375" style="127" customWidth="1"/>
    <col min="7670" max="7670" width="12" style="127" customWidth="1"/>
    <col min="7671" max="7671" width="14.44140625" style="127" customWidth="1"/>
    <col min="7672" max="7672" width="11.88671875" style="127" customWidth="1"/>
    <col min="7673" max="7673" width="14.109375" style="127" customWidth="1"/>
    <col min="7674" max="7674" width="13.88671875" style="127" customWidth="1"/>
    <col min="7675" max="7676" width="12.77734375" style="127" customWidth="1"/>
    <col min="7677" max="7677" width="13.5546875" style="127" customWidth="1"/>
    <col min="7678" max="7678" width="15.33203125" style="127" customWidth="1"/>
    <col min="7679" max="7679" width="12.77734375" style="127" customWidth="1"/>
    <col min="7680" max="7680" width="13.88671875" style="127" customWidth="1"/>
    <col min="7681" max="7681" width="1.88671875" style="127" customWidth="1"/>
    <col min="7682" max="7682" width="13" style="127" customWidth="1"/>
    <col min="7683" max="7922" width="8.88671875" style="127"/>
    <col min="7923" max="7923" width="6" style="127" customWidth="1"/>
    <col min="7924" max="7924" width="1.44140625" style="127" customWidth="1"/>
    <col min="7925" max="7925" width="39.109375" style="127" customWidth="1"/>
    <col min="7926" max="7926" width="12" style="127" customWidth="1"/>
    <col min="7927" max="7927" width="14.44140625" style="127" customWidth="1"/>
    <col min="7928" max="7928" width="11.88671875" style="127" customWidth="1"/>
    <col min="7929" max="7929" width="14.109375" style="127" customWidth="1"/>
    <col min="7930" max="7930" width="13.88671875" style="127" customWidth="1"/>
    <col min="7931" max="7932" width="12.77734375" style="127" customWidth="1"/>
    <col min="7933" max="7933" width="13.5546875" style="127" customWidth="1"/>
    <col min="7934" max="7934" width="15.33203125" style="127" customWidth="1"/>
    <col min="7935" max="7935" width="12.77734375" style="127" customWidth="1"/>
    <col min="7936" max="7936" width="13.88671875" style="127" customWidth="1"/>
    <col min="7937" max="7937" width="1.88671875" style="127" customWidth="1"/>
    <col min="7938" max="7938" width="13" style="127" customWidth="1"/>
    <col min="7939" max="8178" width="8.88671875" style="127"/>
    <col min="8179" max="8179" width="6" style="127" customWidth="1"/>
    <col min="8180" max="8180" width="1.44140625" style="127" customWidth="1"/>
    <col min="8181" max="8181" width="39.109375" style="127" customWidth="1"/>
    <col min="8182" max="8182" width="12" style="127" customWidth="1"/>
    <col min="8183" max="8183" width="14.44140625" style="127" customWidth="1"/>
    <col min="8184" max="8184" width="11.88671875" style="127" customWidth="1"/>
    <col min="8185" max="8185" width="14.109375" style="127" customWidth="1"/>
    <col min="8186" max="8186" width="13.88671875" style="127" customWidth="1"/>
    <col min="8187" max="8188" width="12.77734375" style="127" customWidth="1"/>
    <col min="8189" max="8189" width="13.5546875" style="127" customWidth="1"/>
    <col min="8190" max="8190" width="15.33203125" style="127" customWidth="1"/>
    <col min="8191" max="8191" width="12.77734375" style="127" customWidth="1"/>
    <col min="8192" max="8192" width="13.88671875" style="127" customWidth="1"/>
    <col min="8193" max="8193" width="1.88671875" style="127" customWidth="1"/>
    <col min="8194" max="8194" width="13" style="127" customWidth="1"/>
    <col min="8195" max="8434" width="8.88671875" style="127"/>
    <col min="8435" max="8435" width="6" style="127" customWidth="1"/>
    <col min="8436" max="8436" width="1.44140625" style="127" customWidth="1"/>
    <col min="8437" max="8437" width="39.109375" style="127" customWidth="1"/>
    <col min="8438" max="8438" width="12" style="127" customWidth="1"/>
    <col min="8439" max="8439" width="14.44140625" style="127" customWidth="1"/>
    <col min="8440" max="8440" width="11.88671875" style="127" customWidth="1"/>
    <col min="8441" max="8441" width="14.109375" style="127" customWidth="1"/>
    <col min="8442" max="8442" width="13.88671875" style="127" customWidth="1"/>
    <col min="8443" max="8444" width="12.77734375" style="127" customWidth="1"/>
    <col min="8445" max="8445" width="13.5546875" style="127" customWidth="1"/>
    <col min="8446" max="8446" width="15.33203125" style="127" customWidth="1"/>
    <col min="8447" max="8447" width="12.77734375" style="127" customWidth="1"/>
    <col min="8448" max="8448" width="13.88671875" style="127" customWidth="1"/>
    <col min="8449" max="8449" width="1.88671875" style="127" customWidth="1"/>
    <col min="8450" max="8450" width="13" style="127" customWidth="1"/>
    <col min="8451" max="8690" width="8.88671875" style="127"/>
    <col min="8691" max="8691" width="6" style="127" customWidth="1"/>
    <col min="8692" max="8692" width="1.44140625" style="127" customWidth="1"/>
    <col min="8693" max="8693" width="39.109375" style="127" customWidth="1"/>
    <col min="8694" max="8694" width="12" style="127" customWidth="1"/>
    <col min="8695" max="8695" width="14.44140625" style="127" customWidth="1"/>
    <col min="8696" max="8696" width="11.88671875" style="127" customWidth="1"/>
    <col min="8697" max="8697" width="14.109375" style="127" customWidth="1"/>
    <col min="8698" max="8698" width="13.88671875" style="127" customWidth="1"/>
    <col min="8699" max="8700" width="12.77734375" style="127" customWidth="1"/>
    <col min="8701" max="8701" width="13.5546875" style="127" customWidth="1"/>
    <col min="8702" max="8702" width="15.33203125" style="127" customWidth="1"/>
    <col min="8703" max="8703" width="12.77734375" style="127" customWidth="1"/>
    <col min="8704" max="8704" width="13.88671875" style="127" customWidth="1"/>
    <col min="8705" max="8705" width="1.88671875" style="127" customWidth="1"/>
    <col min="8706" max="8706" width="13" style="127" customWidth="1"/>
    <col min="8707" max="8946" width="8.88671875" style="127"/>
    <col min="8947" max="8947" width="6" style="127" customWidth="1"/>
    <col min="8948" max="8948" width="1.44140625" style="127" customWidth="1"/>
    <col min="8949" max="8949" width="39.109375" style="127" customWidth="1"/>
    <col min="8950" max="8950" width="12" style="127" customWidth="1"/>
    <col min="8951" max="8951" width="14.44140625" style="127" customWidth="1"/>
    <col min="8952" max="8952" width="11.88671875" style="127" customWidth="1"/>
    <col min="8953" max="8953" width="14.109375" style="127" customWidth="1"/>
    <col min="8954" max="8954" width="13.88671875" style="127" customWidth="1"/>
    <col min="8955" max="8956" width="12.77734375" style="127" customWidth="1"/>
    <col min="8957" max="8957" width="13.5546875" style="127" customWidth="1"/>
    <col min="8958" max="8958" width="15.33203125" style="127" customWidth="1"/>
    <col min="8959" max="8959" width="12.77734375" style="127" customWidth="1"/>
    <col min="8960" max="8960" width="13.88671875" style="127" customWidth="1"/>
    <col min="8961" max="8961" width="1.88671875" style="127" customWidth="1"/>
    <col min="8962" max="8962" width="13" style="127" customWidth="1"/>
    <col min="8963" max="9202" width="8.88671875" style="127"/>
    <col min="9203" max="9203" width="6" style="127" customWidth="1"/>
    <col min="9204" max="9204" width="1.44140625" style="127" customWidth="1"/>
    <col min="9205" max="9205" width="39.109375" style="127" customWidth="1"/>
    <col min="9206" max="9206" width="12" style="127" customWidth="1"/>
    <col min="9207" max="9207" width="14.44140625" style="127" customWidth="1"/>
    <col min="9208" max="9208" width="11.88671875" style="127" customWidth="1"/>
    <col min="9209" max="9209" width="14.109375" style="127" customWidth="1"/>
    <col min="9210" max="9210" width="13.88671875" style="127" customWidth="1"/>
    <col min="9211" max="9212" width="12.77734375" style="127" customWidth="1"/>
    <col min="9213" max="9213" width="13.5546875" style="127" customWidth="1"/>
    <col min="9214" max="9214" width="15.33203125" style="127" customWidth="1"/>
    <col min="9215" max="9215" width="12.77734375" style="127" customWidth="1"/>
    <col min="9216" max="9216" width="13.88671875" style="127" customWidth="1"/>
    <col min="9217" max="9217" width="1.88671875" style="127" customWidth="1"/>
    <col min="9218" max="9218" width="13" style="127" customWidth="1"/>
    <col min="9219" max="9458" width="8.88671875" style="127"/>
    <col min="9459" max="9459" width="6" style="127" customWidth="1"/>
    <col min="9460" max="9460" width="1.44140625" style="127" customWidth="1"/>
    <col min="9461" max="9461" width="39.109375" style="127" customWidth="1"/>
    <col min="9462" max="9462" width="12" style="127" customWidth="1"/>
    <col min="9463" max="9463" width="14.44140625" style="127" customWidth="1"/>
    <col min="9464" max="9464" width="11.88671875" style="127" customWidth="1"/>
    <col min="9465" max="9465" width="14.109375" style="127" customWidth="1"/>
    <col min="9466" max="9466" width="13.88671875" style="127" customWidth="1"/>
    <col min="9467" max="9468" width="12.77734375" style="127" customWidth="1"/>
    <col min="9469" max="9469" width="13.5546875" style="127" customWidth="1"/>
    <col min="9470" max="9470" width="15.33203125" style="127" customWidth="1"/>
    <col min="9471" max="9471" width="12.77734375" style="127" customWidth="1"/>
    <col min="9472" max="9472" width="13.88671875" style="127" customWidth="1"/>
    <col min="9473" max="9473" width="1.88671875" style="127" customWidth="1"/>
    <col min="9474" max="9474" width="13" style="127" customWidth="1"/>
    <col min="9475" max="9714" width="8.88671875" style="127"/>
    <col min="9715" max="9715" width="6" style="127" customWidth="1"/>
    <col min="9716" max="9716" width="1.44140625" style="127" customWidth="1"/>
    <col min="9717" max="9717" width="39.109375" style="127" customWidth="1"/>
    <col min="9718" max="9718" width="12" style="127" customWidth="1"/>
    <col min="9719" max="9719" width="14.44140625" style="127" customWidth="1"/>
    <col min="9720" max="9720" width="11.88671875" style="127" customWidth="1"/>
    <col min="9721" max="9721" width="14.109375" style="127" customWidth="1"/>
    <col min="9722" max="9722" width="13.88671875" style="127" customWidth="1"/>
    <col min="9723" max="9724" width="12.77734375" style="127" customWidth="1"/>
    <col min="9725" max="9725" width="13.5546875" style="127" customWidth="1"/>
    <col min="9726" max="9726" width="15.33203125" style="127" customWidth="1"/>
    <col min="9727" max="9727" width="12.77734375" style="127" customWidth="1"/>
    <col min="9728" max="9728" width="13.88671875" style="127" customWidth="1"/>
    <col min="9729" max="9729" width="1.88671875" style="127" customWidth="1"/>
    <col min="9730" max="9730" width="13" style="127" customWidth="1"/>
    <col min="9731" max="9970" width="8.88671875" style="127"/>
    <col min="9971" max="9971" width="6" style="127" customWidth="1"/>
    <col min="9972" max="9972" width="1.44140625" style="127" customWidth="1"/>
    <col min="9973" max="9973" width="39.109375" style="127" customWidth="1"/>
    <col min="9974" max="9974" width="12" style="127" customWidth="1"/>
    <col min="9975" max="9975" width="14.44140625" style="127" customWidth="1"/>
    <col min="9976" max="9976" width="11.88671875" style="127" customWidth="1"/>
    <col min="9977" max="9977" width="14.109375" style="127" customWidth="1"/>
    <col min="9978" max="9978" width="13.88671875" style="127" customWidth="1"/>
    <col min="9979" max="9980" width="12.77734375" style="127" customWidth="1"/>
    <col min="9981" max="9981" width="13.5546875" style="127" customWidth="1"/>
    <col min="9982" max="9982" width="15.33203125" style="127" customWidth="1"/>
    <col min="9983" max="9983" width="12.77734375" style="127" customWidth="1"/>
    <col min="9984" max="9984" width="13.88671875" style="127" customWidth="1"/>
    <col min="9985" max="9985" width="1.88671875" style="127" customWidth="1"/>
    <col min="9986" max="9986" width="13" style="127" customWidth="1"/>
    <col min="9987" max="10226" width="8.88671875" style="127"/>
    <col min="10227" max="10227" width="6" style="127" customWidth="1"/>
    <col min="10228" max="10228" width="1.44140625" style="127" customWidth="1"/>
    <col min="10229" max="10229" width="39.109375" style="127" customWidth="1"/>
    <col min="10230" max="10230" width="12" style="127" customWidth="1"/>
    <col min="10231" max="10231" width="14.44140625" style="127" customWidth="1"/>
    <col min="10232" max="10232" width="11.88671875" style="127" customWidth="1"/>
    <col min="10233" max="10233" width="14.109375" style="127" customWidth="1"/>
    <col min="10234" max="10234" width="13.88671875" style="127" customWidth="1"/>
    <col min="10235" max="10236" width="12.77734375" style="127" customWidth="1"/>
    <col min="10237" max="10237" width="13.5546875" style="127" customWidth="1"/>
    <col min="10238" max="10238" width="15.33203125" style="127" customWidth="1"/>
    <col min="10239" max="10239" width="12.77734375" style="127" customWidth="1"/>
    <col min="10240" max="10240" width="13.88671875" style="127" customWidth="1"/>
    <col min="10241" max="10241" width="1.88671875" style="127" customWidth="1"/>
    <col min="10242" max="10242" width="13" style="127" customWidth="1"/>
    <col min="10243" max="10482" width="8.88671875" style="127"/>
    <col min="10483" max="10483" width="6" style="127" customWidth="1"/>
    <col min="10484" max="10484" width="1.44140625" style="127" customWidth="1"/>
    <col min="10485" max="10485" width="39.109375" style="127" customWidth="1"/>
    <col min="10486" max="10486" width="12" style="127" customWidth="1"/>
    <col min="10487" max="10487" width="14.44140625" style="127" customWidth="1"/>
    <col min="10488" max="10488" width="11.88671875" style="127" customWidth="1"/>
    <col min="10489" max="10489" width="14.109375" style="127" customWidth="1"/>
    <col min="10490" max="10490" width="13.88671875" style="127" customWidth="1"/>
    <col min="10491" max="10492" width="12.77734375" style="127" customWidth="1"/>
    <col min="10493" max="10493" width="13.5546875" style="127" customWidth="1"/>
    <col min="10494" max="10494" width="15.33203125" style="127" customWidth="1"/>
    <col min="10495" max="10495" width="12.77734375" style="127" customWidth="1"/>
    <col min="10496" max="10496" width="13.88671875" style="127" customWidth="1"/>
    <col min="10497" max="10497" width="1.88671875" style="127" customWidth="1"/>
    <col min="10498" max="10498" width="13" style="127" customWidth="1"/>
    <col min="10499" max="10738" width="8.88671875" style="127"/>
    <col min="10739" max="10739" width="6" style="127" customWidth="1"/>
    <col min="10740" max="10740" width="1.44140625" style="127" customWidth="1"/>
    <col min="10741" max="10741" width="39.109375" style="127" customWidth="1"/>
    <col min="10742" max="10742" width="12" style="127" customWidth="1"/>
    <col min="10743" max="10743" width="14.44140625" style="127" customWidth="1"/>
    <col min="10744" max="10744" width="11.88671875" style="127" customWidth="1"/>
    <col min="10745" max="10745" width="14.109375" style="127" customWidth="1"/>
    <col min="10746" max="10746" width="13.88671875" style="127" customWidth="1"/>
    <col min="10747" max="10748" width="12.77734375" style="127" customWidth="1"/>
    <col min="10749" max="10749" width="13.5546875" style="127" customWidth="1"/>
    <col min="10750" max="10750" width="15.33203125" style="127" customWidth="1"/>
    <col min="10751" max="10751" width="12.77734375" style="127" customWidth="1"/>
    <col min="10752" max="10752" width="13.88671875" style="127" customWidth="1"/>
    <col min="10753" max="10753" width="1.88671875" style="127" customWidth="1"/>
    <col min="10754" max="10754" width="13" style="127" customWidth="1"/>
    <col min="10755" max="10994" width="8.88671875" style="127"/>
    <col min="10995" max="10995" width="6" style="127" customWidth="1"/>
    <col min="10996" max="10996" width="1.44140625" style="127" customWidth="1"/>
    <col min="10997" max="10997" width="39.109375" style="127" customWidth="1"/>
    <col min="10998" max="10998" width="12" style="127" customWidth="1"/>
    <col min="10999" max="10999" width="14.44140625" style="127" customWidth="1"/>
    <col min="11000" max="11000" width="11.88671875" style="127" customWidth="1"/>
    <col min="11001" max="11001" width="14.109375" style="127" customWidth="1"/>
    <col min="11002" max="11002" width="13.88671875" style="127" customWidth="1"/>
    <col min="11003" max="11004" width="12.77734375" style="127" customWidth="1"/>
    <col min="11005" max="11005" width="13.5546875" style="127" customWidth="1"/>
    <col min="11006" max="11006" width="15.33203125" style="127" customWidth="1"/>
    <col min="11007" max="11007" width="12.77734375" style="127" customWidth="1"/>
    <col min="11008" max="11008" width="13.88671875" style="127" customWidth="1"/>
    <col min="11009" max="11009" width="1.88671875" style="127" customWidth="1"/>
    <col min="11010" max="11010" width="13" style="127" customWidth="1"/>
    <col min="11011" max="11250" width="8.88671875" style="127"/>
    <col min="11251" max="11251" width="6" style="127" customWidth="1"/>
    <col min="11252" max="11252" width="1.44140625" style="127" customWidth="1"/>
    <col min="11253" max="11253" width="39.109375" style="127" customWidth="1"/>
    <col min="11254" max="11254" width="12" style="127" customWidth="1"/>
    <col min="11255" max="11255" width="14.44140625" style="127" customWidth="1"/>
    <col min="11256" max="11256" width="11.88671875" style="127" customWidth="1"/>
    <col min="11257" max="11257" width="14.109375" style="127" customWidth="1"/>
    <col min="11258" max="11258" width="13.88671875" style="127" customWidth="1"/>
    <col min="11259" max="11260" width="12.77734375" style="127" customWidth="1"/>
    <col min="11261" max="11261" width="13.5546875" style="127" customWidth="1"/>
    <col min="11262" max="11262" width="15.33203125" style="127" customWidth="1"/>
    <col min="11263" max="11263" width="12.77734375" style="127" customWidth="1"/>
    <col min="11264" max="11264" width="13.88671875" style="127" customWidth="1"/>
    <col min="11265" max="11265" width="1.88671875" style="127" customWidth="1"/>
    <col min="11266" max="11266" width="13" style="127" customWidth="1"/>
    <col min="11267" max="11506" width="8.88671875" style="127"/>
    <col min="11507" max="11507" width="6" style="127" customWidth="1"/>
    <col min="11508" max="11508" width="1.44140625" style="127" customWidth="1"/>
    <col min="11509" max="11509" width="39.109375" style="127" customWidth="1"/>
    <col min="11510" max="11510" width="12" style="127" customWidth="1"/>
    <col min="11511" max="11511" width="14.44140625" style="127" customWidth="1"/>
    <col min="11512" max="11512" width="11.88671875" style="127" customWidth="1"/>
    <col min="11513" max="11513" width="14.109375" style="127" customWidth="1"/>
    <col min="11514" max="11514" width="13.88671875" style="127" customWidth="1"/>
    <col min="11515" max="11516" width="12.77734375" style="127" customWidth="1"/>
    <col min="11517" max="11517" width="13.5546875" style="127" customWidth="1"/>
    <col min="11518" max="11518" width="15.33203125" style="127" customWidth="1"/>
    <col min="11519" max="11519" width="12.77734375" style="127" customWidth="1"/>
    <col min="11520" max="11520" width="13.88671875" style="127" customWidth="1"/>
    <col min="11521" max="11521" width="1.88671875" style="127" customWidth="1"/>
    <col min="11522" max="11522" width="13" style="127" customWidth="1"/>
    <col min="11523" max="11762" width="8.88671875" style="127"/>
    <col min="11763" max="11763" width="6" style="127" customWidth="1"/>
    <col min="11764" max="11764" width="1.44140625" style="127" customWidth="1"/>
    <col min="11765" max="11765" width="39.109375" style="127" customWidth="1"/>
    <col min="11766" max="11766" width="12" style="127" customWidth="1"/>
    <col min="11767" max="11767" width="14.44140625" style="127" customWidth="1"/>
    <col min="11768" max="11768" width="11.88671875" style="127" customWidth="1"/>
    <col min="11769" max="11769" width="14.109375" style="127" customWidth="1"/>
    <col min="11770" max="11770" width="13.88671875" style="127" customWidth="1"/>
    <col min="11771" max="11772" width="12.77734375" style="127" customWidth="1"/>
    <col min="11773" max="11773" width="13.5546875" style="127" customWidth="1"/>
    <col min="11774" max="11774" width="15.33203125" style="127" customWidth="1"/>
    <col min="11775" max="11775" width="12.77734375" style="127" customWidth="1"/>
    <col min="11776" max="11776" width="13.88671875" style="127" customWidth="1"/>
    <col min="11777" max="11777" width="1.88671875" style="127" customWidth="1"/>
    <col min="11778" max="11778" width="13" style="127" customWidth="1"/>
    <col min="11779" max="12018" width="8.88671875" style="127"/>
    <col min="12019" max="12019" width="6" style="127" customWidth="1"/>
    <col min="12020" max="12020" width="1.44140625" style="127" customWidth="1"/>
    <col min="12021" max="12021" width="39.109375" style="127" customWidth="1"/>
    <col min="12022" max="12022" width="12" style="127" customWidth="1"/>
    <col min="12023" max="12023" width="14.44140625" style="127" customWidth="1"/>
    <col min="12024" max="12024" width="11.88671875" style="127" customWidth="1"/>
    <col min="12025" max="12025" width="14.109375" style="127" customWidth="1"/>
    <col min="12026" max="12026" width="13.88671875" style="127" customWidth="1"/>
    <col min="12027" max="12028" width="12.77734375" style="127" customWidth="1"/>
    <col min="12029" max="12029" width="13.5546875" style="127" customWidth="1"/>
    <col min="12030" max="12030" width="15.33203125" style="127" customWidth="1"/>
    <col min="12031" max="12031" width="12.77734375" style="127" customWidth="1"/>
    <col min="12032" max="12032" width="13.88671875" style="127" customWidth="1"/>
    <col min="12033" max="12033" width="1.88671875" style="127" customWidth="1"/>
    <col min="12034" max="12034" width="13" style="127" customWidth="1"/>
    <col min="12035" max="12274" width="8.88671875" style="127"/>
    <col min="12275" max="12275" width="6" style="127" customWidth="1"/>
    <col min="12276" max="12276" width="1.44140625" style="127" customWidth="1"/>
    <col min="12277" max="12277" width="39.109375" style="127" customWidth="1"/>
    <col min="12278" max="12278" width="12" style="127" customWidth="1"/>
    <col min="12279" max="12279" width="14.44140625" style="127" customWidth="1"/>
    <col min="12280" max="12280" width="11.88671875" style="127" customWidth="1"/>
    <col min="12281" max="12281" width="14.109375" style="127" customWidth="1"/>
    <col min="12282" max="12282" width="13.88671875" style="127" customWidth="1"/>
    <col min="12283" max="12284" width="12.77734375" style="127" customWidth="1"/>
    <col min="12285" max="12285" width="13.5546875" style="127" customWidth="1"/>
    <col min="12286" max="12286" width="15.33203125" style="127" customWidth="1"/>
    <col min="12287" max="12287" width="12.77734375" style="127" customWidth="1"/>
    <col min="12288" max="12288" width="13.88671875" style="127" customWidth="1"/>
    <col min="12289" max="12289" width="1.88671875" style="127" customWidth="1"/>
    <col min="12290" max="12290" width="13" style="127" customWidth="1"/>
    <col min="12291" max="12530" width="8.88671875" style="127"/>
    <col min="12531" max="12531" width="6" style="127" customWidth="1"/>
    <col min="12532" max="12532" width="1.44140625" style="127" customWidth="1"/>
    <col min="12533" max="12533" width="39.109375" style="127" customWidth="1"/>
    <col min="12534" max="12534" width="12" style="127" customWidth="1"/>
    <col min="12535" max="12535" width="14.44140625" style="127" customWidth="1"/>
    <col min="12536" max="12536" width="11.88671875" style="127" customWidth="1"/>
    <col min="12537" max="12537" width="14.109375" style="127" customWidth="1"/>
    <col min="12538" max="12538" width="13.88671875" style="127" customWidth="1"/>
    <col min="12539" max="12540" width="12.77734375" style="127" customWidth="1"/>
    <col min="12541" max="12541" width="13.5546875" style="127" customWidth="1"/>
    <col min="12542" max="12542" width="15.33203125" style="127" customWidth="1"/>
    <col min="12543" max="12543" width="12.77734375" style="127" customWidth="1"/>
    <col min="12544" max="12544" width="13.88671875" style="127" customWidth="1"/>
    <col min="12545" max="12545" width="1.88671875" style="127" customWidth="1"/>
    <col min="12546" max="12546" width="13" style="127" customWidth="1"/>
    <col min="12547" max="12786" width="8.88671875" style="127"/>
    <col min="12787" max="12787" width="6" style="127" customWidth="1"/>
    <col min="12788" max="12788" width="1.44140625" style="127" customWidth="1"/>
    <col min="12789" max="12789" width="39.109375" style="127" customWidth="1"/>
    <col min="12790" max="12790" width="12" style="127" customWidth="1"/>
    <col min="12791" max="12791" width="14.44140625" style="127" customWidth="1"/>
    <col min="12792" max="12792" width="11.88671875" style="127" customWidth="1"/>
    <col min="12793" max="12793" width="14.109375" style="127" customWidth="1"/>
    <col min="12794" max="12794" width="13.88671875" style="127" customWidth="1"/>
    <col min="12795" max="12796" width="12.77734375" style="127" customWidth="1"/>
    <col min="12797" max="12797" width="13.5546875" style="127" customWidth="1"/>
    <col min="12798" max="12798" width="15.33203125" style="127" customWidth="1"/>
    <col min="12799" max="12799" width="12.77734375" style="127" customWidth="1"/>
    <col min="12800" max="12800" width="13.88671875" style="127" customWidth="1"/>
    <col min="12801" max="12801" width="1.88671875" style="127" customWidth="1"/>
    <col min="12802" max="12802" width="13" style="127" customWidth="1"/>
    <col min="12803" max="13042" width="8.88671875" style="127"/>
    <col min="13043" max="13043" width="6" style="127" customWidth="1"/>
    <col min="13044" max="13044" width="1.44140625" style="127" customWidth="1"/>
    <col min="13045" max="13045" width="39.109375" style="127" customWidth="1"/>
    <col min="13046" max="13046" width="12" style="127" customWidth="1"/>
    <col min="13047" max="13047" width="14.44140625" style="127" customWidth="1"/>
    <col min="13048" max="13048" width="11.88671875" style="127" customWidth="1"/>
    <col min="13049" max="13049" width="14.109375" style="127" customWidth="1"/>
    <col min="13050" max="13050" width="13.88671875" style="127" customWidth="1"/>
    <col min="13051" max="13052" width="12.77734375" style="127" customWidth="1"/>
    <col min="13053" max="13053" width="13.5546875" style="127" customWidth="1"/>
    <col min="13054" max="13054" width="15.33203125" style="127" customWidth="1"/>
    <col min="13055" max="13055" width="12.77734375" style="127" customWidth="1"/>
    <col min="13056" max="13056" width="13.88671875" style="127" customWidth="1"/>
    <col min="13057" max="13057" width="1.88671875" style="127" customWidth="1"/>
    <col min="13058" max="13058" width="13" style="127" customWidth="1"/>
    <col min="13059" max="13298" width="8.88671875" style="127"/>
    <col min="13299" max="13299" width="6" style="127" customWidth="1"/>
    <col min="13300" max="13300" width="1.44140625" style="127" customWidth="1"/>
    <col min="13301" max="13301" width="39.109375" style="127" customWidth="1"/>
    <col min="13302" max="13302" width="12" style="127" customWidth="1"/>
    <col min="13303" max="13303" width="14.44140625" style="127" customWidth="1"/>
    <col min="13304" max="13304" width="11.88671875" style="127" customWidth="1"/>
    <col min="13305" max="13305" width="14.109375" style="127" customWidth="1"/>
    <col min="13306" max="13306" width="13.88671875" style="127" customWidth="1"/>
    <col min="13307" max="13308" width="12.77734375" style="127" customWidth="1"/>
    <col min="13309" max="13309" width="13.5546875" style="127" customWidth="1"/>
    <col min="13310" max="13310" width="15.33203125" style="127" customWidth="1"/>
    <col min="13311" max="13311" width="12.77734375" style="127" customWidth="1"/>
    <col min="13312" max="13312" width="13.88671875" style="127" customWidth="1"/>
    <col min="13313" max="13313" width="1.88671875" style="127" customWidth="1"/>
    <col min="13314" max="13314" width="13" style="127" customWidth="1"/>
    <col min="13315" max="13554" width="8.88671875" style="127"/>
    <col min="13555" max="13555" width="6" style="127" customWidth="1"/>
    <col min="13556" max="13556" width="1.44140625" style="127" customWidth="1"/>
    <col min="13557" max="13557" width="39.109375" style="127" customWidth="1"/>
    <col min="13558" max="13558" width="12" style="127" customWidth="1"/>
    <col min="13559" max="13559" width="14.44140625" style="127" customWidth="1"/>
    <col min="13560" max="13560" width="11.88671875" style="127" customWidth="1"/>
    <col min="13561" max="13561" width="14.109375" style="127" customWidth="1"/>
    <col min="13562" max="13562" width="13.88671875" style="127" customWidth="1"/>
    <col min="13563" max="13564" width="12.77734375" style="127" customWidth="1"/>
    <col min="13565" max="13565" width="13.5546875" style="127" customWidth="1"/>
    <col min="13566" max="13566" width="15.33203125" style="127" customWidth="1"/>
    <col min="13567" max="13567" width="12.77734375" style="127" customWidth="1"/>
    <col min="13568" max="13568" width="13.88671875" style="127" customWidth="1"/>
    <col min="13569" max="13569" width="1.88671875" style="127" customWidth="1"/>
    <col min="13570" max="13570" width="13" style="127" customWidth="1"/>
    <col min="13571" max="13810" width="8.88671875" style="127"/>
    <col min="13811" max="13811" width="6" style="127" customWidth="1"/>
    <col min="13812" max="13812" width="1.44140625" style="127" customWidth="1"/>
    <col min="13813" max="13813" width="39.109375" style="127" customWidth="1"/>
    <col min="13814" max="13814" width="12" style="127" customWidth="1"/>
    <col min="13815" max="13815" width="14.44140625" style="127" customWidth="1"/>
    <col min="13816" max="13816" width="11.88671875" style="127" customWidth="1"/>
    <col min="13817" max="13817" width="14.109375" style="127" customWidth="1"/>
    <col min="13818" max="13818" width="13.88671875" style="127" customWidth="1"/>
    <col min="13819" max="13820" width="12.77734375" style="127" customWidth="1"/>
    <col min="13821" max="13821" width="13.5546875" style="127" customWidth="1"/>
    <col min="13822" max="13822" width="15.33203125" style="127" customWidth="1"/>
    <col min="13823" max="13823" width="12.77734375" style="127" customWidth="1"/>
    <col min="13824" max="13824" width="13.88671875" style="127" customWidth="1"/>
    <col min="13825" max="13825" width="1.88671875" style="127" customWidth="1"/>
    <col min="13826" max="13826" width="13" style="127" customWidth="1"/>
    <col min="13827" max="14066" width="8.88671875" style="127"/>
    <col min="14067" max="14067" width="6" style="127" customWidth="1"/>
    <col min="14068" max="14068" width="1.44140625" style="127" customWidth="1"/>
    <col min="14069" max="14069" width="39.109375" style="127" customWidth="1"/>
    <col min="14070" max="14070" width="12" style="127" customWidth="1"/>
    <col min="14071" max="14071" width="14.44140625" style="127" customWidth="1"/>
    <col min="14072" max="14072" width="11.88671875" style="127" customWidth="1"/>
    <col min="14073" max="14073" width="14.109375" style="127" customWidth="1"/>
    <col min="14074" max="14074" width="13.88671875" style="127" customWidth="1"/>
    <col min="14075" max="14076" width="12.77734375" style="127" customWidth="1"/>
    <col min="14077" max="14077" width="13.5546875" style="127" customWidth="1"/>
    <col min="14078" max="14078" width="15.33203125" style="127" customWidth="1"/>
    <col min="14079" max="14079" width="12.77734375" style="127" customWidth="1"/>
    <col min="14080" max="14080" width="13.88671875" style="127" customWidth="1"/>
    <col min="14081" max="14081" width="1.88671875" style="127" customWidth="1"/>
    <col min="14082" max="14082" width="13" style="127" customWidth="1"/>
    <col min="14083" max="14322" width="8.88671875" style="127"/>
    <col min="14323" max="14323" width="6" style="127" customWidth="1"/>
    <col min="14324" max="14324" width="1.44140625" style="127" customWidth="1"/>
    <col min="14325" max="14325" width="39.109375" style="127" customWidth="1"/>
    <col min="14326" max="14326" width="12" style="127" customWidth="1"/>
    <col min="14327" max="14327" width="14.44140625" style="127" customWidth="1"/>
    <col min="14328" max="14328" width="11.88671875" style="127" customWidth="1"/>
    <col min="14329" max="14329" width="14.109375" style="127" customWidth="1"/>
    <col min="14330" max="14330" width="13.88671875" style="127" customWidth="1"/>
    <col min="14331" max="14332" width="12.77734375" style="127" customWidth="1"/>
    <col min="14333" max="14333" width="13.5546875" style="127" customWidth="1"/>
    <col min="14334" max="14334" width="15.33203125" style="127" customWidth="1"/>
    <col min="14335" max="14335" width="12.77734375" style="127" customWidth="1"/>
    <col min="14336" max="14336" width="13.88671875" style="127" customWidth="1"/>
    <col min="14337" max="14337" width="1.88671875" style="127" customWidth="1"/>
    <col min="14338" max="14338" width="13" style="127" customWidth="1"/>
    <col min="14339" max="14578" width="8.88671875" style="127"/>
    <col min="14579" max="14579" width="6" style="127" customWidth="1"/>
    <col min="14580" max="14580" width="1.44140625" style="127" customWidth="1"/>
    <col min="14581" max="14581" width="39.109375" style="127" customWidth="1"/>
    <col min="14582" max="14582" width="12" style="127" customWidth="1"/>
    <col min="14583" max="14583" width="14.44140625" style="127" customWidth="1"/>
    <col min="14584" max="14584" width="11.88671875" style="127" customWidth="1"/>
    <col min="14585" max="14585" width="14.109375" style="127" customWidth="1"/>
    <col min="14586" max="14586" width="13.88671875" style="127" customWidth="1"/>
    <col min="14587" max="14588" width="12.77734375" style="127" customWidth="1"/>
    <col min="14589" max="14589" width="13.5546875" style="127" customWidth="1"/>
    <col min="14590" max="14590" width="15.33203125" style="127" customWidth="1"/>
    <col min="14591" max="14591" width="12.77734375" style="127" customWidth="1"/>
    <col min="14592" max="14592" width="13.88671875" style="127" customWidth="1"/>
    <col min="14593" max="14593" width="1.88671875" style="127" customWidth="1"/>
    <col min="14594" max="14594" width="13" style="127" customWidth="1"/>
    <col min="14595" max="14834" width="8.88671875" style="127"/>
    <col min="14835" max="14835" width="6" style="127" customWidth="1"/>
    <col min="14836" max="14836" width="1.44140625" style="127" customWidth="1"/>
    <col min="14837" max="14837" width="39.109375" style="127" customWidth="1"/>
    <col min="14838" max="14838" width="12" style="127" customWidth="1"/>
    <col min="14839" max="14839" width="14.44140625" style="127" customWidth="1"/>
    <col min="14840" max="14840" width="11.88671875" style="127" customWidth="1"/>
    <col min="14841" max="14841" width="14.109375" style="127" customWidth="1"/>
    <col min="14842" max="14842" width="13.88671875" style="127" customWidth="1"/>
    <col min="14843" max="14844" width="12.77734375" style="127" customWidth="1"/>
    <col min="14845" max="14845" width="13.5546875" style="127" customWidth="1"/>
    <col min="14846" max="14846" width="15.33203125" style="127" customWidth="1"/>
    <col min="14847" max="14847" width="12.77734375" style="127" customWidth="1"/>
    <col min="14848" max="14848" width="13.88671875" style="127" customWidth="1"/>
    <col min="14849" max="14849" width="1.88671875" style="127" customWidth="1"/>
    <col min="14850" max="14850" width="13" style="127" customWidth="1"/>
    <col min="14851" max="15090" width="8.88671875" style="127"/>
    <col min="15091" max="15091" width="6" style="127" customWidth="1"/>
    <col min="15092" max="15092" width="1.44140625" style="127" customWidth="1"/>
    <col min="15093" max="15093" width="39.109375" style="127" customWidth="1"/>
    <col min="15094" max="15094" width="12" style="127" customWidth="1"/>
    <col min="15095" max="15095" width="14.44140625" style="127" customWidth="1"/>
    <col min="15096" max="15096" width="11.88671875" style="127" customWidth="1"/>
    <col min="15097" max="15097" width="14.109375" style="127" customWidth="1"/>
    <col min="15098" max="15098" width="13.88671875" style="127" customWidth="1"/>
    <col min="15099" max="15100" width="12.77734375" style="127" customWidth="1"/>
    <col min="15101" max="15101" width="13.5546875" style="127" customWidth="1"/>
    <col min="15102" max="15102" width="15.33203125" style="127" customWidth="1"/>
    <col min="15103" max="15103" width="12.77734375" style="127" customWidth="1"/>
    <col min="15104" max="15104" width="13.88671875" style="127" customWidth="1"/>
    <col min="15105" max="15105" width="1.88671875" style="127" customWidth="1"/>
    <col min="15106" max="15106" width="13" style="127" customWidth="1"/>
    <col min="15107" max="15346" width="8.88671875" style="127"/>
    <col min="15347" max="15347" width="6" style="127" customWidth="1"/>
    <col min="15348" max="15348" width="1.44140625" style="127" customWidth="1"/>
    <col min="15349" max="15349" width="39.109375" style="127" customWidth="1"/>
    <col min="15350" max="15350" width="12" style="127" customWidth="1"/>
    <col min="15351" max="15351" width="14.44140625" style="127" customWidth="1"/>
    <col min="15352" max="15352" width="11.88671875" style="127" customWidth="1"/>
    <col min="15353" max="15353" width="14.109375" style="127" customWidth="1"/>
    <col min="15354" max="15354" width="13.88671875" style="127" customWidth="1"/>
    <col min="15355" max="15356" width="12.77734375" style="127" customWidth="1"/>
    <col min="15357" max="15357" width="13.5546875" style="127" customWidth="1"/>
    <col min="15358" max="15358" width="15.33203125" style="127" customWidth="1"/>
    <col min="15359" max="15359" width="12.77734375" style="127" customWidth="1"/>
    <col min="15360" max="15360" width="13.88671875" style="127" customWidth="1"/>
    <col min="15361" max="15361" width="1.88671875" style="127" customWidth="1"/>
    <col min="15362" max="15362" width="13" style="127" customWidth="1"/>
    <col min="15363" max="15602" width="8.88671875" style="127"/>
    <col min="15603" max="15603" width="6" style="127" customWidth="1"/>
    <col min="15604" max="15604" width="1.44140625" style="127" customWidth="1"/>
    <col min="15605" max="15605" width="39.109375" style="127" customWidth="1"/>
    <col min="15606" max="15606" width="12" style="127" customWidth="1"/>
    <col min="15607" max="15607" width="14.44140625" style="127" customWidth="1"/>
    <col min="15608" max="15608" width="11.88671875" style="127" customWidth="1"/>
    <col min="15609" max="15609" width="14.109375" style="127" customWidth="1"/>
    <col min="15610" max="15610" width="13.88671875" style="127" customWidth="1"/>
    <col min="15611" max="15612" width="12.77734375" style="127" customWidth="1"/>
    <col min="15613" max="15613" width="13.5546875" style="127" customWidth="1"/>
    <col min="15614" max="15614" width="15.33203125" style="127" customWidth="1"/>
    <col min="15615" max="15615" width="12.77734375" style="127" customWidth="1"/>
    <col min="15616" max="15616" width="13.88671875" style="127" customWidth="1"/>
    <col min="15617" max="15617" width="1.88671875" style="127" customWidth="1"/>
    <col min="15618" max="15618" width="13" style="127" customWidth="1"/>
    <col min="15619" max="15858" width="8.88671875" style="127"/>
    <col min="15859" max="15859" width="6" style="127" customWidth="1"/>
    <col min="15860" max="15860" width="1.44140625" style="127" customWidth="1"/>
    <col min="15861" max="15861" width="39.109375" style="127" customWidth="1"/>
    <col min="15862" max="15862" width="12" style="127" customWidth="1"/>
    <col min="15863" max="15863" width="14.44140625" style="127" customWidth="1"/>
    <col min="15864" max="15864" width="11.88671875" style="127" customWidth="1"/>
    <col min="15865" max="15865" width="14.109375" style="127" customWidth="1"/>
    <col min="15866" max="15866" width="13.88671875" style="127" customWidth="1"/>
    <col min="15867" max="15868" width="12.77734375" style="127" customWidth="1"/>
    <col min="15869" max="15869" width="13.5546875" style="127" customWidth="1"/>
    <col min="15870" max="15870" width="15.33203125" style="127" customWidth="1"/>
    <col min="15871" max="15871" width="12.77734375" style="127" customWidth="1"/>
    <col min="15872" max="15872" width="13.88671875" style="127" customWidth="1"/>
    <col min="15873" max="15873" width="1.88671875" style="127" customWidth="1"/>
    <col min="15874" max="15874" width="13" style="127" customWidth="1"/>
    <col min="15875" max="16114" width="8.88671875" style="127"/>
    <col min="16115" max="16115" width="6" style="127" customWidth="1"/>
    <col min="16116" max="16116" width="1.44140625" style="127" customWidth="1"/>
    <col min="16117" max="16117" width="39.109375" style="127" customWidth="1"/>
    <col min="16118" max="16118" width="12" style="127" customWidth="1"/>
    <col min="16119" max="16119" width="14.44140625" style="127" customWidth="1"/>
    <col min="16120" max="16120" width="11.88671875" style="127" customWidth="1"/>
    <col min="16121" max="16121" width="14.109375" style="127" customWidth="1"/>
    <col min="16122" max="16122" width="13.88671875" style="127" customWidth="1"/>
    <col min="16123" max="16124" width="12.77734375" style="127" customWidth="1"/>
    <col min="16125" max="16125" width="13.5546875" style="127" customWidth="1"/>
    <col min="16126" max="16126" width="15.33203125" style="127" customWidth="1"/>
    <col min="16127" max="16127" width="12.77734375" style="127" customWidth="1"/>
    <col min="16128" max="16128" width="13.88671875" style="127" customWidth="1"/>
    <col min="16129" max="16129" width="1.88671875" style="127" customWidth="1"/>
    <col min="16130" max="16130" width="13" style="127" customWidth="1"/>
    <col min="16131" max="16370" width="8.88671875" style="127"/>
    <col min="16371" max="16384" width="8.88671875" style="127" customWidth="1"/>
  </cols>
  <sheetData>
    <row r="1" spans="1:51">
      <c r="I1" s="74" t="s">
        <v>318</v>
      </c>
    </row>
    <row r="2" spans="1:51">
      <c r="I2" s="74" t="s">
        <v>362</v>
      </c>
    </row>
    <row r="3" spans="1:51">
      <c r="I3" s="389" t="s">
        <v>204</v>
      </c>
    </row>
    <row r="4" spans="1:51">
      <c r="I4" s="275" t="str">
        <f>"For the 12 months ended: "&amp;TEXT(INPUT!B1,"mm/dd/yyyy")</f>
        <v>For the 12 months ended: 12/31/2017</v>
      </c>
    </row>
    <row r="5" spans="1:51">
      <c r="C5" s="104"/>
    </row>
    <row r="6" spans="1:51">
      <c r="A6" s="206" t="s">
        <v>275</v>
      </c>
      <c r="B6" s="263"/>
      <c r="C6" s="263"/>
      <c r="D6" s="206"/>
      <c r="E6" s="206"/>
      <c r="F6" s="206"/>
      <c r="G6" s="263"/>
      <c r="H6" s="206"/>
      <c r="I6" s="206"/>
      <c r="J6" s="102"/>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row>
    <row r="7" spans="1:51">
      <c r="A7" s="207" t="s">
        <v>319</v>
      </c>
      <c r="B7" s="263"/>
      <c r="C7" s="263"/>
      <c r="D7" s="208"/>
      <c r="E7" s="208"/>
      <c r="F7" s="208"/>
      <c r="G7" s="263"/>
      <c r="H7" s="208"/>
      <c r="I7" s="208"/>
      <c r="J7" s="102"/>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row>
    <row r="8" spans="1:51">
      <c r="A8" s="208"/>
      <c r="B8" s="263"/>
      <c r="C8" s="263"/>
      <c r="D8" s="208"/>
      <c r="E8" s="208"/>
      <c r="F8" s="208"/>
      <c r="G8" s="263"/>
      <c r="H8" s="208"/>
      <c r="I8" s="208"/>
      <c r="J8" s="102"/>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row>
    <row r="9" spans="1:51">
      <c r="A9" s="399" t="str">
        <f>DEO!A11</f>
        <v>DUKE ENERGY OHIO (DEO)</v>
      </c>
      <c r="B9" s="263"/>
      <c r="C9" s="263"/>
      <c r="D9" s="208"/>
      <c r="E9" s="208"/>
      <c r="F9" s="208"/>
      <c r="G9" s="263"/>
      <c r="H9" s="266"/>
      <c r="I9" s="208"/>
      <c r="J9" s="102"/>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row>
    <row r="10" spans="1:51">
      <c r="A10" s="337" t="s">
        <v>317</v>
      </c>
      <c r="B10" s="263"/>
      <c r="C10" s="263"/>
      <c r="D10" s="208"/>
      <c r="E10" s="208"/>
      <c r="F10" s="208"/>
      <c r="G10" s="263"/>
      <c r="H10" s="266"/>
      <c r="I10" s="208"/>
      <c r="J10" s="102"/>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row>
    <row r="11" spans="1:51">
      <c r="A11" s="388"/>
      <c r="B11" s="263"/>
      <c r="C11" s="208"/>
      <c r="D11" s="208"/>
      <c r="E11" s="208"/>
      <c r="F11" s="208"/>
      <c r="G11" s="266"/>
      <c r="H11" s="208"/>
      <c r="I11" s="208"/>
      <c r="J11" s="102"/>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row>
    <row r="12" spans="1:51">
      <c r="A12" s="208" t="s">
        <v>543</v>
      </c>
      <c r="B12" s="263"/>
      <c r="C12" s="263"/>
      <c r="D12" s="208"/>
      <c r="E12" s="208"/>
      <c r="F12" s="208"/>
      <c r="G12" s="266"/>
      <c r="H12" s="208"/>
      <c r="I12" s="208"/>
      <c r="J12" s="102"/>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row>
    <row r="13" spans="1:51">
      <c r="A13" s="131"/>
      <c r="C13" s="102"/>
      <c r="D13" s="102"/>
      <c r="E13" s="102"/>
      <c r="F13" s="102"/>
      <c r="G13" s="132"/>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row>
    <row r="14" spans="1:51">
      <c r="A14" s="131"/>
      <c r="C14" s="102"/>
      <c r="D14" s="102"/>
      <c r="E14" s="102"/>
      <c r="F14" s="102"/>
      <c r="G14" s="102"/>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row>
    <row r="15" spans="1:51">
      <c r="C15" s="100" t="s">
        <v>19</v>
      </c>
      <c r="D15" s="100"/>
      <c r="E15" s="100" t="s">
        <v>20</v>
      </c>
      <c r="F15" s="100"/>
      <c r="G15" s="100" t="s">
        <v>21</v>
      </c>
      <c r="I15" s="133" t="s">
        <v>22</v>
      </c>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row>
    <row r="16" spans="1:51" ht="15.75">
      <c r="C16" s="99"/>
      <c r="D16" s="99"/>
      <c r="I16" s="138"/>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row>
    <row r="17" spans="1:59">
      <c r="A17" s="347" t="s">
        <v>9</v>
      </c>
      <c r="B17" s="130"/>
      <c r="C17" s="99"/>
      <c r="D17" s="99"/>
      <c r="E17" s="142" t="s">
        <v>318</v>
      </c>
      <c r="F17" s="142"/>
      <c r="G17" s="103"/>
      <c r="H17" s="130"/>
      <c r="I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row>
    <row r="18" spans="1:59">
      <c r="A18" s="384" t="s">
        <v>11</v>
      </c>
      <c r="B18" s="385"/>
      <c r="C18" s="386"/>
      <c r="D18" s="386"/>
      <c r="E18" s="387" t="s">
        <v>26</v>
      </c>
      <c r="F18" s="387"/>
      <c r="G18" s="384" t="s">
        <v>25</v>
      </c>
      <c r="H18" s="385"/>
      <c r="I18" s="384" t="s">
        <v>14</v>
      </c>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row>
    <row r="19" spans="1:59" ht="15.75">
      <c r="A19" s="140"/>
      <c r="C19" s="99" t="s">
        <v>359</v>
      </c>
      <c r="D19" s="99"/>
      <c r="E19" s="103"/>
      <c r="F19" s="103"/>
      <c r="G19" s="103"/>
      <c r="I19" s="103"/>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row>
    <row r="20" spans="1:59">
      <c r="A20" s="141">
        <v>1</v>
      </c>
      <c r="C20" s="99" t="s">
        <v>232</v>
      </c>
      <c r="D20" s="99"/>
      <c r="E20" s="608" t="s">
        <v>797</v>
      </c>
      <c r="F20" s="142"/>
      <c r="G20" s="143">
        <f>DEO!J63</f>
        <v>809377209</v>
      </c>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row>
    <row r="21" spans="1:59">
      <c r="A21" s="141">
        <v>2</v>
      </c>
      <c r="C21" s="99" t="s">
        <v>233</v>
      </c>
      <c r="D21" s="99"/>
      <c r="E21" s="608" t="s">
        <v>798</v>
      </c>
      <c r="F21" s="142"/>
      <c r="G21" s="143">
        <f>DEO!J79</f>
        <v>571154972</v>
      </c>
      <c r="I21" s="103"/>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row>
    <row r="22" spans="1:59">
      <c r="A22" s="141"/>
      <c r="E22" s="608"/>
      <c r="F22" s="142"/>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row>
    <row r="23" spans="1:59">
      <c r="A23" s="141"/>
      <c r="C23" s="99" t="s">
        <v>205</v>
      </c>
      <c r="D23" s="99"/>
      <c r="E23" s="608"/>
      <c r="F23" s="142"/>
      <c r="G23" s="103"/>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row>
    <row r="24" spans="1:59">
      <c r="A24" s="141">
        <v>3</v>
      </c>
      <c r="C24" s="99" t="s">
        <v>234</v>
      </c>
      <c r="D24" s="99"/>
      <c r="E24" s="608" t="s">
        <v>796</v>
      </c>
      <c r="F24" s="142"/>
      <c r="G24" s="143">
        <f>DEO!J135</f>
        <v>22679207</v>
      </c>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row>
    <row r="25" spans="1:59">
      <c r="A25" s="141">
        <v>4</v>
      </c>
      <c r="C25" s="99" t="s">
        <v>235</v>
      </c>
      <c r="D25" s="99"/>
      <c r="E25" s="608" t="s">
        <v>803</v>
      </c>
      <c r="F25" s="142"/>
      <c r="G25" s="144">
        <f>IF(G24=0,0,G24/G20)</f>
        <v>2.8020565377693998E-2</v>
      </c>
      <c r="I25" s="145">
        <f>G25</f>
        <v>2.8020565377693998E-2</v>
      </c>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row>
    <row r="26" spans="1:59">
      <c r="A26" s="141"/>
      <c r="E26" s="608"/>
      <c r="F26" s="142"/>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row>
    <row r="27" spans="1:59" ht="30">
      <c r="A27" s="154"/>
      <c r="C27" s="721" t="s">
        <v>663</v>
      </c>
      <c r="D27" s="99"/>
      <c r="E27" s="606"/>
      <c r="F27" s="142"/>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row>
    <row r="28" spans="1:59">
      <c r="A28" s="154" t="s">
        <v>236</v>
      </c>
      <c r="C28" s="99" t="s">
        <v>664</v>
      </c>
      <c r="D28" s="99"/>
      <c r="E28" s="608" t="s">
        <v>607</v>
      </c>
      <c r="F28" s="142"/>
      <c r="G28" s="143">
        <f>DEO!J139+DEO!J140</f>
        <v>3615985</v>
      </c>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row>
    <row r="29" spans="1:59" ht="30">
      <c r="A29" s="722" t="s">
        <v>237</v>
      </c>
      <c r="C29" s="721" t="s">
        <v>665</v>
      </c>
      <c r="D29" s="99"/>
      <c r="E29" s="723" t="s">
        <v>800</v>
      </c>
      <c r="F29" s="723"/>
      <c r="G29" s="724">
        <f>IF(G28=0,0,G28/G20)</f>
        <v>4.4676140615172669E-3</v>
      </c>
      <c r="H29" s="725"/>
      <c r="I29" s="726">
        <f>G29</f>
        <v>4.4676140615172669E-3</v>
      </c>
      <c r="K29" s="134"/>
      <c r="L29" s="135"/>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row>
    <row r="30" spans="1:59">
      <c r="A30" s="141"/>
      <c r="E30" s="608"/>
      <c r="F30" s="142"/>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row>
    <row r="31" spans="1:59">
      <c r="A31" s="148"/>
      <c r="C31" s="99" t="s">
        <v>208</v>
      </c>
      <c r="D31" s="99"/>
      <c r="E31" s="606"/>
      <c r="F31" s="105"/>
      <c r="G31" s="103"/>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row>
    <row r="32" spans="1:59">
      <c r="A32" s="148" t="s">
        <v>239</v>
      </c>
      <c r="C32" s="99" t="s">
        <v>210</v>
      </c>
      <c r="D32" s="99"/>
      <c r="E32" s="608" t="s">
        <v>795</v>
      </c>
      <c r="F32" s="142"/>
      <c r="G32" s="143">
        <f>DEO!J152</f>
        <v>31287882</v>
      </c>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row>
    <row r="33" spans="1:51">
      <c r="A33" s="148" t="s">
        <v>241</v>
      </c>
      <c r="C33" s="99" t="s">
        <v>238</v>
      </c>
      <c r="D33" s="99"/>
      <c r="E33" s="608" t="s">
        <v>801</v>
      </c>
      <c r="F33" s="142"/>
      <c r="G33" s="144">
        <f>IF(G32=0,0,G32/G20)</f>
        <v>3.8656737120948512E-2</v>
      </c>
      <c r="I33" s="145">
        <f>G33</f>
        <v>3.8656737120948512E-2</v>
      </c>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row>
    <row r="34" spans="1:51">
      <c r="A34" s="148"/>
      <c r="C34" s="99"/>
      <c r="D34" s="99"/>
      <c r="E34" s="608"/>
      <c r="F34" s="142"/>
      <c r="G34" s="103"/>
      <c r="I34" s="103"/>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row>
    <row r="35" spans="1:51" ht="15.75">
      <c r="A35" s="150" t="s">
        <v>206</v>
      </c>
      <c r="B35" s="151"/>
      <c r="C35" s="139" t="s">
        <v>240</v>
      </c>
      <c r="D35" s="139"/>
      <c r="E35" s="607" t="s">
        <v>438</v>
      </c>
      <c r="F35" s="136"/>
      <c r="G35" s="152"/>
      <c r="I35" s="153">
        <f>I25+I29+I33</f>
        <v>7.1144916560159782E-2</v>
      </c>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row>
    <row r="36" spans="1:51">
      <c r="A36" s="343"/>
      <c r="C36" s="99"/>
      <c r="D36" s="99"/>
      <c r="E36" s="608"/>
      <c r="F36" s="142"/>
      <c r="G36" s="103"/>
      <c r="I36" s="103"/>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row>
    <row r="37" spans="1:51">
      <c r="A37" s="154"/>
      <c r="B37" s="155"/>
      <c r="C37" s="103" t="s">
        <v>212</v>
      </c>
      <c r="D37" s="103"/>
      <c r="E37" s="608"/>
      <c r="F37" s="142"/>
      <c r="G37" s="103"/>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row>
    <row r="38" spans="1:51">
      <c r="A38" s="148" t="s">
        <v>207</v>
      </c>
      <c r="B38" s="155"/>
      <c r="C38" s="103" t="s">
        <v>133</v>
      </c>
      <c r="D38" s="103"/>
      <c r="E38" s="608" t="s">
        <v>794</v>
      </c>
      <c r="F38" s="142"/>
      <c r="G38" s="143">
        <f>DEO!J165</f>
        <v>7298466</v>
      </c>
      <c r="I38" s="103"/>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row>
    <row r="39" spans="1:51">
      <c r="A39" s="148" t="s">
        <v>209</v>
      </c>
      <c r="B39" s="155"/>
      <c r="C39" s="103" t="s">
        <v>242</v>
      </c>
      <c r="D39" s="103"/>
      <c r="E39" s="608" t="s">
        <v>802</v>
      </c>
      <c r="F39" s="142"/>
      <c r="G39" s="144">
        <f>IF(G38=0,0,G38/G21)</f>
        <v>1.2778433801325642E-2</v>
      </c>
      <c r="I39" s="145">
        <f>G39</f>
        <v>1.2778433801325642E-2</v>
      </c>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row>
    <row r="40" spans="1:51">
      <c r="A40" s="148"/>
      <c r="C40" s="103"/>
      <c r="D40" s="103"/>
      <c r="E40" s="608"/>
      <c r="F40" s="142"/>
      <c r="G40" s="103"/>
      <c r="I40" s="103"/>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row>
    <row r="41" spans="1:51">
      <c r="A41" s="148"/>
      <c r="C41" s="99" t="s">
        <v>63</v>
      </c>
      <c r="D41" s="99"/>
      <c r="E41" s="609"/>
      <c r="F41" s="156"/>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row>
    <row r="42" spans="1:51">
      <c r="A42" s="148" t="s">
        <v>211</v>
      </c>
      <c r="C42" s="99" t="s">
        <v>213</v>
      </c>
      <c r="D42" s="99"/>
      <c r="E42" s="608" t="s">
        <v>793</v>
      </c>
      <c r="F42" s="142"/>
      <c r="G42" s="143">
        <f>DEO!J167</f>
        <v>38911000</v>
      </c>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row>
    <row r="43" spans="1:51">
      <c r="A43" s="148" t="s">
        <v>282</v>
      </c>
      <c r="B43" s="155"/>
      <c r="C43" s="103" t="s">
        <v>243</v>
      </c>
      <c r="D43" s="103"/>
      <c r="E43" s="608" t="s">
        <v>799</v>
      </c>
      <c r="F43" s="142"/>
      <c r="G43" s="157">
        <f>IF(G42=0,0,G42/G21)</f>
        <v>6.8126869076787097E-2</v>
      </c>
      <c r="I43" s="145">
        <f>G43</f>
        <v>6.8126869076787097E-2</v>
      </c>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row>
    <row r="44" spans="1:51">
      <c r="A44" s="148"/>
      <c r="C44" s="99"/>
      <c r="D44" s="99"/>
      <c r="E44" s="608"/>
      <c r="F44" s="142"/>
      <c r="G44" s="103"/>
      <c r="I44" s="103"/>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row>
    <row r="45" spans="1:51" ht="15.75">
      <c r="A45" s="150" t="s">
        <v>283</v>
      </c>
      <c r="B45" s="151"/>
      <c r="C45" s="139" t="s">
        <v>244</v>
      </c>
      <c r="D45" s="139"/>
      <c r="E45" s="607" t="s">
        <v>361</v>
      </c>
      <c r="F45" s="136"/>
      <c r="G45" s="152"/>
      <c r="I45" s="153">
        <f>I39+I43</f>
        <v>8.0905302878112734E-2</v>
      </c>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row>
    <row r="46" spans="1:51">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row>
    <row r="47" spans="1:51">
      <c r="A47" s="160"/>
      <c r="B47" s="130"/>
      <c r="C47" s="154"/>
      <c r="D47" s="154"/>
      <c r="E47" s="105"/>
      <c r="F47" s="105"/>
      <c r="G47" s="103"/>
      <c r="H47" s="98"/>
      <c r="I47" s="98"/>
      <c r="J47" s="144"/>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row>
    <row r="48" spans="1:51">
      <c r="A48" s="131"/>
      <c r="C48" s="98"/>
      <c r="D48" s="98"/>
      <c r="E48" s="98"/>
      <c r="F48" s="98"/>
      <c r="G48" s="103"/>
      <c r="H48" s="98"/>
      <c r="I48" s="98"/>
      <c r="J48" s="98"/>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row>
    <row r="49" spans="11:51">
      <c r="X49" s="74" t="s">
        <v>318</v>
      </c>
    </row>
    <row r="50" spans="11:51">
      <c r="X50" s="74" t="s">
        <v>362</v>
      </c>
    </row>
    <row r="51" spans="11:51">
      <c r="X51" s="161" t="s">
        <v>214</v>
      </c>
    </row>
    <row r="52" spans="11:51">
      <c r="K52" s="131"/>
      <c r="M52" s="98"/>
      <c r="N52" s="98"/>
      <c r="O52" s="98"/>
      <c r="P52" s="98"/>
      <c r="Q52" s="103"/>
      <c r="R52" s="98"/>
      <c r="S52" s="98"/>
      <c r="T52" s="98"/>
      <c r="U52" s="98"/>
      <c r="W52" s="103"/>
      <c r="X52" s="161" t="str">
        <f>I4</f>
        <v>For the 12 months ended: 12/31/2017</v>
      </c>
      <c r="Y52" s="134"/>
      <c r="Z52" s="128"/>
      <c r="AA52" s="134"/>
      <c r="AB52" s="135"/>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row>
    <row r="53" spans="11:51">
      <c r="K53" s="131"/>
      <c r="M53" s="99"/>
      <c r="N53" s="98"/>
      <c r="O53" s="98"/>
      <c r="P53" s="98"/>
      <c r="Q53" s="103"/>
      <c r="R53" s="98"/>
      <c r="S53" s="98"/>
      <c r="T53" s="98"/>
      <c r="U53" s="98"/>
      <c r="W53" s="103"/>
      <c r="Y53" s="134"/>
      <c r="Z53" s="128"/>
      <c r="AA53" s="134"/>
      <c r="AB53" s="135"/>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row>
    <row r="54" spans="11:51">
      <c r="K54" s="209" t="str">
        <f>A6</f>
        <v>Rate Formula Template</v>
      </c>
      <c r="L54" s="263"/>
      <c r="M54" s="263"/>
      <c r="N54" s="208"/>
      <c r="O54" s="209"/>
      <c r="P54" s="209"/>
      <c r="Q54" s="263"/>
      <c r="R54" s="209"/>
      <c r="S54" s="209"/>
      <c r="T54" s="209"/>
      <c r="U54" s="209"/>
      <c r="V54" s="263"/>
      <c r="W54" s="207"/>
      <c r="X54" s="263"/>
      <c r="Y54" s="134"/>
      <c r="Z54" s="128"/>
      <c r="AA54" s="134"/>
      <c r="AB54" s="135"/>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row>
    <row r="55" spans="11:51">
      <c r="K55" s="209" t="str">
        <f>A7</f>
        <v>Utilizing Attachment H-22A Data</v>
      </c>
      <c r="L55" s="263"/>
      <c r="M55" s="208"/>
      <c r="N55" s="208"/>
      <c r="O55" s="209"/>
      <c r="P55" s="209"/>
      <c r="Q55" s="263"/>
      <c r="R55" s="209"/>
      <c r="S55" s="209"/>
      <c r="T55" s="209"/>
      <c r="U55" s="209"/>
      <c r="V55" s="207"/>
      <c r="W55" s="207"/>
      <c r="X55" s="263"/>
      <c r="Y55" s="134"/>
      <c r="Z55" s="128"/>
      <c r="AA55" s="134"/>
      <c r="AB55" s="135"/>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row>
    <row r="56" spans="11:51" ht="14.25" customHeight="1">
      <c r="K56" s="262"/>
      <c r="M56" s="98"/>
      <c r="N56" s="98"/>
      <c r="O56" s="98"/>
      <c r="P56" s="98"/>
      <c r="R56" s="209"/>
      <c r="S56" s="98"/>
      <c r="T56" s="98"/>
      <c r="U56" s="98"/>
      <c r="W56" s="103"/>
      <c r="X56" s="98"/>
      <c r="Y56" s="134"/>
      <c r="Z56" s="128"/>
      <c r="AA56" s="134"/>
      <c r="AB56" s="135"/>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row>
    <row r="57" spans="11:51">
      <c r="K57" s="209" t="str">
        <f>A9</f>
        <v>DUKE ENERGY OHIO (DEO)</v>
      </c>
      <c r="L57" s="263"/>
      <c r="M57" s="263"/>
      <c r="N57" s="263"/>
      <c r="O57" s="209"/>
      <c r="P57" s="209"/>
      <c r="Q57" s="263"/>
      <c r="R57" s="209"/>
      <c r="S57" s="209"/>
      <c r="T57" s="209"/>
      <c r="U57" s="209"/>
      <c r="V57" s="209"/>
      <c r="W57" s="207"/>
      <c r="X57" s="207"/>
      <c r="Y57" s="134"/>
      <c r="Z57" s="128"/>
      <c r="AA57" s="134"/>
      <c r="AB57" s="135"/>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row>
    <row r="58" spans="11:51">
      <c r="K58" s="209" t="str">
        <f>A10</f>
        <v>RTEP - Transmission Enhancement Charges</v>
      </c>
      <c r="L58" s="263"/>
      <c r="M58" s="263"/>
      <c r="N58" s="263"/>
      <c r="O58" s="209"/>
      <c r="P58" s="209"/>
      <c r="Q58" s="263"/>
      <c r="R58" s="209"/>
      <c r="S58" s="209"/>
      <c r="T58" s="209"/>
      <c r="U58" s="209"/>
      <c r="V58" s="209"/>
      <c r="W58" s="207"/>
      <c r="X58" s="207"/>
      <c r="Y58" s="134"/>
      <c r="Z58" s="128"/>
      <c r="AA58" s="134"/>
      <c r="AB58" s="135"/>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row>
    <row r="59" spans="11:51">
      <c r="K59" s="131"/>
      <c r="O59" s="99"/>
      <c r="P59" s="99"/>
      <c r="Q59" s="99"/>
      <c r="R59" s="99"/>
      <c r="S59" s="99"/>
      <c r="T59" s="99"/>
      <c r="U59" s="99"/>
      <c r="V59" s="99"/>
      <c r="W59" s="99"/>
      <c r="X59" s="99"/>
      <c r="Y59" s="134"/>
      <c r="Z59" s="128"/>
      <c r="AA59" s="134"/>
      <c r="AB59" s="135"/>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row>
    <row r="60" spans="11:51" ht="15.75">
      <c r="K60" s="264" t="s">
        <v>291</v>
      </c>
      <c r="L60" s="263"/>
      <c r="M60" s="209"/>
      <c r="N60" s="209"/>
      <c r="O60" s="263"/>
      <c r="P60" s="264"/>
      <c r="Q60" s="263"/>
      <c r="R60" s="208"/>
      <c r="S60" s="208"/>
      <c r="T60" s="208"/>
      <c r="U60" s="208"/>
      <c r="V60" s="208"/>
      <c r="W60" s="207"/>
      <c r="X60" s="207"/>
      <c r="Y60" s="134"/>
      <c r="Z60" s="128"/>
      <c r="AA60" s="134"/>
      <c r="AB60" s="135"/>
      <c r="AC60" s="130"/>
      <c r="AD60" s="130"/>
      <c r="AE60" s="130"/>
      <c r="AF60" s="130"/>
      <c r="AG60" s="130"/>
      <c r="AH60" s="130"/>
      <c r="AI60" s="130"/>
      <c r="AJ60" s="130"/>
      <c r="AK60" s="130"/>
      <c r="AL60" s="130"/>
      <c r="AM60" s="130"/>
      <c r="AN60" s="130"/>
      <c r="AO60" s="130"/>
      <c r="AP60" s="130"/>
      <c r="AQ60" s="130"/>
      <c r="AR60" s="130"/>
      <c r="AS60" s="130"/>
      <c r="AT60" s="130"/>
      <c r="AU60" s="130"/>
      <c r="AV60" s="130"/>
      <c r="AW60" s="130"/>
      <c r="AX60" s="130"/>
      <c r="AY60" s="130"/>
    </row>
    <row r="61" spans="11:51" ht="15.75">
      <c r="K61" s="131"/>
      <c r="M61" s="98"/>
      <c r="N61" s="98"/>
      <c r="O61" s="139"/>
      <c r="P61" s="139"/>
      <c r="R61" s="102"/>
      <c r="S61" s="102"/>
      <c r="T61" s="102"/>
      <c r="U61" s="102"/>
      <c r="V61" s="102"/>
      <c r="W61" s="103"/>
      <c r="X61" s="103"/>
      <c r="Y61" s="134"/>
      <c r="Z61" s="128"/>
      <c r="AA61" s="134"/>
      <c r="AB61" s="135"/>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0"/>
    </row>
    <row r="62" spans="11:51" ht="15.75">
      <c r="K62" s="131"/>
      <c r="M62" s="162">
        <v>-1</v>
      </c>
      <c r="N62" s="162">
        <v>-2</v>
      </c>
      <c r="O62" s="162">
        <v>-3</v>
      </c>
      <c r="P62" s="162">
        <v>-4</v>
      </c>
      <c r="Q62" s="162">
        <v>-5</v>
      </c>
      <c r="R62" s="162">
        <v>-6</v>
      </c>
      <c r="S62" s="162">
        <v>-7</v>
      </c>
      <c r="T62" s="162">
        <v>-8</v>
      </c>
      <c r="U62" s="162">
        <v>-9</v>
      </c>
      <c r="V62" s="162">
        <v>-10</v>
      </c>
      <c r="W62" s="162">
        <v>-11</v>
      </c>
      <c r="X62" s="162">
        <v>-12</v>
      </c>
      <c r="Y62" s="134"/>
      <c r="Z62" s="128"/>
      <c r="AA62" s="134"/>
      <c r="AB62" s="135"/>
      <c r="AC62" s="130"/>
      <c r="AD62" s="130"/>
      <c r="AE62" s="130"/>
      <c r="AF62" s="130"/>
      <c r="AG62" s="130"/>
      <c r="AH62" s="130"/>
      <c r="AI62" s="130"/>
      <c r="AJ62" s="130"/>
      <c r="AK62" s="130"/>
      <c r="AL62" s="130"/>
      <c r="AM62" s="130"/>
      <c r="AN62" s="130"/>
      <c r="AO62" s="130"/>
      <c r="AP62" s="130"/>
      <c r="AQ62" s="130"/>
      <c r="AR62" s="130"/>
      <c r="AS62" s="130"/>
      <c r="AT62" s="130"/>
      <c r="AU62" s="130"/>
      <c r="AV62" s="130"/>
      <c r="AW62" s="130"/>
      <c r="AX62" s="130"/>
      <c r="AY62" s="130"/>
    </row>
    <row r="63" spans="11:51" ht="63">
      <c r="K63" s="163" t="s">
        <v>245</v>
      </c>
      <c r="L63" s="164"/>
      <c r="M63" s="164" t="s">
        <v>221</v>
      </c>
      <c r="N63" s="165" t="s">
        <v>360</v>
      </c>
      <c r="O63" s="166" t="s">
        <v>247</v>
      </c>
      <c r="P63" s="166" t="s">
        <v>240</v>
      </c>
      <c r="Q63" s="167" t="s">
        <v>248</v>
      </c>
      <c r="R63" s="166" t="s">
        <v>249</v>
      </c>
      <c r="S63" s="166" t="s">
        <v>244</v>
      </c>
      <c r="T63" s="167" t="s">
        <v>250</v>
      </c>
      <c r="U63" s="166" t="s">
        <v>251</v>
      </c>
      <c r="V63" s="168" t="s">
        <v>252</v>
      </c>
      <c r="W63" s="169" t="s">
        <v>253</v>
      </c>
      <c r="X63" s="168" t="s">
        <v>254</v>
      </c>
      <c r="Y63" s="147"/>
      <c r="Z63" s="128"/>
      <c r="AA63" s="134"/>
      <c r="AB63" s="135"/>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row>
    <row r="64" spans="11:51" ht="46.5" customHeight="1">
      <c r="K64" s="170"/>
      <c r="L64" s="171"/>
      <c r="M64" s="171"/>
      <c r="N64" s="171"/>
      <c r="O64" s="172" t="s">
        <v>17</v>
      </c>
      <c r="P64" s="610" t="s">
        <v>865</v>
      </c>
      <c r="Q64" s="173" t="s">
        <v>255</v>
      </c>
      <c r="R64" s="610" t="s">
        <v>18</v>
      </c>
      <c r="S64" s="610" t="s">
        <v>866</v>
      </c>
      <c r="T64" s="173" t="s">
        <v>256</v>
      </c>
      <c r="U64" s="610" t="s">
        <v>257</v>
      </c>
      <c r="V64" s="173" t="s">
        <v>258</v>
      </c>
      <c r="W64" s="174" t="s">
        <v>215</v>
      </c>
      <c r="X64" s="175" t="s">
        <v>259</v>
      </c>
      <c r="Y64" s="134"/>
      <c r="Z64" s="128"/>
      <c r="AA64" s="134"/>
      <c r="AB64" s="135"/>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row>
    <row r="65" spans="11:51">
      <c r="K65" s="176"/>
      <c r="L65" s="102"/>
      <c r="M65" s="102"/>
      <c r="N65" s="102"/>
      <c r="O65" s="102"/>
      <c r="P65" s="102"/>
      <c r="Q65" s="177"/>
      <c r="R65" s="102"/>
      <c r="S65" s="102"/>
      <c r="T65" s="177"/>
      <c r="U65" s="102"/>
      <c r="V65" s="177"/>
      <c r="W65" s="103"/>
      <c r="X65" s="178"/>
      <c r="Y65" s="134"/>
      <c r="Z65" s="128"/>
      <c r="AA65" s="134"/>
      <c r="AB65" s="135"/>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row>
    <row r="66" spans="11:51">
      <c r="K66" s="632" t="s">
        <v>1</v>
      </c>
      <c r="L66" s="633"/>
      <c r="M66" s="634"/>
      <c r="N66" s="635"/>
      <c r="O66" s="636">
        <v>0</v>
      </c>
      <c r="P66" s="637">
        <f>$I$35</f>
        <v>7.1144916560159782E-2</v>
      </c>
      <c r="Q66" s="638">
        <f>O66*P66</f>
        <v>0</v>
      </c>
      <c r="R66" s="636">
        <v>0</v>
      </c>
      <c r="S66" s="637">
        <f>$I$45</f>
        <v>8.0905302878112734E-2</v>
      </c>
      <c r="T66" s="638">
        <f>R66*S66</f>
        <v>0</v>
      </c>
      <c r="U66" s="639">
        <v>0</v>
      </c>
      <c r="V66" s="638">
        <f>Q66+T66+U66</f>
        <v>0</v>
      </c>
      <c r="W66" s="640">
        <v>0</v>
      </c>
      <c r="X66" s="638">
        <f>V66+W66</f>
        <v>0</v>
      </c>
      <c r="Y66" s="184"/>
      <c r="Z66" s="184"/>
      <c r="AA66" s="184"/>
      <c r="AB66" s="184"/>
      <c r="AC66" s="184"/>
      <c r="AD66" s="184"/>
      <c r="AE66" s="184"/>
    </row>
    <row r="67" spans="11:51">
      <c r="K67" s="632" t="s">
        <v>262</v>
      </c>
      <c r="L67" s="633"/>
      <c r="M67" s="633"/>
      <c r="N67" s="633"/>
      <c r="O67" s="636">
        <v>0</v>
      </c>
      <c r="P67" s="637">
        <f>$I$35</f>
        <v>7.1144916560159782E-2</v>
      </c>
      <c r="Q67" s="638">
        <f>O67*P67</f>
        <v>0</v>
      </c>
      <c r="R67" s="642">
        <v>0</v>
      </c>
      <c r="S67" s="637">
        <f>$I$45</f>
        <v>8.0905302878112734E-2</v>
      </c>
      <c r="T67" s="638">
        <f>R67*S67</f>
        <v>0</v>
      </c>
      <c r="U67" s="643">
        <v>0</v>
      </c>
      <c r="V67" s="638">
        <f>Q67+T67+U67</f>
        <v>0</v>
      </c>
      <c r="W67" s="640">
        <v>0</v>
      </c>
      <c r="X67" s="638">
        <f>V67+W67</f>
        <v>0</v>
      </c>
      <c r="Y67" s="184"/>
      <c r="Z67" s="184"/>
      <c r="AA67" s="184"/>
      <c r="AB67" s="184"/>
      <c r="AC67" s="184"/>
      <c r="AD67" s="184"/>
      <c r="AE67" s="184"/>
    </row>
    <row r="68" spans="11:51">
      <c r="K68" s="632" t="s">
        <v>265</v>
      </c>
      <c r="L68" s="633"/>
      <c r="M68" s="633"/>
      <c r="N68" s="633"/>
      <c r="O68" s="636">
        <v>0</v>
      </c>
      <c r="P68" s="637">
        <f>$I$35</f>
        <v>7.1144916560159782E-2</v>
      </c>
      <c r="Q68" s="638">
        <f>O68*P68</f>
        <v>0</v>
      </c>
      <c r="R68" s="642">
        <v>0</v>
      </c>
      <c r="S68" s="637">
        <f>$I$45</f>
        <v>8.0905302878112734E-2</v>
      </c>
      <c r="T68" s="638">
        <f>R68*S68</f>
        <v>0</v>
      </c>
      <c r="U68" s="643">
        <v>0</v>
      </c>
      <c r="V68" s="638">
        <f>Q68+T68+U68</f>
        <v>0</v>
      </c>
      <c r="W68" s="642">
        <v>0</v>
      </c>
      <c r="X68" s="638">
        <f>V68+W68</f>
        <v>0</v>
      </c>
      <c r="Y68" s="184"/>
      <c r="Z68" s="184"/>
      <c r="AA68" s="184"/>
      <c r="AB68" s="184"/>
      <c r="AC68" s="184"/>
      <c r="AD68" s="184"/>
      <c r="AE68" s="184"/>
    </row>
    <row r="69" spans="11:51">
      <c r="K69" s="179"/>
      <c r="Q69" s="181"/>
      <c r="T69" s="181"/>
      <c r="V69" s="181"/>
      <c r="X69" s="181"/>
      <c r="Y69" s="184"/>
      <c r="Z69" s="184"/>
      <c r="AA69" s="184"/>
      <c r="AB69" s="184"/>
      <c r="AC69" s="184"/>
      <c r="AD69" s="184"/>
      <c r="AE69" s="184"/>
    </row>
    <row r="70" spans="11:51">
      <c r="K70" s="179"/>
      <c r="Q70" s="181"/>
      <c r="T70" s="181"/>
      <c r="V70" s="181"/>
      <c r="X70" s="181"/>
      <c r="Y70" s="184"/>
      <c r="Z70" s="184"/>
      <c r="AA70" s="184"/>
      <c r="AB70" s="184"/>
      <c r="AC70" s="184"/>
      <c r="AD70" s="184"/>
      <c r="AE70" s="184"/>
    </row>
    <row r="71" spans="11:51">
      <c r="K71" s="179"/>
      <c r="Q71" s="181"/>
      <c r="T71" s="181"/>
      <c r="V71" s="181"/>
      <c r="X71" s="181"/>
      <c r="Y71" s="184"/>
      <c r="Z71" s="184"/>
      <c r="AA71" s="184"/>
      <c r="AB71" s="184"/>
      <c r="AC71" s="184"/>
      <c r="AD71" s="184"/>
      <c r="AE71" s="184"/>
    </row>
    <row r="72" spans="11:51">
      <c r="K72" s="179"/>
      <c r="Q72" s="181"/>
      <c r="T72" s="181"/>
      <c r="V72" s="181"/>
      <c r="X72" s="181"/>
      <c r="Y72" s="184"/>
      <c r="Z72" s="184"/>
      <c r="AA72" s="184"/>
      <c r="AB72" s="184"/>
      <c r="AC72" s="184"/>
      <c r="AD72" s="184"/>
      <c r="AE72" s="184"/>
    </row>
    <row r="73" spans="11:51">
      <c r="K73" s="179"/>
      <c r="Q73" s="181"/>
      <c r="T73" s="181"/>
      <c r="V73" s="181"/>
      <c r="X73" s="181"/>
      <c r="Y73" s="184"/>
      <c r="Z73" s="184"/>
      <c r="AA73" s="184"/>
      <c r="AB73" s="184"/>
      <c r="AC73" s="184"/>
      <c r="AD73" s="184"/>
      <c r="AE73" s="184"/>
    </row>
    <row r="74" spans="11:51">
      <c r="K74" s="179"/>
      <c r="M74" s="184"/>
      <c r="N74" s="184"/>
      <c r="O74" s="184"/>
      <c r="P74" s="184"/>
      <c r="Q74" s="185"/>
      <c r="R74" s="184"/>
      <c r="S74" s="184"/>
      <c r="T74" s="185"/>
      <c r="U74" s="184"/>
      <c r="V74" s="185"/>
      <c r="W74" s="184"/>
      <c r="X74" s="185"/>
      <c r="Y74" s="184"/>
      <c r="Z74" s="184"/>
      <c r="AA74" s="184"/>
      <c r="AB74" s="184"/>
      <c r="AC74" s="184"/>
      <c r="AD74" s="184"/>
      <c r="AE74" s="184"/>
    </row>
    <row r="75" spans="11:51">
      <c r="K75" s="179"/>
      <c r="M75" s="184"/>
      <c r="N75" s="184"/>
      <c r="O75" s="184"/>
      <c r="P75" s="184"/>
      <c r="Q75" s="185"/>
      <c r="R75" s="184"/>
      <c r="S75" s="184"/>
      <c r="T75" s="185"/>
      <c r="U75" s="184"/>
      <c r="V75" s="185"/>
      <c r="W75" s="184"/>
      <c r="X75" s="185"/>
      <c r="Y75" s="184"/>
      <c r="Z75" s="184"/>
      <c r="AA75" s="184"/>
      <c r="AB75" s="184"/>
      <c r="AC75" s="184"/>
      <c r="AD75" s="184"/>
      <c r="AE75" s="184"/>
    </row>
    <row r="76" spans="11:51">
      <c r="K76" s="179"/>
      <c r="M76" s="184"/>
      <c r="N76" s="184"/>
      <c r="O76" s="184"/>
      <c r="P76" s="184"/>
      <c r="Q76" s="185"/>
      <c r="R76" s="184"/>
      <c r="S76" s="184"/>
      <c r="T76" s="185"/>
      <c r="U76" s="184"/>
      <c r="V76" s="185"/>
      <c r="W76" s="184"/>
      <c r="X76" s="185"/>
      <c r="Y76" s="184"/>
      <c r="Z76" s="184"/>
      <c r="AA76" s="184"/>
      <c r="AB76" s="184"/>
      <c r="AC76" s="184"/>
      <c r="AD76" s="184"/>
      <c r="AE76" s="184"/>
    </row>
    <row r="77" spans="11:51">
      <c r="K77" s="179"/>
      <c r="M77" s="184"/>
      <c r="N77" s="184"/>
      <c r="O77" s="184"/>
      <c r="P77" s="184"/>
      <c r="Q77" s="185"/>
      <c r="R77" s="184"/>
      <c r="S77" s="184"/>
      <c r="T77" s="185"/>
      <c r="U77" s="184"/>
      <c r="V77" s="185"/>
      <c r="W77" s="184"/>
      <c r="X77" s="185"/>
      <c r="Y77" s="184"/>
      <c r="Z77" s="184"/>
      <c r="AA77" s="184"/>
      <c r="AB77" s="184"/>
      <c r="AC77" s="184"/>
      <c r="AD77" s="184"/>
      <c r="AE77" s="184"/>
    </row>
    <row r="78" spans="11:51">
      <c r="K78" s="179"/>
      <c r="M78" s="184"/>
      <c r="N78" s="184"/>
      <c r="O78" s="184"/>
      <c r="P78" s="184"/>
      <c r="Q78" s="185"/>
      <c r="R78" s="184"/>
      <c r="S78" s="184"/>
      <c r="T78" s="185"/>
      <c r="U78" s="184"/>
      <c r="V78" s="185"/>
      <c r="W78" s="184"/>
      <c r="X78" s="185"/>
      <c r="Y78" s="184"/>
      <c r="Z78" s="184"/>
      <c r="AA78" s="184"/>
      <c r="AB78" s="184"/>
      <c r="AC78" s="184"/>
      <c r="AD78" s="184"/>
      <c r="AE78" s="184"/>
    </row>
    <row r="79" spans="11:51">
      <c r="K79" s="179"/>
      <c r="M79" s="184"/>
      <c r="N79" s="184"/>
      <c r="O79" s="184"/>
      <c r="P79" s="184"/>
      <c r="Q79" s="185"/>
      <c r="R79" s="184"/>
      <c r="S79" s="184"/>
      <c r="T79" s="185"/>
      <c r="U79" s="184"/>
      <c r="V79" s="185"/>
      <c r="W79" s="184"/>
      <c r="X79" s="185"/>
      <c r="Y79" s="184"/>
      <c r="Z79" s="184"/>
      <c r="AA79" s="184"/>
      <c r="AB79" s="184"/>
      <c r="AC79" s="184"/>
      <c r="AD79" s="184"/>
      <c r="AE79" s="184"/>
    </row>
    <row r="80" spans="11:51">
      <c r="K80" s="179"/>
      <c r="M80" s="184"/>
      <c r="N80" s="184"/>
      <c r="O80" s="184"/>
      <c r="P80" s="184"/>
      <c r="Q80" s="185"/>
      <c r="R80" s="184"/>
      <c r="S80" s="184"/>
      <c r="T80" s="185"/>
      <c r="U80" s="184"/>
      <c r="V80" s="185"/>
      <c r="W80" s="184"/>
      <c r="X80" s="185"/>
      <c r="Y80" s="184"/>
      <c r="Z80" s="184"/>
      <c r="AA80" s="184"/>
      <c r="AB80" s="184"/>
      <c r="AC80" s="184"/>
      <c r="AD80" s="184"/>
      <c r="AE80" s="184"/>
    </row>
    <row r="81" spans="11:31">
      <c r="K81" s="179"/>
      <c r="M81" s="184"/>
      <c r="N81" s="184"/>
      <c r="O81" s="184"/>
      <c r="P81" s="184"/>
      <c r="Q81" s="185"/>
      <c r="R81" s="184"/>
      <c r="S81" s="184"/>
      <c r="T81" s="185"/>
      <c r="U81" s="184"/>
      <c r="V81" s="185"/>
      <c r="W81" s="184"/>
      <c r="X81" s="185"/>
      <c r="Y81" s="184"/>
      <c r="Z81" s="184"/>
      <c r="AA81" s="184"/>
      <c r="AB81" s="184"/>
      <c r="AC81" s="184"/>
      <c r="AD81" s="184"/>
      <c r="AE81" s="184"/>
    </row>
    <row r="82" spans="11:31">
      <c r="K82" s="179"/>
      <c r="M82" s="184"/>
      <c r="N82" s="184"/>
      <c r="O82" s="184"/>
      <c r="P82" s="184"/>
      <c r="Q82" s="185"/>
      <c r="R82" s="184"/>
      <c r="S82" s="184"/>
      <c r="T82" s="185"/>
      <c r="U82" s="184"/>
      <c r="V82" s="185"/>
      <c r="W82" s="184"/>
      <c r="X82" s="185"/>
      <c r="Y82" s="184"/>
      <c r="Z82" s="184"/>
      <c r="AA82" s="184"/>
      <c r="AB82" s="184"/>
      <c r="AC82" s="184"/>
      <c r="AD82" s="184"/>
      <c r="AE82" s="184"/>
    </row>
    <row r="83" spans="11:31">
      <c r="K83" s="179"/>
      <c r="M83" s="184"/>
      <c r="N83" s="184"/>
      <c r="O83" s="184"/>
      <c r="P83" s="184"/>
      <c r="Q83" s="185"/>
      <c r="R83" s="184"/>
      <c r="S83" s="184"/>
      <c r="T83" s="185"/>
      <c r="U83" s="184"/>
      <c r="V83" s="185"/>
      <c r="W83" s="184"/>
      <c r="X83" s="185"/>
      <c r="Y83" s="184"/>
      <c r="Z83" s="184"/>
      <c r="AA83" s="184"/>
      <c r="AB83" s="184"/>
      <c r="AC83" s="184"/>
      <c r="AD83" s="184"/>
      <c r="AE83" s="184"/>
    </row>
    <row r="84" spans="11:31">
      <c r="K84" s="179"/>
      <c r="M84" s="184"/>
      <c r="N84" s="184"/>
      <c r="O84" s="184"/>
      <c r="P84" s="184"/>
      <c r="Q84" s="185"/>
      <c r="R84" s="184"/>
      <c r="S84" s="184"/>
      <c r="T84" s="185"/>
      <c r="U84" s="184"/>
      <c r="V84" s="185"/>
      <c r="W84" s="184"/>
      <c r="X84" s="185"/>
      <c r="Y84" s="184"/>
      <c r="Z84" s="184"/>
      <c r="AA84" s="184"/>
      <c r="AB84" s="184"/>
      <c r="AC84" s="184"/>
      <c r="AD84" s="184"/>
      <c r="AE84" s="184"/>
    </row>
    <row r="85" spans="11:31">
      <c r="K85" s="186"/>
      <c r="L85" s="187"/>
      <c r="M85" s="188"/>
      <c r="N85" s="188"/>
      <c r="O85" s="188"/>
      <c r="P85" s="188"/>
      <c r="Q85" s="189"/>
      <c r="R85" s="188"/>
      <c r="S85" s="188"/>
      <c r="T85" s="189"/>
      <c r="U85" s="188"/>
      <c r="V85" s="189"/>
      <c r="W85" s="188"/>
      <c r="X85" s="189"/>
      <c r="Y85" s="184"/>
      <c r="Z85" s="184"/>
      <c r="AA85" s="184"/>
      <c r="AB85" s="184"/>
      <c r="AC85" s="184"/>
      <c r="AD85" s="184"/>
      <c r="AE85" s="184"/>
    </row>
    <row r="86" spans="11:31">
      <c r="K86" s="133" t="s">
        <v>268</v>
      </c>
      <c r="L86" s="155"/>
      <c r="M86" s="99" t="s">
        <v>269</v>
      </c>
      <c r="N86" s="99"/>
      <c r="O86" s="105"/>
      <c r="P86" s="105"/>
      <c r="Q86" s="103"/>
      <c r="R86" s="103"/>
      <c r="S86" s="103"/>
      <c r="T86" s="103"/>
      <c r="U86" s="103"/>
      <c r="V86" s="962">
        <f>SUM(V66:V85)</f>
        <v>0</v>
      </c>
      <c r="W86" s="962">
        <f>SUM(W66:W85)</f>
        <v>0</v>
      </c>
      <c r="X86" s="962">
        <f>SUM(X66:X85)</f>
        <v>0</v>
      </c>
      <c r="Y86" s="184"/>
      <c r="Z86" s="184"/>
      <c r="AA86" s="184"/>
      <c r="AB86" s="184"/>
      <c r="AC86" s="184"/>
      <c r="AD86" s="184"/>
      <c r="AE86" s="184"/>
    </row>
    <row r="87" spans="11:31">
      <c r="K87" s="93"/>
      <c r="L87" s="184"/>
      <c r="M87" s="184"/>
      <c r="N87" s="184"/>
      <c r="O87" s="184"/>
      <c r="P87" s="184"/>
      <c r="Q87" s="184"/>
      <c r="R87" s="184"/>
      <c r="S87" s="184"/>
      <c r="T87" s="184"/>
      <c r="U87" s="184"/>
      <c r="V87" s="963"/>
      <c r="W87" s="963"/>
      <c r="X87" s="963"/>
      <c r="Y87" s="184"/>
      <c r="Z87" s="184"/>
      <c r="AA87" s="184"/>
      <c r="AB87" s="184"/>
      <c r="AC87" s="184"/>
      <c r="AD87" s="184"/>
      <c r="AE87" s="184"/>
    </row>
    <row r="88" spans="11:31">
      <c r="K88" s="190">
        <v>3</v>
      </c>
      <c r="L88" s="184"/>
      <c r="M88" s="614" t="s">
        <v>605</v>
      </c>
      <c r="N88" s="184"/>
      <c r="O88" s="184"/>
      <c r="P88" s="184"/>
      <c r="Q88" s="184"/>
      <c r="R88" s="184"/>
      <c r="S88" s="184"/>
      <c r="T88" s="184"/>
      <c r="U88" s="184"/>
      <c r="V88" s="962"/>
      <c r="W88" s="963"/>
      <c r="X88" s="962">
        <f>X86</f>
        <v>0</v>
      </c>
      <c r="Y88" s="184"/>
      <c r="Z88" s="184"/>
      <c r="AA88" s="184"/>
      <c r="AB88" s="184"/>
      <c r="AC88" s="184"/>
      <c r="AD88" s="184"/>
      <c r="AE88" s="184"/>
    </row>
    <row r="89" spans="11:31">
      <c r="K89" s="184"/>
      <c r="L89" s="184"/>
      <c r="M89" s="184"/>
      <c r="N89" s="184"/>
      <c r="O89" s="184"/>
      <c r="P89" s="184"/>
      <c r="Q89" s="184"/>
      <c r="R89" s="184"/>
      <c r="S89" s="184"/>
      <c r="T89" s="184"/>
      <c r="U89" s="184"/>
      <c r="V89" s="184"/>
      <c r="W89" s="184"/>
      <c r="X89" s="184"/>
      <c r="Y89" s="184"/>
      <c r="Z89" s="184"/>
      <c r="AA89" s="184"/>
      <c r="AB89" s="184"/>
      <c r="AC89" s="184"/>
      <c r="AD89" s="184"/>
      <c r="AE89" s="184"/>
    </row>
    <row r="90" spans="11:31">
      <c r="K90" s="184"/>
      <c r="L90" s="184"/>
      <c r="M90" s="184"/>
      <c r="N90" s="184"/>
      <c r="O90" s="184"/>
      <c r="P90" s="184"/>
      <c r="Q90" s="184"/>
      <c r="R90" s="184"/>
      <c r="S90" s="184"/>
      <c r="T90" s="184"/>
      <c r="U90" s="184"/>
      <c r="V90" s="184"/>
      <c r="W90" s="184"/>
      <c r="X90" s="184"/>
      <c r="Y90" s="184"/>
      <c r="Z90" s="184"/>
      <c r="AA90" s="184"/>
      <c r="AB90" s="184"/>
      <c r="AC90" s="184"/>
      <c r="AD90" s="184"/>
      <c r="AE90" s="184"/>
    </row>
    <row r="91" spans="11:31">
      <c r="K91" s="98" t="s">
        <v>98</v>
      </c>
      <c r="L91" s="184"/>
      <c r="M91" s="184"/>
      <c r="N91" s="184"/>
      <c r="O91" s="184"/>
      <c r="P91" s="184"/>
      <c r="Q91" s="184"/>
      <c r="R91" s="184"/>
      <c r="S91" s="184"/>
      <c r="T91" s="184"/>
      <c r="U91" s="184"/>
      <c r="V91" s="184"/>
      <c r="W91" s="184"/>
      <c r="X91" s="184"/>
      <c r="Y91" s="184"/>
      <c r="Z91" s="184"/>
      <c r="AA91" s="184"/>
      <c r="AB91" s="184"/>
      <c r="AC91" s="184"/>
      <c r="AD91" s="184"/>
      <c r="AE91" s="184"/>
    </row>
    <row r="92" spans="11:31" ht="15.75" thickBot="1">
      <c r="K92" s="191" t="s">
        <v>99</v>
      </c>
      <c r="L92" s="184"/>
      <c r="M92" s="184"/>
      <c r="N92" s="184"/>
      <c r="O92" s="184"/>
      <c r="P92" s="184"/>
      <c r="Q92" s="184"/>
      <c r="R92" s="184"/>
      <c r="S92" s="184"/>
      <c r="T92" s="184"/>
      <c r="U92" s="184"/>
      <c r="V92" s="184"/>
      <c r="W92" s="184"/>
      <c r="X92" s="184"/>
      <c r="Y92" s="184"/>
      <c r="Z92" s="184"/>
      <c r="AA92" s="184"/>
      <c r="AB92" s="184"/>
      <c r="AC92" s="184"/>
      <c r="AD92" s="184"/>
      <c r="AE92" s="184"/>
    </row>
    <row r="93" spans="11:31">
      <c r="K93" s="192" t="s">
        <v>100</v>
      </c>
      <c r="L93" s="101"/>
      <c r="M93" s="1079" t="s">
        <v>667</v>
      </c>
      <c r="N93" s="1080"/>
      <c r="O93" s="1080"/>
      <c r="P93" s="1080"/>
      <c r="Q93" s="1080"/>
      <c r="R93" s="1080"/>
      <c r="S93" s="1080"/>
      <c r="T93" s="1080"/>
      <c r="U93" s="1080"/>
      <c r="V93" s="1080"/>
      <c r="W93" s="1080"/>
      <c r="X93" s="1080"/>
      <c r="Y93" s="184"/>
      <c r="Z93" s="184"/>
      <c r="AA93" s="184"/>
      <c r="AB93" s="184"/>
      <c r="AC93" s="184"/>
      <c r="AD93" s="184"/>
      <c r="AE93" s="184"/>
    </row>
    <row r="94" spans="11:31">
      <c r="K94" s="192" t="s">
        <v>101</v>
      </c>
      <c r="L94" s="101"/>
      <c r="M94" s="1079" t="s">
        <v>668</v>
      </c>
      <c r="N94" s="1080"/>
      <c r="O94" s="1080"/>
      <c r="P94" s="1080"/>
      <c r="Q94" s="1080"/>
      <c r="R94" s="1080"/>
      <c r="S94" s="1080"/>
      <c r="T94" s="1080"/>
      <c r="U94" s="1080"/>
      <c r="V94" s="1080"/>
      <c r="W94" s="1080"/>
      <c r="X94" s="1080"/>
      <c r="Y94" s="184"/>
      <c r="Z94" s="184"/>
      <c r="AA94" s="184"/>
      <c r="AB94" s="184"/>
      <c r="AC94" s="184"/>
      <c r="AD94" s="184"/>
      <c r="AE94" s="184"/>
    </row>
    <row r="95" spans="11:31" ht="27.75" customHeight="1">
      <c r="K95" s="193" t="s">
        <v>102</v>
      </c>
      <c r="L95" s="101"/>
      <c r="M95" s="1081" t="s">
        <v>270</v>
      </c>
      <c r="N95" s="1081"/>
      <c r="O95" s="1081"/>
      <c r="P95" s="1081"/>
      <c r="Q95" s="1081"/>
      <c r="R95" s="1081"/>
      <c r="S95" s="1081"/>
      <c r="T95" s="1081"/>
      <c r="U95" s="1081"/>
      <c r="V95" s="1081"/>
      <c r="W95" s="1081"/>
      <c r="X95" s="1081"/>
      <c r="Y95" s="184"/>
      <c r="Z95" s="184"/>
      <c r="AA95" s="184"/>
      <c r="AB95" s="184"/>
      <c r="AC95" s="184"/>
      <c r="AD95" s="184"/>
      <c r="AE95" s="184"/>
    </row>
    <row r="96" spans="11:31" ht="15" customHeight="1">
      <c r="K96" s="193" t="s">
        <v>103</v>
      </c>
      <c r="L96" s="101"/>
      <c r="M96" s="1081" t="s">
        <v>271</v>
      </c>
      <c r="N96" s="1081"/>
      <c r="O96" s="1081"/>
      <c r="P96" s="1081"/>
      <c r="Q96" s="1081"/>
      <c r="R96" s="1081"/>
      <c r="S96" s="1081"/>
      <c r="T96" s="1081"/>
      <c r="U96" s="1081"/>
      <c r="V96" s="1081"/>
      <c r="W96" s="1081"/>
      <c r="X96" s="1081"/>
      <c r="Y96" s="184"/>
      <c r="Z96" s="184"/>
      <c r="AA96" s="184"/>
      <c r="AB96" s="184"/>
      <c r="AC96" s="184"/>
      <c r="AD96" s="184"/>
      <c r="AE96" s="184"/>
    </row>
    <row r="97" spans="1:31">
      <c r="K97" s="192" t="s">
        <v>104</v>
      </c>
      <c r="L97" s="101"/>
      <c r="M97" s="1080" t="s">
        <v>334</v>
      </c>
      <c r="N97" s="1080"/>
      <c r="O97" s="1080"/>
      <c r="P97" s="1080"/>
      <c r="Q97" s="1080"/>
      <c r="R97" s="1080"/>
      <c r="S97" s="1080"/>
      <c r="T97" s="1080"/>
      <c r="U97" s="1080"/>
      <c r="V97" s="1080"/>
      <c r="W97" s="1080"/>
      <c r="X97" s="1080"/>
      <c r="Y97" s="184"/>
      <c r="Z97" s="184"/>
      <c r="AA97" s="184"/>
      <c r="AB97" s="184"/>
      <c r="AC97" s="184"/>
      <c r="AD97" s="184"/>
      <c r="AE97" s="184"/>
    </row>
    <row r="98" spans="1:31">
      <c r="K98" s="192" t="s">
        <v>105</v>
      </c>
      <c r="L98" s="101"/>
      <c r="M98" s="1080" t="s">
        <v>272</v>
      </c>
      <c r="N98" s="1080"/>
      <c r="O98" s="1080"/>
      <c r="P98" s="1080"/>
      <c r="Q98" s="1080"/>
      <c r="R98" s="1080"/>
      <c r="S98" s="1080"/>
      <c r="T98" s="1080"/>
      <c r="U98" s="1080"/>
      <c r="V98" s="1080"/>
      <c r="W98" s="1080"/>
      <c r="X98" s="1080"/>
      <c r="Y98" s="184"/>
      <c r="Z98" s="184"/>
      <c r="AA98" s="184"/>
      <c r="AB98" s="184"/>
      <c r="AC98" s="184"/>
      <c r="AD98" s="184"/>
      <c r="AE98" s="184"/>
    </row>
    <row r="99" spans="1:31">
      <c r="K99" s="192" t="s">
        <v>106</v>
      </c>
      <c r="L99" s="101"/>
      <c r="M99" s="1079" t="s">
        <v>604</v>
      </c>
      <c r="N99" s="1080"/>
      <c r="O99" s="1080"/>
      <c r="P99" s="1080"/>
      <c r="Q99" s="1080"/>
      <c r="R99" s="1080"/>
      <c r="S99" s="1080"/>
      <c r="T99" s="1080"/>
      <c r="U99" s="1080"/>
      <c r="V99" s="1080"/>
      <c r="W99" s="1080"/>
      <c r="X99" s="1080"/>
      <c r="Y99" s="184"/>
      <c r="Z99" s="184"/>
      <c r="AA99" s="184"/>
      <c r="AB99" s="184"/>
      <c r="AC99" s="184"/>
      <c r="AD99" s="184"/>
      <c r="AE99" s="184"/>
    </row>
    <row r="100" spans="1:31">
      <c r="K100" s="383" t="s">
        <v>108</v>
      </c>
      <c r="L100" s="130"/>
      <c r="M100" s="1079" t="s">
        <v>358</v>
      </c>
      <c r="N100" s="1079"/>
      <c r="O100" s="1079"/>
      <c r="P100" s="1079"/>
      <c r="Q100" s="1079"/>
      <c r="R100" s="1079"/>
      <c r="S100" s="1079"/>
      <c r="T100" s="1079"/>
      <c r="U100" s="1079"/>
      <c r="V100" s="1079"/>
      <c r="W100" s="1079"/>
      <c r="X100" s="1079"/>
      <c r="Y100" s="184"/>
      <c r="Z100" s="184"/>
      <c r="AA100" s="184"/>
      <c r="AB100" s="184"/>
      <c r="AC100" s="184"/>
      <c r="AD100" s="184"/>
      <c r="AE100" s="184"/>
    </row>
    <row r="101" spans="1:31" ht="15.75">
      <c r="K101" s="158"/>
      <c r="L101" s="194"/>
      <c r="M101" s="195"/>
      <c r="N101" s="154"/>
      <c r="O101" s="105"/>
      <c r="P101" s="105"/>
      <c r="Q101" s="103"/>
      <c r="R101" s="98"/>
      <c r="S101" s="98"/>
      <c r="T101" s="144"/>
      <c r="U101" s="98"/>
      <c r="W101" s="103"/>
      <c r="X101" s="159"/>
      <c r="Y101" s="184"/>
      <c r="Z101" s="184"/>
      <c r="AA101" s="184"/>
      <c r="AB101" s="184"/>
      <c r="AC101" s="184"/>
      <c r="AD101" s="184"/>
      <c r="AE101" s="184"/>
    </row>
    <row r="102" spans="1:31" ht="15.75">
      <c r="A102" s="158"/>
      <c r="B102" s="194"/>
      <c r="C102" s="195"/>
      <c r="D102" s="154"/>
      <c r="E102" s="105"/>
      <c r="F102" s="105"/>
      <c r="G102" s="103"/>
      <c r="H102" s="98"/>
      <c r="I102" s="98"/>
      <c r="J102" s="144"/>
    </row>
    <row r="103" spans="1:31">
      <c r="C103" s="184"/>
      <c r="D103" s="184"/>
      <c r="E103" s="184"/>
      <c r="F103" s="184"/>
      <c r="G103" s="184"/>
      <c r="H103" s="184"/>
      <c r="I103" s="184"/>
      <c r="J103" s="184"/>
    </row>
    <row r="104" spans="1:31">
      <c r="C104" s="184"/>
      <c r="D104" s="184"/>
      <c r="E104" s="184"/>
      <c r="F104" s="184"/>
      <c r="G104" s="184"/>
      <c r="H104" s="184"/>
      <c r="I104" s="184"/>
      <c r="J104" s="184"/>
    </row>
    <row r="105" spans="1:31">
      <c r="C105" s="184"/>
      <c r="D105" s="184"/>
      <c r="E105" s="184"/>
      <c r="F105" s="184"/>
      <c r="G105" s="184"/>
      <c r="H105" s="184"/>
      <c r="I105" s="184"/>
      <c r="J105" s="184"/>
    </row>
    <row r="106" spans="1:31">
      <c r="C106" s="184"/>
      <c r="D106" s="184"/>
      <c r="E106" s="184"/>
      <c r="F106" s="184"/>
      <c r="G106" s="184"/>
      <c r="H106" s="184"/>
      <c r="I106" s="184"/>
      <c r="J106" s="184"/>
    </row>
    <row r="107" spans="1:31">
      <c r="C107" s="184"/>
      <c r="D107" s="184"/>
      <c r="E107" s="184"/>
      <c r="F107" s="184"/>
      <c r="G107" s="184"/>
      <c r="H107" s="184"/>
      <c r="I107" s="184"/>
      <c r="J107" s="184"/>
    </row>
    <row r="108" spans="1:31">
      <c r="C108" s="184"/>
      <c r="D108" s="184"/>
      <c r="E108" s="184"/>
      <c r="F108" s="184"/>
      <c r="G108" s="184"/>
      <c r="H108" s="184"/>
      <c r="I108" s="184"/>
      <c r="J108" s="184"/>
    </row>
    <row r="109" spans="1:31">
      <c r="C109" s="184"/>
      <c r="D109" s="184"/>
      <c r="E109" s="184"/>
      <c r="F109" s="184"/>
      <c r="G109" s="184"/>
      <c r="H109" s="184"/>
      <c r="I109" s="184"/>
      <c r="J109" s="184"/>
    </row>
    <row r="110" spans="1:31">
      <c r="C110" s="184"/>
      <c r="D110" s="184"/>
      <c r="E110" s="184"/>
      <c r="F110" s="184"/>
      <c r="G110" s="184"/>
      <c r="H110" s="184"/>
      <c r="I110" s="184"/>
      <c r="J110" s="184"/>
    </row>
    <row r="111" spans="1:31">
      <c r="C111" s="184"/>
      <c r="D111" s="184"/>
      <c r="E111" s="184"/>
      <c r="F111" s="184"/>
      <c r="G111" s="184"/>
      <c r="H111" s="184"/>
      <c r="I111" s="184"/>
      <c r="J111" s="184"/>
    </row>
    <row r="112" spans="1:31">
      <c r="C112" s="184"/>
      <c r="D112" s="184"/>
      <c r="E112" s="184"/>
      <c r="F112" s="184"/>
      <c r="G112" s="184"/>
      <c r="H112" s="184"/>
      <c r="I112" s="184"/>
      <c r="J112" s="184"/>
    </row>
    <row r="113" spans="3:10">
      <c r="C113" s="184"/>
      <c r="D113" s="184"/>
      <c r="E113" s="184"/>
      <c r="F113" s="184"/>
      <c r="G113" s="184"/>
      <c r="H113" s="184"/>
      <c r="I113" s="184"/>
      <c r="J113" s="184"/>
    </row>
    <row r="114" spans="3:10">
      <c r="C114" s="184"/>
      <c r="D114" s="184"/>
      <c r="E114" s="184"/>
      <c r="F114" s="184"/>
      <c r="G114" s="184"/>
      <c r="H114" s="184"/>
      <c r="I114" s="184"/>
      <c r="J114" s="184"/>
    </row>
    <row r="115" spans="3:10">
      <c r="C115" s="184"/>
      <c r="D115" s="184"/>
      <c r="E115" s="184"/>
      <c r="F115" s="184"/>
      <c r="G115" s="184"/>
      <c r="H115" s="184"/>
      <c r="I115" s="184"/>
      <c r="J115" s="184"/>
    </row>
    <row r="116" spans="3:10">
      <c r="C116" s="184"/>
      <c r="D116" s="184"/>
      <c r="E116" s="184"/>
      <c r="F116" s="184"/>
      <c r="G116" s="184"/>
      <c r="H116" s="184"/>
      <c r="I116" s="184"/>
      <c r="J116" s="184"/>
    </row>
    <row r="117" spans="3:10">
      <c r="C117" s="184"/>
      <c r="D117" s="184"/>
      <c r="E117" s="184"/>
      <c r="F117" s="184"/>
      <c r="G117" s="184"/>
      <c r="H117" s="184"/>
      <c r="I117" s="184"/>
      <c r="J117" s="184"/>
    </row>
    <row r="118" spans="3:10">
      <c r="C118" s="184"/>
      <c r="D118" s="184"/>
      <c r="E118" s="184"/>
      <c r="F118" s="184"/>
      <c r="G118" s="184"/>
      <c r="H118" s="184"/>
      <c r="I118" s="184"/>
      <c r="J118" s="184"/>
    </row>
    <row r="119" spans="3:10">
      <c r="C119" s="184"/>
      <c r="D119" s="184"/>
      <c r="E119" s="184"/>
      <c r="F119" s="184"/>
      <c r="G119" s="184"/>
      <c r="H119" s="184"/>
      <c r="I119" s="184"/>
      <c r="J119" s="184"/>
    </row>
    <row r="120" spans="3:10">
      <c r="C120" s="184"/>
      <c r="D120" s="184"/>
      <c r="E120" s="184"/>
      <c r="F120" s="184"/>
      <c r="G120" s="184"/>
      <c r="H120" s="184"/>
      <c r="I120" s="184"/>
      <c r="J120" s="184"/>
    </row>
    <row r="121" spans="3:10">
      <c r="C121" s="184"/>
      <c r="D121" s="184"/>
      <c r="E121" s="184"/>
      <c r="F121" s="184"/>
      <c r="G121" s="184"/>
      <c r="H121" s="184"/>
      <c r="I121" s="184"/>
      <c r="J121" s="184"/>
    </row>
    <row r="122" spans="3:10">
      <c r="C122" s="184"/>
      <c r="D122" s="184"/>
      <c r="E122" s="184"/>
      <c r="F122" s="184"/>
      <c r="G122" s="184"/>
      <c r="H122" s="184"/>
      <c r="I122" s="184"/>
      <c r="J122" s="184"/>
    </row>
    <row r="123" spans="3:10">
      <c r="C123" s="184"/>
      <c r="D123" s="184"/>
      <c r="E123" s="184"/>
      <c r="F123" s="184"/>
      <c r="G123" s="184"/>
      <c r="H123" s="184"/>
      <c r="I123" s="184"/>
      <c r="J123" s="184"/>
    </row>
    <row r="124" spans="3:10">
      <c r="C124" s="184"/>
      <c r="D124" s="184"/>
      <c r="E124" s="184"/>
      <c r="F124" s="184"/>
      <c r="G124" s="184"/>
      <c r="H124" s="184"/>
      <c r="I124" s="184"/>
      <c r="J124" s="184"/>
    </row>
    <row r="125" spans="3:10">
      <c r="C125" s="184"/>
      <c r="D125" s="184"/>
      <c r="E125" s="184"/>
      <c r="F125" s="184"/>
      <c r="G125" s="184"/>
      <c r="H125" s="184"/>
      <c r="I125" s="184"/>
      <c r="J125" s="184"/>
    </row>
    <row r="126" spans="3:10">
      <c r="C126" s="184"/>
      <c r="D126" s="184"/>
      <c r="E126" s="184"/>
      <c r="F126" s="184"/>
      <c r="G126" s="184"/>
      <c r="H126" s="184"/>
      <c r="I126" s="184"/>
      <c r="J126" s="184"/>
    </row>
    <row r="127" spans="3:10">
      <c r="C127" s="184"/>
      <c r="D127" s="184"/>
      <c r="E127" s="184"/>
      <c r="F127" s="184"/>
      <c r="G127" s="184"/>
      <c r="H127" s="184"/>
      <c r="I127" s="184"/>
      <c r="J127" s="184"/>
    </row>
    <row r="128" spans="3:10">
      <c r="C128" s="184"/>
      <c r="D128" s="184"/>
      <c r="E128" s="184"/>
      <c r="F128" s="184"/>
      <c r="G128" s="184"/>
      <c r="H128" s="184"/>
      <c r="I128" s="184"/>
      <c r="J128" s="184"/>
    </row>
    <row r="129" spans="3:10">
      <c r="C129" s="184"/>
      <c r="D129" s="184"/>
      <c r="E129" s="184"/>
      <c r="F129" s="184"/>
      <c r="G129" s="184"/>
      <c r="H129" s="184"/>
      <c r="I129" s="184"/>
      <c r="J129" s="184"/>
    </row>
    <row r="130" spans="3:10">
      <c r="C130" s="184"/>
      <c r="D130" s="184"/>
      <c r="E130" s="184"/>
      <c r="F130" s="184"/>
      <c r="G130" s="184"/>
      <c r="H130" s="184"/>
      <c r="I130" s="184"/>
      <c r="J130" s="184"/>
    </row>
    <row r="131" spans="3:10">
      <c r="C131" s="184"/>
      <c r="D131" s="184"/>
      <c r="E131" s="184"/>
      <c r="F131" s="184"/>
      <c r="G131" s="184"/>
      <c r="H131" s="184"/>
      <c r="I131" s="184"/>
      <c r="J131" s="184"/>
    </row>
    <row r="132" spans="3:10">
      <c r="C132" s="184"/>
      <c r="D132" s="184"/>
      <c r="E132" s="184"/>
      <c r="F132" s="184"/>
      <c r="G132" s="184"/>
      <c r="H132" s="184"/>
      <c r="I132" s="184"/>
      <c r="J132" s="184"/>
    </row>
    <row r="133" spans="3:10">
      <c r="C133" s="184"/>
      <c r="D133" s="184"/>
      <c r="E133" s="184"/>
      <c r="F133" s="184"/>
      <c r="G133" s="184"/>
      <c r="H133" s="184"/>
      <c r="I133" s="184"/>
      <c r="J133" s="184"/>
    </row>
    <row r="134" spans="3:10">
      <c r="C134" s="184"/>
      <c r="D134" s="184"/>
      <c r="E134" s="184"/>
      <c r="F134" s="184"/>
      <c r="G134" s="184"/>
      <c r="H134" s="184"/>
      <c r="I134" s="184"/>
      <c r="J134" s="184"/>
    </row>
    <row r="135" spans="3:10">
      <c r="C135" s="184"/>
      <c r="D135" s="184"/>
      <c r="E135" s="184"/>
      <c r="F135" s="184"/>
      <c r="G135" s="184"/>
      <c r="H135" s="184"/>
      <c r="I135" s="184"/>
      <c r="J135" s="184"/>
    </row>
    <row r="136" spans="3:10">
      <c r="C136" s="184"/>
      <c r="D136" s="184"/>
      <c r="E136" s="184"/>
      <c r="F136" s="184"/>
      <c r="G136" s="184"/>
      <c r="H136" s="184"/>
      <c r="I136" s="184"/>
      <c r="J136" s="184"/>
    </row>
    <row r="137" spans="3:10">
      <c r="C137" s="184"/>
      <c r="D137" s="184"/>
      <c r="E137" s="184"/>
      <c r="F137" s="184"/>
      <c r="G137" s="184"/>
      <c r="H137" s="184"/>
      <c r="I137" s="184"/>
      <c r="J137" s="184"/>
    </row>
    <row r="138" spans="3:10">
      <c r="C138" s="184"/>
      <c r="D138" s="184"/>
      <c r="E138" s="184"/>
      <c r="F138" s="184"/>
      <c r="G138" s="184"/>
      <c r="H138" s="184"/>
      <c r="I138" s="184"/>
      <c r="J138" s="184"/>
    </row>
    <row r="139" spans="3:10">
      <c r="C139" s="184"/>
      <c r="D139" s="184"/>
      <c r="E139" s="184"/>
      <c r="F139" s="184"/>
      <c r="G139" s="184"/>
      <c r="H139" s="184"/>
      <c r="I139" s="184"/>
      <c r="J139" s="184"/>
    </row>
    <row r="140" spans="3:10">
      <c r="C140" s="184"/>
      <c r="D140" s="184"/>
      <c r="E140" s="184"/>
      <c r="F140" s="184"/>
      <c r="G140" s="184"/>
      <c r="H140" s="184"/>
      <c r="I140" s="184"/>
      <c r="J140" s="184"/>
    </row>
    <row r="141" spans="3:10">
      <c r="C141" s="184"/>
      <c r="D141" s="184"/>
      <c r="E141" s="184"/>
      <c r="F141" s="184"/>
      <c r="G141" s="184"/>
      <c r="H141" s="184"/>
      <c r="I141" s="184"/>
      <c r="J141" s="184"/>
    </row>
    <row r="142" spans="3:10">
      <c r="C142" s="184"/>
      <c r="D142" s="184"/>
      <c r="E142" s="184"/>
      <c r="F142" s="184"/>
      <c r="G142" s="184"/>
      <c r="H142" s="184"/>
      <c r="I142" s="184"/>
      <c r="J142" s="184"/>
    </row>
    <row r="143" spans="3:10">
      <c r="C143" s="184"/>
      <c r="D143" s="184"/>
      <c r="E143" s="184"/>
      <c r="F143" s="184"/>
      <c r="G143" s="184"/>
      <c r="H143" s="184"/>
      <c r="I143" s="184"/>
      <c r="J143" s="184"/>
    </row>
    <row r="144" spans="3:10">
      <c r="C144" s="184"/>
      <c r="D144" s="184"/>
      <c r="E144" s="184"/>
      <c r="F144" s="184"/>
      <c r="G144" s="184"/>
      <c r="H144" s="184"/>
      <c r="I144" s="184"/>
      <c r="J144" s="184"/>
    </row>
    <row r="145" spans="3:10">
      <c r="C145" s="184"/>
      <c r="D145" s="184"/>
      <c r="E145" s="184"/>
      <c r="F145" s="184"/>
      <c r="G145" s="184"/>
      <c r="H145" s="184"/>
      <c r="I145" s="184"/>
      <c r="J145" s="184"/>
    </row>
    <row r="146" spans="3:10">
      <c r="C146" s="184"/>
      <c r="D146" s="184"/>
      <c r="E146" s="184"/>
      <c r="F146" s="184"/>
      <c r="G146" s="184"/>
      <c r="H146" s="184"/>
      <c r="I146" s="184"/>
      <c r="J146" s="184"/>
    </row>
    <row r="147" spans="3:10">
      <c r="C147" s="184"/>
      <c r="D147" s="184"/>
      <c r="E147" s="184"/>
      <c r="F147" s="184"/>
      <c r="G147" s="184"/>
      <c r="H147" s="184"/>
      <c r="I147" s="184"/>
      <c r="J147" s="184"/>
    </row>
    <row r="148" spans="3:10">
      <c r="C148" s="184"/>
      <c r="D148" s="184"/>
      <c r="E148" s="184"/>
      <c r="F148" s="184"/>
      <c r="G148" s="184"/>
      <c r="H148" s="184"/>
      <c r="I148" s="184"/>
      <c r="J148" s="184"/>
    </row>
    <row r="149" spans="3:10">
      <c r="C149" s="184"/>
      <c r="D149" s="184"/>
      <c r="E149" s="184"/>
      <c r="F149" s="184"/>
      <c r="G149" s="184"/>
      <c r="H149" s="184"/>
      <c r="I149" s="184"/>
      <c r="J149" s="184"/>
    </row>
    <row r="150" spans="3:10">
      <c r="C150" s="184"/>
      <c r="D150" s="184"/>
      <c r="E150" s="184"/>
      <c r="F150" s="184"/>
      <c r="G150" s="184"/>
      <c r="H150" s="184"/>
      <c r="I150" s="184"/>
      <c r="J150" s="184"/>
    </row>
    <row r="151" spans="3:10">
      <c r="C151" s="184"/>
      <c r="D151" s="184"/>
      <c r="E151" s="184"/>
      <c r="F151" s="184"/>
      <c r="G151" s="184"/>
      <c r="H151" s="184"/>
      <c r="I151" s="184"/>
      <c r="J151" s="184"/>
    </row>
    <row r="152" spans="3:10">
      <c r="C152" s="184"/>
      <c r="D152" s="184"/>
      <c r="E152" s="184"/>
      <c r="F152" s="184"/>
      <c r="G152" s="184"/>
      <c r="H152" s="184"/>
      <c r="I152" s="184"/>
      <c r="J152" s="184"/>
    </row>
    <row r="153" spans="3:10">
      <c r="C153" s="184"/>
      <c r="D153" s="184"/>
      <c r="E153" s="184"/>
      <c r="F153" s="184"/>
      <c r="G153" s="184"/>
      <c r="H153" s="184"/>
      <c r="I153" s="184"/>
      <c r="J153" s="184"/>
    </row>
    <row r="154" spans="3:10">
      <c r="C154" s="184"/>
      <c r="D154" s="184"/>
      <c r="E154" s="184"/>
      <c r="F154" s="184"/>
      <c r="G154" s="184"/>
      <c r="H154" s="184"/>
      <c r="I154" s="184"/>
      <c r="J154" s="184"/>
    </row>
    <row r="155" spans="3:10">
      <c r="C155" s="184"/>
      <c r="D155" s="184"/>
      <c r="E155" s="184"/>
      <c r="F155" s="184"/>
      <c r="G155" s="184"/>
      <c r="H155" s="184"/>
      <c r="I155" s="184"/>
      <c r="J155" s="184"/>
    </row>
    <row r="156" spans="3:10">
      <c r="C156" s="184"/>
      <c r="D156" s="184"/>
      <c r="E156" s="184"/>
      <c r="F156" s="184"/>
      <c r="G156" s="184"/>
      <c r="H156" s="184"/>
      <c r="I156" s="184"/>
      <c r="J156" s="184"/>
    </row>
    <row r="157" spans="3:10">
      <c r="C157" s="184"/>
      <c r="D157" s="184"/>
      <c r="E157" s="184"/>
      <c r="F157" s="184"/>
      <c r="G157" s="184"/>
      <c r="H157" s="184"/>
      <c r="I157" s="184"/>
      <c r="J157" s="184"/>
    </row>
    <row r="158" spans="3:10">
      <c r="C158" s="184"/>
      <c r="D158" s="184"/>
      <c r="E158" s="184"/>
      <c r="F158" s="184"/>
      <c r="G158" s="184"/>
      <c r="H158" s="184"/>
      <c r="I158" s="184"/>
      <c r="J158" s="184"/>
    </row>
    <row r="159" spans="3:10">
      <c r="C159" s="184"/>
      <c r="D159" s="184"/>
      <c r="E159" s="184"/>
      <c r="F159" s="184"/>
      <c r="G159" s="184"/>
      <c r="H159" s="184"/>
      <c r="I159" s="184"/>
      <c r="J159" s="184"/>
    </row>
    <row r="160" spans="3:10">
      <c r="C160" s="184"/>
      <c r="D160" s="184"/>
      <c r="E160" s="184"/>
      <c r="F160" s="184"/>
      <c r="G160" s="184"/>
      <c r="H160" s="184"/>
      <c r="I160" s="184"/>
      <c r="J160" s="184"/>
    </row>
    <row r="161" spans="3:10">
      <c r="C161" s="184"/>
      <c r="D161" s="184"/>
      <c r="E161" s="184"/>
      <c r="F161" s="184"/>
      <c r="G161" s="184"/>
      <c r="H161" s="184"/>
      <c r="I161" s="184"/>
      <c r="J161" s="184"/>
    </row>
    <row r="162" spans="3:10">
      <c r="C162" s="184"/>
      <c r="D162" s="184"/>
      <c r="E162" s="184"/>
      <c r="F162" s="184"/>
      <c r="G162" s="184"/>
      <c r="H162" s="184"/>
      <c r="I162" s="184"/>
      <c r="J162" s="184"/>
    </row>
    <row r="163" spans="3:10">
      <c r="C163" s="184"/>
      <c r="D163" s="184"/>
      <c r="E163" s="184"/>
      <c r="F163" s="184"/>
      <c r="G163" s="184"/>
      <c r="H163" s="184"/>
      <c r="I163" s="184"/>
      <c r="J163" s="184"/>
    </row>
    <row r="164" spans="3:10">
      <c r="C164" s="184"/>
      <c r="D164" s="184"/>
      <c r="E164" s="184"/>
      <c r="F164" s="184"/>
      <c r="G164" s="184"/>
      <c r="H164" s="184"/>
      <c r="I164" s="184"/>
      <c r="J164" s="184"/>
    </row>
    <row r="165" spans="3:10">
      <c r="C165" s="184"/>
      <c r="D165" s="184"/>
      <c r="E165" s="184"/>
      <c r="F165" s="184"/>
      <c r="G165" s="184"/>
      <c r="H165" s="184"/>
      <c r="I165" s="184"/>
      <c r="J165" s="184"/>
    </row>
    <row r="166" spans="3:10">
      <c r="C166" s="184"/>
      <c r="D166" s="184"/>
      <c r="E166" s="184"/>
      <c r="F166" s="184"/>
      <c r="G166" s="184"/>
      <c r="H166" s="184"/>
      <c r="I166" s="184"/>
      <c r="J166" s="184"/>
    </row>
    <row r="167" spans="3:10">
      <c r="C167" s="184"/>
      <c r="D167" s="184"/>
      <c r="E167" s="184"/>
      <c r="F167" s="184"/>
      <c r="G167" s="184"/>
      <c r="H167" s="184"/>
      <c r="I167" s="184"/>
      <c r="J167" s="184"/>
    </row>
    <row r="168" spans="3:10">
      <c r="C168" s="184"/>
      <c r="D168" s="184"/>
      <c r="E168" s="184"/>
      <c r="F168" s="184"/>
      <c r="G168" s="184"/>
      <c r="H168" s="184"/>
      <c r="I168" s="184"/>
      <c r="J168" s="184"/>
    </row>
    <row r="169" spans="3:10">
      <c r="C169" s="184"/>
      <c r="D169" s="184"/>
      <c r="E169" s="184"/>
      <c r="F169" s="184"/>
      <c r="G169" s="184"/>
      <c r="H169" s="184"/>
      <c r="I169" s="184"/>
      <c r="J169" s="184"/>
    </row>
    <row r="170" spans="3:10">
      <c r="C170" s="184"/>
      <c r="D170" s="184"/>
      <c r="E170" s="184"/>
      <c r="F170" s="184"/>
      <c r="G170" s="184"/>
      <c r="H170" s="184"/>
      <c r="I170" s="184"/>
      <c r="J170" s="184"/>
    </row>
    <row r="171" spans="3:10">
      <c r="C171" s="184"/>
      <c r="D171" s="184"/>
      <c r="E171" s="184"/>
      <c r="F171" s="184"/>
      <c r="G171" s="184"/>
      <c r="H171" s="184"/>
      <c r="I171" s="184"/>
      <c r="J171" s="184"/>
    </row>
    <row r="172" spans="3:10">
      <c r="C172" s="184"/>
      <c r="D172" s="184"/>
      <c r="E172" s="184"/>
      <c r="F172" s="184"/>
      <c r="G172" s="184"/>
      <c r="H172" s="184"/>
      <c r="I172" s="184"/>
      <c r="J172" s="184"/>
    </row>
    <row r="173" spans="3:10">
      <c r="C173" s="184"/>
      <c r="D173" s="184"/>
      <c r="E173" s="184"/>
      <c r="F173" s="184"/>
      <c r="G173" s="184"/>
      <c r="H173" s="184"/>
      <c r="I173" s="184"/>
      <c r="J173" s="184"/>
    </row>
    <row r="174" spans="3:10">
      <c r="C174" s="184"/>
      <c r="D174" s="184"/>
      <c r="E174" s="184"/>
      <c r="F174" s="184"/>
      <c r="G174" s="184"/>
      <c r="H174" s="184"/>
      <c r="I174" s="184"/>
      <c r="J174" s="184"/>
    </row>
    <row r="175" spans="3:10">
      <c r="C175" s="184"/>
      <c r="D175" s="184"/>
      <c r="E175" s="184"/>
      <c r="F175" s="184"/>
      <c r="G175" s="184"/>
      <c r="H175" s="184"/>
      <c r="I175" s="184"/>
      <c r="J175" s="184"/>
    </row>
    <row r="176" spans="3:10">
      <c r="C176" s="184"/>
      <c r="D176" s="184"/>
      <c r="E176" s="184"/>
      <c r="F176" s="184"/>
      <c r="G176" s="184"/>
      <c r="H176" s="184"/>
      <c r="I176" s="184"/>
      <c r="J176" s="184"/>
    </row>
    <row r="177" spans="3:10">
      <c r="C177" s="184"/>
      <c r="D177" s="184"/>
      <c r="E177" s="184"/>
      <c r="F177" s="184"/>
      <c r="G177" s="184"/>
      <c r="H177" s="184"/>
      <c r="I177" s="184"/>
      <c r="J177" s="184"/>
    </row>
    <row r="178" spans="3:10">
      <c r="C178" s="184"/>
      <c r="D178" s="184"/>
      <c r="E178" s="184"/>
      <c r="F178" s="184"/>
      <c r="G178" s="184"/>
      <c r="H178" s="184"/>
      <c r="I178" s="184"/>
      <c r="J178" s="184"/>
    </row>
    <row r="179" spans="3:10">
      <c r="C179" s="184"/>
      <c r="D179" s="184"/>
      <c r="E179" s="184"/>
      <c r="F179" s="184"/>
      <c r="G179" s="184"/>
      <c r="H179" s="184"/>
      <c r="I179" s="184"/>
      <c r="J179" s="184"/>
    </row>
    <row r="180" spans="3:10">
      <c r="C180" s="184"/>
      <c r="D180" s="184"/>
      <c r="E180" s="184"/>
      <c r="F180" s="184"/>
      <c r="G180" s="184"/>
      <c r="H180" s="184"/>
      <c r="I180" s="184"/>
      <c r="J180" s="184"/>
    </row>
    <row r="181" spans="3:10">
      <c r="C181" s="184"/>
      <c r="D181" s="184"/>
      <c r="E181" s="184"/>
      <c r="F181" s="184"/>
      <c r="G181" s="184"/>
      <c r="H181" s="184"/>
      <c r="I181" s="184"/>
      <c r="J181" s="184"/>
    </row>
    <row r="182" spans="3:10">
      <c r="C182" s="184"/>
      <c r="D182" s="184"/>
      <c r="E182" s="184"/>
      <c r="F182" s="184"/>
      <c r="G182" s="184"/>
      <c r="H182" s="184"/>
      <c r="I182" s="184"/>
      <c r="J182" s="184"/>
    </row>
    <row r="183" spans="3:10">
      <c r="C183" s="184"/>
      <c r="D183" s="184"/>
      <c r="E183" s="184"/>
      <c r="F183" s="184"/>
      <c r="G183" s="184"/>
      <c r="H183" s="184"/>
      <c r="I183" s="184"/>
      <c r="J183" s="184"/>
    </row>
    <row r="184" spans="3:10">
      <c r="C184" s="184"/>
      <c r="D184" s="184"/>
      <c r="E184" s="184"/>
      <c r="F184" s="184"/>
      <c r="G184" s="184"/>
      <c r="H184" s="184"/>
      <c r="I184" s="184"/>
      <c r="J184" s="184"/>
    </row>
    <row r="185" spans="3:10">
      <c r="C185" s="184"/>
      <c r="D185" s="184"/>
      <c r="E185" s="184"/>
      <c r="F185" s="184"/>
      <c r="G185" s="184"/>
      <c r="H185" s="184"/>
      <c r="I185" s="184"/>
      <c r="J185" s="184"/>
    </row>
    <row r="186" spans="3:10">
      <c r="C186" s="184"/>
      <c r="D186" s="184"/>
      <c r="E186" s="184"/>
      <c r="F186" s="184"/>
      <c r="G186" s="184"/>
      <c r="H186" s="184"/>
      <c r="I186" s="184"/>
      <c r="J186" s="184"/>
    </row>
    <row r="187" spans="3:10">
      <c r="C187" s="184"/>
      <c r="D187" s="184"/>
      <c r="E187" s="184"/>
      <c r="F187" s="184"/>
      <c r="G187" s="184"/>
      <c r="H187" s="184"/>
      <c r="I187" s="184"/>
      <c r="J187" s="184"/>
    </row>
    <row r="188" spans="3:10">
      <c r="C188" s="184"/>
      <c r="D188" s="184"/>
      <c r="E188" s="184"/>
      <c r="F188" s="184"/>
      <c r="G188" s="184"/>
      <c r="H188" s="184"/>
      <c r="I188" s="184"/>
      <c r="J188" s="184"/>
    </row>
    <row r="189" spans="3:10">
      <c r="C189" s="184"/>
      <c r="D189" s="184"/>
      <c r="E189" s="184"/>
      <c r="F189" s="184"/>
      <c r="G189" s="184"/>
      <c r="H189" s="184"/>
      <c r="I189" s="184"/>
      <c r="J189" s="184"/>
    </row>
    <row r="190" spans="3:10">
      <c r="C190" s="184"/>
      <c r="D190" s="184"/>
      <c r="E190" s="184"/>
      <c r="F190" s="184"/>
      <c r="G190" s="184"/>
      <c r="H190" s="184"/>
      <c r="I190" s="184"/>
      <c r="J190" s="184"/>
    </row>
    <row r="191" spans="3:10">
      <c r="C191" s="184"/>
      <c r="D191" s="184"/>
      <c r="E191" s="184"/>
      <c r="F191" s="184"/>
      <c r="G191" s="184"/>
      <c r="H191" s="184"/>
      <c r="I191" s="184"/>
      <c r="J191" s="184"/>
    </row>
    <row r="192" spans="3:10">
      <c r="C192" s="184"/>
      <c r="D192" s="184"/>
      <c r="E192" s="184"/>
      <c r="F192" s="184"/>
      <c r="G192" s="184"/>
      <c r="H192" s="184"/>
      <c r="I192" s="184"/>
      <c r="J192" s="184"/>
    </row>
    <row r="193" spans="3:10">
      <c r="C193" s="184"/>
      <c r="D193" s="184"/>
      <c r="E193" s="184"/>
      <c r="F193" s="184"/>
      <c r="G193" s="184"/>
      <c r="H193" s="184"/>
      <c r="I193" s="184"/>
      <c r="J193" s="184"/>
    </row>
    <row r="194" spans="3:10">
      <c r="C194" s="184"/>
      <c r="D194" s="184"/>
      <c r="E194" s="184"/>
      <c r="F194" s="184"/>
      <c r="G194" s="184"/>
      <c r="H194" s="184"/>
      <c r="I194" s="184"/>
      <c r="J194" s="184"/>
    </row>
    <row r="195" spans="3:10">
      <c r="C195" s="184"/>
      <c r="D195" s="184"/>
      <c r="E195" s="184"/>
      <c r="F195" s="184"/>
      <c r="G195" s="184"/>
      <c r="H195" s="184"/>
      <c r="I195" s="184"/>
      <c r="J195" s="184"/>
    </row>
    <row r="196" spans="3:10">
      <c r="C196" s="184"/>
      <c r="D196" s="184"/>
      <c r="E196" s="184"/>
      <c r="F196" s="184"/>
      <c r="G196" s="184"/>
      <c r="H196" s="184"/>
      <c r="I196" s="184"/>
      <c r="J196" s="184"/>
    </row>
    <row r="197" spans="3:10">
      <c r="C197" s="184"/>
      <c r="D197" s="184"/>
      <c r="E197" s="184"/>
      <c r="F197" s="184"/>
      <c r="G197" s="184"/>
      <c r="H197" s="184"/>
      <c r="I197" s="184"/>
      <c r="J197" s="184"/>
    </row>
    <row r="198" spans="3:10">
      <c r="C198" s="184"/>
      <c r="D198" s="184"/>
      <c r="E198" s="184"/>
      <c r="F198" s="184"/>
      <c r="G198" s="184"/>
      <c r="H198" s="184"/>
      <c r="I198" s="184"/>
      <c r="J198" s="184"/>
    </row>
    <row r="199" spans="3:10">
      <c r="C199" s="184"/>
      <c r="D199" s="184"/>
      <c r="E199" s="184"/>
      <c r="F199" s="184"/>
      <c r="G199" s="184"/>
      <c r="H199" s="184"/>
      <c r="I199" s="184"/>
      <c r="J199" s="184"/>
    </row>
    <row r="200" spans="3:10">
      <c r="C200" s="184"/>
      <c r="D200" s="184"/>
      <c r="E200" s="184"/>
      <c r="F200" s="184"/>
      <c r="G200" s="184"/>
      <c r="H200" s="184"/>
      <c r="I200" s="184"/>
      <c r="J200" s="184"/>
    </row>
    <row r="201" spans="3:10">
      <c r="C201" s="184"/>
      <c r="D201" s="184"/>
      <c r="E201" s="184"/>
      <c r="F201" s="184"/>
      <c r="G201" s="184"/>
      <c r="H201" s="184"/>
      <c r="I201" s="184"/>
      <c r="J201" s="184"/>
    </row>
    <row r="202" spans="3:10">
      <c r="C202" s="184"/>
      <c r="D202" s="184"/>
      <c r="E202" s="184"/>
      <c r="F202" s="184"/>
      <c r="G202" s="184"/>
      <c r="H202" s="184"/>
      <c r="I202" s="184"/>
      <c r="J202" s="184"/>
    </row>
    <row r="203" spans="3:10">
      <c r="C203" s="184"/>
      <c r="D203" s="184"/>
      <c r="E203" s="184"/>
      <c r="F203" s="184"/>
      <c r="G203" s="184"/>
      <c r="H203" s="184"/>
      <c r="I203" s="184"/>
      <c r="J203" s="184"/>
    </row>
    <row r="204" spans="3:10">
      <c r="C204" s="184"/>
      <c r="D204" s="184"/>
      <c r="E204" s="184"/>
      <c r="F204" s="184"/>
      <c r="G204" s="184"/>
      <c r="H204" s="184"/>
      <c r="I204" s="184"/>
      <c r="J204" s="184"/>
    </row>
    <row r="205" spans="3:10">
      <c r="C205" s="184"/>
      <c r="D205" s="184"/>
      <c r="E205" s="184"/>
      <c r="F205" s="184"/>
      <c r="G205" s="184"/>
      <c r="H205" s="184"/>
      <c r="I205" s="184"/>
      <c r="J205" s="184"/>
    </row>
    <row r="206" spans="3:10">
      <c r="C206" s="184"/>
      <c r="D206" s="184"/>
      <c r="E206" s="184"/>
      <c r="F206" s="184"/>
      <c r="G206" s="184"/>
      <c r="H206" s="184"/>
      <c r="I206" s="184"/>
      <c r="J206" s="184"/>
    </row>
    <row r="207" spans="3:10">
      <c r="C207" s="184"/>
      <c r="D207" s="184"/>
      <c r="E207" s="184"/>
      <c r="F207" s="184"/>
      <c r="G207" s="184"/>
      <c r="H207" s="184"/>
      <c r="I207" s="184"/>
      <c r="J207" s="184"/>
    </row>
    <row r="208" spans="3:10">
      <c r="C208" s="184"/>
      <c r="D208" s="184"/>
      <c r="E208" s="184"/>
      <c r="F208" s="184"/>
      <c r="G208" s="184"/>
      <c r="H208" s="184"/>
      <c r="I208" s="184"/>
      <c r="J208" s="184"/>
    </row>
    <row r="209" spans="3:10">
      <c r="C209" s="184"/>
      <c r="D209" s="184"/>
      <c r="E209" s="184"/>
      <c r="F209" s="184"/>
      <c r="G209" s="184"/>
      <c r="H209" s="184"/>
      <c r="I209" s="184"/>
      <c r="J209" s="184"/>
    </row>
    <row r="210" spans="3:10">
      <c r="C210" s="184"/>
      <c r="D210" s="184"/>
      <c r="E210" s="184"/>
      <c r="F210" s="184"/>
      <c r="G210" s="184"/>
      <c r="H210" s="184"/>
      <c r="I210" s="184"/>
      <c r="J210" s="184"/>
    </row>
    <row r="211" spans="3:10">
      <c r="C211" s="184"/>
      <c r="D211" s="184"/>
      <c r="E211" s="184"/>
      <c r="F211" s="184"/>
      <c r="G211" s="184"/>
      <c r="H211" s="184"/>
      <c r="I211" s="184"/>
      <c r="J211" s="184"/>
    </row>
    <row r="212" spans="3:10">
      <c r="C212" s="184"/>
      <c r="D212" s="184"/>
      <c r="E212" s="184"/>
      <c r="F212" s="184"/>
      <c r="G212" s="184"/>
      <c r="H212" s="184"/>
      <c r="I212" s="184"/>
      <c r="J212" s="184"/>
    </row>
    <row r="213" spans="3:10">
      <c r="C213" s="184"/>
      <c r="D213" s="184"/>
      <c r="E213" s="184"/>
      <c r="F213" s="184"/>
      <c r="G213" s="184"/>
      <c r="H213" s="184"/>
      <c r="I213" s="184"/>
      <c r="J213" s="184"/>
    </row>
    <row r="214" spans="3:10">
      <c r="C214" s="184"/>
      <c r="D214" s="184"/>
      <c r="E214" s="184"/>
      <c r="F214" s="184"/>
      <c r="G214" s="184"/>
      <c r="H214" s="184"/>
      <c r="I214" s="184"/>
      <c r="J214" s="184"/>
    </row>
    <row r="215" spans="3:10">
      <c r="C215" s="184"/>
      <c r="D215" s="184"/>
      <c r="E215" s="184"/>
      <c r="F215" s="184"/>
      <c r="G215" s="184"/>
      <c r="H215" s="184"/>
      <c r="I215" s="184"/>
      <c r="J215" s="184"/>
    </row>
    <row r="216" spans="3:10">
      <c r="C216" s="184"/>
      <c r="D216" s="184"/>
      <c r="E216" s="184"/>
      <c r="F216" s="184"/>
      <c r="G216" s="184"/>
      <c r="H216" s="184"/>
      <c r="I216" s="184"/>
      <c r="J216" s="184"/>
    </row>
    <row r="217" spans="3:10">
      <c r="C217" s="184"/>
      <c r="D217" s="184"/>
      <c r="E217" s="184"/>
      <c r="F217" s="184"/>
      <c r="G217" s="184"/>
      <c r="H217" s="184"/>
      <c r="I217" s="184"/>
      <c r="J217" s="184"/>
    </row>
    <row r="218" spans="3:10">
      <c r="C218" s="184"/>
      <c r="D218" s="184"/>
      <c r="E218" s="184"/>
      <c r="F218" s="184"/>
      <c r="G218" s="184"/>
      <c r="H218" s="184"/>
      <c r="I218" s="184"/>
      <c r="J218" s="184"/>
    </row>
    <row r="219" spans="3:10">
      <c r="C219" s="184"/>
      <c r="D219" s="184"/>
      <c r="E219" s="184"/>
      <c r="F219" s="184"/>
      <c r="G219" s="184"/>
      <c r="H219" s="184"/>
      <c r="I219" s="184"/>
      <c r="J219" s="184"/>
    </row>
    <row r="220" spans="3:10">
      <c r="C220" s="184"/>
      <c r="D220" s="184"/>
      <c r="E220" s="184"/>
      <c r="F220" s="184"/>
      <c r="G220" s="184"/>
      <c r="H220" s="184"/>
      <c r="I220" s="184"/>
      <c r="J220" s="184"/>
    </row>
    <row r="221" spans="3:10">
      <c r="C221" s="184"/>
      <c r="D221" s="184"/>
      <c r="E221" s="184"/>
      <c r="F221" s="184"/>
      <c r="G221" s="184"/>
      <c r="H221" s="184"/>
      <c r="I221" s="184"/>
      <c r="J221" s="184"/>
    </row>
    <row r="222" spans="3:10">
      <c r="C222" s="184"/>
      <c r="D222" s="184"/>
      <c r="E222" s="184"/>
      <c r="F222" s="184"/>
      <c r="G222" s="184"/>
      <c r="H222" s="184"/>
      <c r="I222" s="184"/>
      <c r="J222" s="184"/>
    </row>
    <row r="223" spans="3:10">
      <c r="C223" s="184"/>
      <c r="D223" s="184"/>
      <c r="E223" s="184"/>
      <c r="F223" s="184"/>
      <c r="G223" s="184"/>
      <c r="H223" s="184"/>
      <c r="I223" s="184"/>
      <c r="J223" s="184"/>
    </row>
    <row r="224" spans="3:10">
      <c r="C224" s="184"/>
      <c r="D224" s="184"/>
      <c r="E224" s="184"/>
      <c r="F224" s="184"/>
      <c r="G224" s="184"/>
      <c r="H224" s="184"/>
      <c r="I224" s="184"/>
      <c r="J224" s="184"/>
    </row>
    <row r="225" spans="3:10">
      <c r="C225" s="184"/>
      <c r="D225" s="184"/>
      <c r="E225" s="184"/>
      <c r="F225" s="184"/>
      <c r="G225" s="184"/>
      <c r="H225" s="184"/>
      <c r="I225" s="184"/>
      <c r="J225" s="184"/>
    </row>
    <row r="226" spans="3:10">
      <c r="C226" s="184"/>
      <c r="D226" s="184"/>
      <c r="E226" s="184"/>
      <c r="F226" s="184"/>
      <c r="G226" s="184"/>
      <c r="H226" s="184"/>
      <c r="I226" s="184"/>
      <c r="J226" s="184"/>
    </row>
    <row r="227" spans="3:10">
      <c r="C227" s="184"/>
      <c r="D227" s="184"/>
      <c r="E227" s="184"/>
      <c r="F227" s="184"/>
      <c r="G227" s="184"/>
      <c r="H227" s="184"/>
      <c r="I227" s="184"/>
      <c r="J227" s="184"/>
    </row>
    <row r="228" spans="3:10">
      <c r="C228" s="184"/>
      <c r="D228" s="184"/>
      <c r="E228" s="184"/>
      <c r="F228" s="184"/>
      <c r="G228" s="184"/>
      <c r="H228" s="184"/>
      <c r="I228" s="184"/>
      <c r="J228" s="184"/>
    </row>
    <row r="229" spans="3:10">
      <c r="C229" s="184"/>
      <c r="D229" s="184"/>
      <c r="E229" s="184"/>
      <c r="F229" s="184"/>
      <c r="G229" s="184"/>
      <c r="H229" s="184"/>
      <c r="I229" s="184"/>
      <c r="J229" s="184"/>
    </row>
    <row r="230" spans="3:10">
      <c r="C230" s="184"/>
      <c r="D230" s="184"/>
      <c r="E230" s="184"/>
      <c r="F230" s="184"/>
      <c r="G230" s="184"/>
      <c r="H230" s="184"/>
      <c r="I230" s="184"/>
      <c r="J230" s="184"/>
    </row>
    <row r="231" spans="3:10">
      <c r="C231" s="184"/>
      <c r="D231" s="184"/>
      <c r="E231" s="184"/>
      <c r="F231" s="184"/>
      <c r="G231" s="184"/>
      <c r="H231" s="184"/>
      <c r="I231" s="184"/>
      <c r="J231" s="184"/>
    </row>
    <row r="232" spans="3:10">
      <c r="C232" s="184"/>
      <c r="D232" s="184"/>
      <c r="E232" s="184"/>
      <c r="F232" s="184"/>
      <c r="G232" s="184"/>
      <c r="H232" s="184"/>
      <c r="I232" s="184"/>
      <c r="J232" s="184"/>
    </row>
    <row r="233" spans="3:10">
      <c r="C233" s="184"/>
      <c r="D233" s="184"/>
      <c r="E233" s="184"/>
      <c r="F233" s="184"/>
      <c r="G233" s="184"/>
      <c r="H233" s="184"/>
      <c r="I233" s="184"/>
      <c r="J233" s="184"/>
    </row>
    <row r="234" spans="3:10">
      <c r="C234" s="184"/>
      <c r="D234" s="184"/>
      <c r="E234" s="184"/>
      <c r="F234" s="184"/>
      <c r="G234" s="184"/>
      <c r="H234" s="184"/>
      <c r="I234" s="184"/>
      <c r="J234" s="184"/>
    </row>
    <row r="235" spans="3:10">
      <c r="C235" s="184"/>
      <c r="D235" s="184"/>
      <c r="E235" s="184"/>
      <c r="F235" s="184"/>
      <c r="G235" s="184"/>
      <c r="H235" s="184"/>
      <c r="I235" s="184"/>
      <c r="J235" s="184"/>
    </row>
    <row r="236" spans="3:10">
      <c r="C236" s="184"/>
      <c r="D236" s="184"/>
      <c r="E236" s="184"/>
      <c r="F236" s="184"/>
      <c r="G236" s="184"/>
      <c r="H236" s="184"/>
      <c r="I236" s="184"/>
      <c r="J236" s="184"/>
    </row>
    <row r="237" spans="3:10">
      <c r="C237" s="184"/>
      <c r="D237" s="184"/>
      <c r="E237" s="184"/>
      <c r="F237" s="184"/>
      <c r="G237" s="184"/>
      <c r="H237" s="184"/>
      <c r="I237" s="184"/>
      <c r="J237" s="184"/>
    </row>
    <row r="238" spans="3:10">
      <c r="C238" s="184"/>
      <c r="D238" s="184"/>
      <c r="E238" s="184"/>
      <c r="F238" s="184"/>
      <c r="G238" s="184"/>
      <c r="H238" s="184"/>
      <c r="I238" s="184"/>
      <c r="J238" s="184"/>
    </row>
    <row r="239" spans="3:10">
      <c r="C239" s="184"/>
      <c r="D239" s="184"/>
      <c r="E239" s="184"/>
      <c r="F239" s="184"/>
      <c r="G239" s="184"/>
      <c r="H239" s="184"/>
      <c r="I239" s="184"/>
      <c r="J239" s="184"/>
    </row>
    <row r="240" spans="3:10">
      <c r="C240" s="184"/>
      <c r="D240" s="184"/>
      <c r="E240" s="184"/>
      <c r="F240" s="184"/>
      <c r="G240" s="184"/>
      <c r="H240" s="184"/>
      <c r="I240" s="184"/>
      <c r="J240" s="184"/>
    </row>
    <row r="241" spans="3:10">
      <c r="C241" s="184"/>
      <c r="D241" s="184"/>
      <c r="E241" s="184"/>
      <c r="F241" s="184"/>
      <c r="G241" s="184"/>
      <c r="H241" s="184"/>
      <c r="I241" s="184"/>
      <c r="J241" s="184"/>
    </row>
    <row r="242" spans="3:10">
      <c r="C242" s="184"/>
      <c r="D242" s="184"/>
      <c r="E242" s="184"/>
      <c r="F242" s="184"/>
      <c r="G242" s="184"/>
      <c r="H242" s="184"/>
      <c r="I242" s="184"/>
      <c r="J242" s="184"/>
    </row>
    <row r="243" spans="3:10">
      <c r="C243" s="184"/>
      <c r="D243" s="184"/>
      <c r="E243" s="184"/>
      <c r="F243" s="184"/>
      <c r="G243" s="184"/>
      <c r="H243" s="184"/>
      <c r="I243" s="184"/>
      <c r="J243" s="184"/>
    </row>
    <row r="244" spans="3:10">
      <c r="C244" s="184"/>
      <c r="D244" s="184"/>
      <c r="E244" s="184"/>
      <c r="F244" s="184"/>
      <c r="G244" s="184"/>
      <c r="H244" s="184"/>
      <c r="I244" s="184"/>
      <c r="J244" s="184"/>
    </row>
    <row r="245" spans="3:10">
      <c r="C245" s="184"/>
      <c r="D245" s="184"/>
      <c r="E245" s="184"/>
      <c r="F245" s="184"/>
      <c r="G245" s="184"/>
      <c r="H245" s="184"/>
      <c r="I245" s="184"/>
      <c r="J245" s="184"/>
    </row>
    <row r="246" spans="3:10">
      <c r="C246" s="184"/>
      <c r="D246" s="184"/>
      <c r="E246" s="184"/>
      <c r="F246" s="184"/>
      <c r="G246" s="184"/>
      <c r="H246" s="184"/>
      <c r="I246" s="184"/>
      <c r="J246" s="184"/>
    </row>
    <row r="247" spans="3:10">
      <c r="C247" s="184"/>
      <c r="D247" s="184"/>
      <c r="E247" s="184"/>
      <c r="F247" s="184"/>
      <c r="G247" s="184"/>
      <c r="H247" s="184"/>
      <c r="I247" s="184"/>
      <c r="J247" s="184"/>
    </row>
    <row r="248" spans="3:10">
      <c r="C248" s="184"/>
      <c r="D248" s="184"/>
      <c r="E248" s="184"/>
      <c r="F248" s="184"/>
      <c r="G248" s="184"/>
      <c r="H248" s="184"/>
      <c r="I248" s="184"/>
      <c r="J248" s="184"/>
    </row>
    <row r="249" spans="3:10">
      <c r="C249" s="184"/>
      <c r="D249" s="184"/>
      <c r="E249" s="184"/>
      <c r="F249" s="184"/>
      <c r="G249" s="184"/>
      <c r="H249" s="184"/>
      <c r="I249" s="184"/>
      <c r="J249" s="184"/>
    </row>
    <row r="250" spans="3:10">
      <c r="C250" s="184"/>
      <c r="D250" s="184"/>
      <c r="E250" s="184"/>
      <c r="F250" s="184"/>
      <c r="G250" s="184"/>
      <c r="H250" s="184"/>
      <c r="I250" s="184"/>
      <c r="J250" s="184"/>
    </row>
    <row r="251" spans="3:10">
      <c r="C251" s="184"/>
      <c r="D251" s="184"/>
      <c r="E251" s="184"/>
      <c r="F251" s="184"/>
      <c r="G251" s="184"/>
      <c r="H251" s="184"/>
      <c r="I251" s="184"/>
      <c r="J251" s="184"/>
    </row>
    <row r="252" spans="3:10">
      <c r="C252" s="184"/>
      <c r="D252" s="184"/>
      <c r="E252" s="184"/>
      <c r="F252" s="184"/>
      <c r="G252" s="184"/>
      <c r="H252" s="184"/>
      <c r="I252" s="184"/>
      <c r="J252" s="184"/>
    </row>
    <row r="253" spans="3:10">
      <c r="C253" s="184"/>
      <c r="D253" s="184"/>
      <c r="E253" s="184"/>
      <c r="F253" s="184"/>
      <c r="G253" s="184"/>
      <c r="H253" s="184"/>
      <c r="I253" s="184"/>
      <c r="J253" s="184"/>
    </row>
    <row r="254" spans="3:10">
      <c r="C254" s="184"/>
      <c r="D254" s="184"/>
      <c r="E254" s="184"/>
      <c r="F254" s="184"/>
      <c r="G254" s="184"/>
      <c r="H254" s="184"/>
      <c r="I254" s="184"/>
      <c r="J254" s="184"/>
    </row>
    <row r="255" spans="3:10">
      <c r="C255" s="184"/>
      <c r="D255" s="184"/>
      <c r="E255" s="184"/>
      <c r="F255" s="184"/>
      <c r="G255" s="184"/>
      <c r="H255" s="184"/>
      <c r="I255" s="184"/>
      <c r="J255" s="184"/>
    </row>
    <row r="256" spans="3:10">
      <c r="C256" s="184"/>
      <c r="D256" s="184"/>
      <c r="E256" s="184"/>
      <c r="F256" s="184"/>
      <c r="G256" s="184"/>
      <c r="H256" s="184"/>
      <c r="I256" s="184"/>
      <c r="J256" s="184"/>
    </row>
    <row r="257" spans="3:10">
      <c r="C257" s="184"/>
      <c r="D257" s="184"/>
      <c r="E257" s="184"/>
      <c r="F257" s="184"/>
      <c r="G257" s="184"/>
      <c r="H257" s="184"/>
      <c r="I257" s="184"/>
      <c r="J257" s="184"/>
    </row>
    <row r="258" spans="3:10">
      <c r="C258" s="184"/>
      <c r="D258" s="184"/>
      <c r="E258" s="184"/>
      <c r="F258" s="184"/>
      <c r="G258" s="184"/>
      <c r="H258" s="184"/>
      <c r="I258" s="184"/>
      <c r="J258" s="184"/>
    </row>
    <row r="259" spans="3:10">
      <c r="C259" s="184"/>
      <c r="D259" s="184"/>
      <c r="E259" s="184"/>
      <c r="F259" s="184"/>
      <c r="G259" s="184"/>
      <c r="H259" s="184"/>
      <c r="I259" s="184"/>
      <c r="J259" s="184"/>
    </row>
    <row r="260" spans="3:10">
      <c r="C260" s="184"/>
      <c r="D260" s="184"/>
      <c r="E260" s="184"/>
      <c r="F260" s="184"/>
      <c r="G260" s="184"/>
      <c r="H260" s="184"/>
      <c r="I260" s="184"/>
      <c r="J260" s="184"/>
    </row>
    <row r="261" spans="3:10">
      <c r="C261" s="184"/>
      <c r="D261" s="184"/>
      <c r="E261" s="184"/>
      <c r="F261" s="184"/>
      <c r="G261" s="184"/>
      <c r="H261" s="184"/>
      <c r="I261" s="184"/>
      <c r="J261" s="184"/>
    </row>
    <row r="262" spans="3:10">
      <c r="C262" s="184"/>
      <c r="D262" s="184"/>
      <c r="E262" s="184"/>
      <c r="F262" s="184"/>
      <c r="G262" s="184"/>
      <c r="H262" s="184"/>
      <c r="I262" s="184"/>
      <c r="J262" s="184"/>
    </row>
    <row r="263" spans="3:10">
      <c r="C263" s="184"/>
      <c r="D263" s="184"/>
      <c r="E263" s="184"/>
      <c r="F263" s="184"/>
      <c r="G263" s="184"/>
      <c r="H263" s="184"/>
      <c r="I263" s="184"/>
      <c r="J263" s="184"/>
    </row>
    <row r="264" spans="3:10">
      <c r="C264" s="184"/>
      <c r="D264" s="184"/>
      <c r="E264" s="184"/>
      <c r="F264" s="184"/>
      <c r="G264" s="184"/>
      <c r="H264" s="184"/>
      <c r="I264" s="184"/>
      <c r="J264" s="184"/>
    </row>
    <row r="265" spans="3:10">
      <c r="C265" s="184"/>
      <c r="D265" s="184"/>
      <c r="E265" s="184"/>
      <c r="F265" s="184"/>
      <c r="G265" s="184"/>
      <c r="H265" s="184"/>
      <c r="I265" s="184"/>
      <c r="J265" s="184"/>
    </row>
    <row r="266" spans="3:10">
      <c r="C266" s="184"/>
      <c r="D266" s="184"/>
      <c r="E266" s="184"/>
      <c r="F266" s="184"/>
      <c r="G266" s="184"/>
      <c r="H266" s="184"/>
      <c r="I266" s="184"/>
      <c r="J266" s="184"/>
    </row>
    <row r="267" spans="3:10">
      <c r="C267" s="184"/>
      <c r="D267" s="184"/>
      <c r="E267" s="184"/>
      <c r="F267" s="184"/>
      <c r="G267" s="184"/>
      <c r="H267" s="184"/>
      <c r="I267" s="184"/>
      <c r="J267" s="184"/>
    </row>
    <row r="268" spans="3:10">
      <c r="C268" s="184"/>
      <c r="D268" s="184"/>
      <c r="E268" s="184"/>
      <c r="F268" s="184"/>
      <c r="G268" s="184"/>
      <c r="H268" s="184"/>
      <c r="I268" s="184"/>
      <c r="J268" s="184"/>
    </row>
    <row r="269" spans="3:10">
      <c r="C269" s="184"/>
      <c r="D269" s="184"/>
      <c r="E269" s="184"/>
      <c r="F269" s="184"/>
      <c r="G269" s="184"/>
      <c r="H269" s="184"/>
      <c r="I269" s="184"/>
      <c r="J269" s="184"/>
    </row>
    <row r="270" spans="3:10">
      <c r="C270" s="184"/>
      <c r="D270" s="184"/>
      <c r="E270" s="184"/>
      <c r="F270" s="184"/>
      <c r="G270" s="184"/>
      <c r="H270" s="184"/>
      <c r="I270" s="184"/>
      <c r="J270" s="184"/>
    </row>
    <row r="271" spans="3:10">
      <c r="C271" s="184"/>
      <c r="D271" s="184"/>
      <c r="E271" s="184"/>
      <c r="F271" s="184"/>
      <c r="G271" s="184"/>
      <c r="H271" s="184"/>
      <c r="I271" s="184"/>
      <c r="J271" s="184"/>
    </row>
    <row r="272" spans="3:10">
      <c r="C272" s="184"/>
      <c r="D272" s="184"/>
      <c r="E272" s="184"/>
      <c r="F272" s="184"/>
      <c r="G272" s="184"/>
      <c r="H272" s="184"/>
      <c r="I272" s="184"/>
      <c r="J272" s="184"/>
    </row>
    <row r="273" spans="3:10">
      <c r="C273" s="184"/>
      <c r="D273" s="184"/>
      <c r="E273" s="184"/>
      <c r="F273" s="184"/>
      <c r="G273" s="184"/>
      <c r="H273" s="184"/>
      <c r="I273" s="184"/>
      <c r="J273" s="184"/>
    </row>
    <row r="274" spans="3:10">
      <c r="C274" s="184"/>
      <c r="D274" s="184"/>
      <c r="E274" s="184"/>
      <c r="F274" s="184"/>
      <c r="G274" s="184"/>
      <c r="H274" s="184"/>
      <c r="I274" s="184"/>
      <c r="J274" s="184"/>
    </row>
    <row r="275" spans="3:10">
      <c r="C275" s="184"/>
      <c r="D275" s="184"/>
      <c r="E275" s="184"/>
      <c r="F275" s="184"/>
      <c r="G275" s="184"/>
      <c r="H275" s="184"/>
      <c r="I275" s="184"/>
      <c r="J275" s="184"/>
    </row>
    <row r="276" spans="3:10">
      <c r="C276" s="184"/>
      <c r="D276" s="184"/>
      <c r="E276" s="184"/>
      <c r="F276" s="184"/>
      <c r="G276" s="184"/>
      <c r="H276" s="184"/>
      <c r="I276" s="184"/>
      <c r="J276" s="184"/>
    </row>
    <row r="277" spans="3:10">
      <c r="C277" s="184"/>
      <c r="D277" s="184"/>
      <c r="E277" s="184"/>
      <c r="F277" s="184"/>
      <c r="G277" s="184"/>
      <c r="H277" s="184"/>
      <c r="I277" s="184"/>
      <c r="J277" s="184"/>
    </row>
    <row r="278" spans="3:10">
      <c r="C278" s="184"/>
      <c r="D278" s="184"/>
      <c r="E278" s="184"/>
      <c r="F278" s="184"/>
      <c r="G278" s="184"/>
      <c r="H278" s="184"/>
      <c r="I278" s="184"/>
      <c r="J278" s="184"/>
    </row>
    <row r="279" spans="3:10">
      <c r="C279" s="184"/>
      <c r="D279" s="184"/>
      <c r="E279" s="184"/>
      <c r="F279" s="184"/>
      <c r="G279" s="184"/>
      <c r="H279" s="184"/>
      <c r="I279" s="184"/>
      <c r="J279" s="184"/>
    </row>
    <row r="280" spans="3:10">
      <c r="C280" s="184"/>
      <c r="D280" s="184"/>
      <c r="E280" s="184"/>
      <c r="F280" s="184"/>
      <c r="G280" s="184"/>
      <c r="H280" s="184"/>
      <c r="I280" s="184"/>
      <c r="J280" s="184"/>
    </row>
    <row r="281" spans="3:10">
      <c r="C281" s="184"/>
      <c r="D281" s="184"/>
      <c r="E281" s="184"/>
      <c r="F281" s="184"/>
      <c r="G281" s="184"/>
      <c r="H281" s="184"/>
      <c r="I281" s="184"/>
      <c r="J281" s="184"/>
    </row>
    <row r="282" spans="3:10">
      <c r="C282" s="184"/>
      <c r="D282" s="184"/>
      <c r="E282" s="184"/>
      <c r="F282" s="184"/>
      <c r="G282" s="184"/>
      <c r="H282" s="184"/>
      <c r="I282" s="184"/>
      <c r="J282" s="184"/>
    </row>
    <row r="283" spans="3:10">
      <c r="C283" s="184"/>
      <c r="D283" s="184"/>
      <c r="E283" s="184"/>
      <c r="F283" s="184"/>
      <c r="G283" s="184"/>
      <c r="H283" s="184"/>
      <c r="I283" s="184"/>
      <c r="J283" s="184"/>
    </row>
    <row r="284" spans="3:10">
      <c r="C284" s="184"/>
      <c r="D284" s="184"/>
      <c r="E284" s="184"/>
      <c r="F284" s="184"/>
      <c r="G284" s="184"/>
      <c r="H284" s="184"/>
      <c r="I284" s="184"/>
      <c r="J284" s="184"/>
    </row>
    <row r="285" spans="3:10">
      <c r="C285" s="184"/>
      <c r="D285" s="184"/>
      <c r="E285" s="184"/>
      <c r="F285" s="184"/>
      <c r="G285" s="184"/>
      <c r="H285" s="184"/>
      <c r="I285" s="184"/>
      <c r="J285" s="184"/>
    </row>
    <row r="286" spans="3:10">
      <c r="C286" s="184"/>
      <c r="D286" s="184"/>
      <c r="E286" s="184"/>
      <c r="F286" s="184"/>
      <c r="G286" s="184"/>
      <c r="H286" s="184"/>
      <c r="I286" s="184"/>
      <c r="J286" s="184"/>
    </row>
    <row r="287" spans="3:10">
      <c r="C287" s="184"/>
      <c r="D287" s="184"/>
      <c r="E287" s="184"/>
      <c r="F287" s="184"/>
      <c r="G287" s="184"/>
      <c r="H287" s="184"/>
      <c r="I287" s="184"/>
      <c r="J287" s="184"/>
    </row>
    <row r="288" spans="3:10">
      <c r="C288" s="184"/>
      <c r="D288" s="184"/>
      <c r="E288" s="184"/>
      <c r="F288" s="184"/>
      <c r="G288" s="184"/>
      <c r="H288" s="184"/>
      <c r="I288" s="184"/>
      <c r="J288" s="184"/>
    </row>
    <row r="289" spans="3:10">
      <c r="C289" s="184"/>
      <c r="D289" s="184"/>
      <c r="E289" s="184"/>
      <c r="F289" s="184"/>
      <c r="G289" s="184"/>
      <c r="H289" s="184"/>
      <c r="I289" s="184"/>
      <c r="J289" s="184"/>
    </row>
    <row r="290" spans="3:10">
      <c r="C290" s="184"/>
      <c r="D290" s="184"/>
      <c r="E290" s="184"/>
      <c r="F290" s="184"/>
      <c r="G290" s="184"/>
      <c r="H290" s="184"/>
      <c r="I290" s="184"/>
      <c r="J290" s="184"/>
    </row>
    <row r="291" spans="3:10">
      <c r="C291" s="184"/>
      <c r="D291" s="184"/>
      <c r="E291" s="184"/>
      <c r="F291" s="184"/>
      <c r="G291" s="184"/>
      <c r="H291" s="184"/>
      <c r="I291" s="184"/>
      <c r="J291" s="184"/>
    </row>
    <row r="292" spans="3:10">
      <c r="C292" s="184"/>
      <c r="D292" s="184"/>
      <c r="E292" s="184"/>
      <c r="F292" s="184"/>
      <c r="G292" s="184"/>
      <c r="H292" s="184"/>
      <c r="I292" s="184"/>
      <c r="J292" s="184"/>
    </row>
    <row r="293" spans="3:10">
      <c r="C293" s="184"/>
      <c r="D293" s="184"/>
      <c r="E293" s="184"/>
      <c r="F293" s="184"/>
      <c r="G293" s="184"/>
      <c r="H293" s="184"/>
      <c r="I293" s="184"/>
      <c r="J293" s="184"/>
    </row>
    <row r="294" spans="3:10">
      <c r="C294" s="184"/>
      <c r="D294" s="184"/>
      <c r="E294" s="184"/>
      <c r="F294" s="184"/>
      <c r="G294" s="184"/>
      <c r="H294" s="184"/>
      <c r="I294" s="184"/>
      <c r="J294" s="184"/>
    </row>
    <row r="295" spans="3:10">
      <c r="C295" s="184"/>
      <c r="D295" s="184"/>
      <c r="E295" s="184"/>
      <c r="F295" s="184"/>
      <c r="G295" s="184"/>
      <c r="H295" s="184"/>
      <c r="I295" s="184"/>
      <c r="J295" s="184"/>
    </row>
    <row r="296" spans="3:10">
      <c r="C296" s="184"/>
      <c r="D296" s="184"/>
      <c r="E296" s="184"/>
      <c r="F296" s="184"/>
      <c r="G296" s="184"/>
      <c r="H296" s="184"/>
      <c r="I296" s="184"/>
      <c r="J296" s="184"/>
    </row>
    <row r="297" spans="3:10">
      <c r="C297" s="184"/>
      <c r="D297" s="184"/>
      <c r="E297" s="184"/>
      <c r="F297" s="184"/>
      <c r="G297" s="184"/>
      <c r="H297" s="184"/>
      <c r="I297" s="184"/>
      <c r="J297" s="184"/>
    </row>
    <row r="298" spans="3:10">
      <c r="C298" s="184"/>
      <c r="D298" s="184"/>
      <c r="E298" s="184"/>
      <c r="F298" s="184"/>
      <c r="G298" s="184"/>
      <c r="H298" s="184"/>
      <c r="I298" s="184"/>
      <c r="J298" s="184"/>
    </row>
  </sheetData>
  <mergeCells count="8">
    <mergeCell ref="M100:X100"/>
    <mergeCell ref="M99:X99"/>
    <mergeCell ref="M93:X93"/>
    <mergeCell ref="M94:X94"/>
    <mergeCell ref="M95:X95"/>
    <mergeCell ref="M96:X96"/>
    <mergeCell ref="M97:X97"/>
    <mergeCell ref="M98:X98"/>
  </mergeCells>
  <printOptions horizontalCentered="1"/>
  <pageMargins left="0.75" right="0.75" top="0.75" bottom="0.5" header="0.5" footer="0.5"/>
  <pageSetup scale="58" orientation="landscape" horizontalDpi="300" verticalDpi="300" r:id="rId1"/>
  <headerFooter alignWithMargins="0"/>
  <rowBreaks count="1" manualBreakCount="1">
    <brk id="48" min="10"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B9D774DC810754C9DE2B4E81BAF410D" ma:contentTypeVersion="1" ma:contentTypeDescription="Create a new document." ma:contentTypeScope="" ma:versionID="d9a084d354c805dd661a7192fc33f57a">
  <xsd:schema xmlns:xsd="http://www.w3.org/2001/XMLSchema" xmlns:xs="http://www.w3.org/2001/XMLSchema" xmlns:p="http://schemas.microsoft.com/office/2006/metadata/properties" xmlns:ns2="9ed404ed-22f1-48e0-84e6-95bbf9e889f1" targetNamespace="http://schemas.microsoft.com/office/2006/metadata/properties" ma:root="true" ma:fieldsID="e3a8634a0b86e986ab8f8ec17dc3ce61" ns2:_="">
    <xsd:import namespace="9ed404ed-22f1-48e0-84e6-95bbf9e889f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d404ed-22f1-48e0-84e6-95bbf9e889f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A9E494-8F89-4F8B-BBCF-B651FBFAE610}"/>
</file>

<file path=customXml/itemProps2.xml><?xml version="1.0" encoding="utf-8"?>
<ds:datastoreItem xmlns:ds="http://schemas.openxmlformats.org/officeDocument/2006/customXml" ds:itemID="{2CC32683-2EE1-46B3-9F58-E8C0679FC18F}"/>
</file>

<file path=customXml/itemProps3.xml><?xml version="1.0" encoding="utf-8"?>
<ds:datastoreItem xmlns:ds="http://schemas.openxmlformats.org/officeDocument/2006/customXml" ds:itemID="{014E22B4-0199-40FD-B0E5-60A8B52980BF}"/>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33</vt:i4>
      </vt:variant>
      <vt:variant>
        <vt:lpstr>Named Ranges</vt:lpstr>
      </vt:variant>
      <vt:variant>
        <vt:i4>95</vt:i4>
      </vt:variant>
    </vt:vector>
  </HeadingPairs>
  <TitlesOfParts>
    <vt:vector size="128" baseType="lpstr">
      <vt:lpstr>Print</vt:lpstr>
      <vt:lpstr>INPUT</vt:lpstr>
      <vt:lpstr>Changes to May 2018 filing</vt:lpstr>
      <vt:lpstr>DEOK</vt:lpstr>
      <vt:lpstr>DEO</vt:lpstr>
      <vt:lpstr>DEK</vt:lpstr>
      <vt:lpstr>Sch 1A - Appx A</vt:lpstr>
      <vt:lpstr>Appx B - DEOK(RTEP)</vt:lpstr>
      <vt:lpstr>Appx B - DEO(RTEP)</vt:lpstr>
      <vt:lpstr>Appx B - DEK(RTEP)</vt:lpstr>
      <vt:lpstr>Appx C - DEOK(MTEP)</vt:lpstr>
      <vt:lpstr>Appx C - DEO(MTEP)</vt:lpstr>
      <vt:lpstr>Appx C - DEK(MTEP)</vt:lpstr>
      <vt:lpstr>Appx D DEO</vt:lpstr>
      <vt:lpstr>Appx D DEK</vt:lpstr>
      <vt:lpstr>P1 ADIT 190 &amp; 282</vt:lpstr>
      <vt:lpstr>P2 Allocate M&amp;S</vt:lpstr>
      <vt:lpstr>P3 Land Held for Future Use</vt:lpstr>
      <vt:lpstr>P4 Advertising - EPRI Adj.</vt:lpstr>
      <vt:lpstr>P5 Schedule 1 Charges acct 561</vt:lpstr>
      <vt:lpstr>P6 Statetax</vt:lpstr>
      <vt:lpstr>P7 Trans Plant In OATT</vt:lpstr>
      <vt:lpstr>P8 Rev Cred Support</vt:lpstr>
      <vt:lpstr>P9 Capital Structure</vt:lpstr>
      <vt:lpstr>P10 Partner KW</vt:lpstr>
      <vt:lpstr>P11 Salaries and Wages</vt:lpstr>
      <vt:lpstr>P12 PBOP - DEO</vt:lpstr>
      <vt:lpstr>P13 PBOP - DEK</vt:lpstr>
      <vt:lpstr>P14 Sch 1A Denominator</vt:lpstr>
      <vt:lpstr>P15 Sch 1A Rev Cr</vt:lpstr>
      <vt:lpstr>P16 Pole Counts</vt:lpstr>
      <vt:lpstr>P17 Prior Yr Corr</vt:lpstr>
      <vt:lpstr>P18 LSE Expenses</vt:lpstr>
      <vt:lpstr>Appendix_A</vt:lpstr>
      <vt:lpstr>AppxB_DEK_Pg1_RTEP</vt:lpstr>
      <vt:lpstr>AppxB_DEK_Pg2_RTEP</vt:lpstr>
      <vt:lpstr>AppxB_DEO_Pg1_RTEP</vt:lpstr>
      <vt:lpstr>AppxB_DEO_Pg2_RTEP</vt:lpstr>
      <vt:lpstr>AppxB_DEOK_Pg1_RTEP</vt:lpstr>
      <vt:lpstr>AppxC_DEK_Pg1_MTEP</vt:lpstr>
      <vt:lpstr>AppxC_DEK_Pg2_MTEP</vt:lpstr>
      <vt:lpstr>AppxC_DEO_Pg1_MTEP</vt:lpstr>
      <vt:lpstr>AppxC_DEO_Pg2_MTEP</vt:lpstr>
      <vt:lpstr>AppxC_DEOK_Pg1_MTEP</vt:lpstr>
      <vt:lpstr>AppxD_DEK</vt:lpstr>
      <vt:lpstr>AppxD_DEO</vt:lpstr>
      <vt:lpstr>DEK_1of6</vt:lpstr>
      <vt:lpstr>DEK_2of6</vt:lpstr>
      <vt:lpstr>DEK_3of6</vt:lpstr>
      <vt:lpstr>DEK_4of6</vt:lpstr>
      <vt:lpstr>DEK_5of6</vt:lpstr>
      <vt:lpstr>DEK_6of6</vt:lpstr>
      <vt:lpstr>DEKWagesAllocator</vt:lpstr>
      <vt:lpstr>DEO_1of6</vt:lpstr>
      <vt:lpstr>DEO_2of6</vt:lpstr>
      <vt:lpstr>DEO_3of6</vt:lpstr>
      <vt:lpstr>DEO_4of6</vt:lpstr>
      <vt:lpstr>DEO_5of6</vt:lpstr>
      <vt:lpstr>DEO_6of6</vt:lpstr>
      <vt:lpstr>DEOK_1of1</vt:lpstr>
      <vt:lpstr>DEOWagesAllocator</vt:lpstr>
      <vt:lpstr>FERCrefund</vt:lpstr>
      <vt:lpstr>FIT</vt:lpstr>
      <vt:lpstr>PeakKW_DEK</vt:lpstr>
      <vt:lpstr>PeakKW_DEO</vt:lpstr>
      <vt:lpstr>PeakKW_DEOK</vt:lpstr>
      <vt:lpstr>'Changes to May 2018 filing'!PG1_Support_Corrections</vt:lpstr>
      <vt:lpstr>'P17 Prior Yr Corr'!PG1_Support_Corrections</vt:lpstr>
      <vt:lpstr>PG1_Support_Corrections</vt:lpstr>
      <vt:lpstr>'Appx B - DEK(RTEP)'!Print_Area</vt:lpstr>
      <vt:lpstr>'Appx B - DEO(RTEP)'!Print_Area</vt:lpstr>
      <vt:lpstr>'Appx B - DEOK(RTEP)'!Print_Area</vt:lpstr>
      <vt:lpstr>'Appx C - DEK(MTEP)'!Print_Area</vt:lpstr>
      <vt:lpstr>'Appx C - DEO(MTEP)'!Print_Area</vt:lpstr>
      <vt:lpstr>'Appx C - DEOK(MTEP)'!Print_Area</vt:lpstr>
      <vt:lpstr>'Appx D DEK'!Print_Area</vt:lpstr>
      <vt:lpstr>'Appx D DEO'!Print_Area</vt:lpstr>
      <vt:lpstr>'Changes to May 2018 filing'!Print_Area</vt:lpstr>
      <vt:lpstr>DEK!Print_Area</vt:lpstr>
      <vt:lpstr>DEO!Print_Area</vt:lpstr>
      <vt:lpstr>DEOK!Print_Area</vt:lpstr>
      <vt:lpstr>'P1 ADIT 190 &amp; 282'!Print_Area</vt:lpstr>
      <vt:lpstr>'P10 Partner KW'!Print_Area</vt:lpstr>
      <vt:lpstr>'P11 Salaries and Wages'!Print_Area</vt:lpstr>
      <vt:lpstr>'P12 PBOP - DEO'!Print_Area</vt:lpstr>
      <vt:lpstr>'P13 PBOP - DEK'!Print_Area</vt:lpstr>
      <vt:lpstr>'P14 Sch 1A Denominator'!Print_Area</vt:lpstr>
      <vt:lpstr>'P15 Sch 1A Rev Cr'!Print_Area</vt:lpstr>
      <vt:lpstr>'P16 Pole Counts'!Print_Area</vt:lpstr>
      <vt:lpstr>'P18 LSE Expenses'!Print_Area</vt:lpstr>
      <vt:lpstr>'P2 Allocate M&amp;S'!Print_Area</vt:lpstr>
      <vt:lpstr>'P3 Land Held for Future Use'!Print_Area</vt:lpstr>
      <vt:lpstr>'P4 Advertising - EPRI Adj.'!Print_Area</vt:lpstr>
      <vt:lpstr>'P5 Schedule 1 Charges acct 561'!Print_Area</vt:lpstr>
      <vt:lpstr>'P6 Statetax'!Print_Area</vt:lpstr>
      <vt:lpstr>'P7 Trans Plant In OATT'!Print_Area</vt:lpstr>
      <vt:lpstr>'P8 Rev Cred Support'!Print_Area</vt:lpstr>
      <vt:lpstr>'P9 Capital Structure'!Print_Area</vt:lpstr>
      <vt:lpstr>'Sch 1A - Appx A'!Print_Area</vt:lpstr>
      <vt:lpstr>INPUT!Print_Titles</vt:lpstr>
      <vt:lpstr>PriorYearCorrections</vt:lpstr>
      <vt:lpstr>R_DEK</vt:lpstr>
      <vt:lpstr>R_DEO</vt:lpstr>
      <vt:lpstr>ROE</vt:lpstr>
      <vt:lpstr>SCH_1A</vt:lpstr>
      <vt:lpstr>SIT_DEK</vt:lpstr>
      <vt:lpstr>SIT_DEO</vt:lpstr>
      <vt:lpstr>WCLTD_DEK</vt:lpstr>
      <vt:lpstr>WCLTD_DEO</vt:lpstr>
      <vt:lpstr>Workpaper</vt:lpstr>
      <vt:lpstr>Workpaper_P1</vt:lpstr>
      <vt:lpstr>Workpaper_P10</vt:lpstr>
      <vt:lpstr>Workpaper_P11</vt:lpstr>
      <vt:lpstr>Workpaper_P12</vt:lpstr>
      <vt:lpstr>Workpaper_P13</vt:lpstr>
      <vt:lpstr>Workpaper_P14</vt:lpstr>
      <vt:lpstr>Workpaper_P15</vt:lpstr>
      <vt:lpstr>Workpaper_P16</vt:lpstr>
      <vt:lpstr>Workpaper_P17</vt:lpstr>
      <vt:lpstr>Workpaper_P18</vt:lpstr>
      <vt:lpstr>Workpaper_P2</vt:lpstr>
      <vt:lpstr>Workpaper_P3</vt:lpstr>
      <vt:lpstr>Workpaper_P4</vt:lpstr>
      <vt:lpstr>Workpaper_P5</vt:lpstr>
      <vt:lpstr>Workpaper_P6</vt:lpstr>
      <vt:lpstr>Workpaper_P7</vt:lpstr>
      <vt:lpstr>Workpaper_P8</vt:lpstr>
      <vt:lpstr>Workpaper_P9</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Horne, Heather</cp:lastModifiedBy>
  <cp:lastPrinted>2018-05-10T16:40:00Z</cp:lastPrinted>
  <dcterms:created xsi:type="dcterms:W3CDTF">1997-04-03T19:40:56Z</dcterms:created>
  <dcterms:modified xsi:type="dcterms:W3CDTF">2019-02-14T20:54:53Z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ContentTypeId">
    <vt:lpwstr>0x010100DB9D774DC810754C9DE2B4E81BAF410D</vt:lpwstr>
  </property>
</Properties>
</file>