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 windowWidth="12120" windowHeight="5895" tabRatio="862" firstSheet="1" activeTab="1"/>
  </bookViews>
  <sheets>
    <sheet name="Notes" sheetId="1" r:id="rId1"/>
    <sheet name="Appendix A" sheetId="2" r:id="rId2"/>
    <sheet name="1 - ADIT" sheetId="3" r:id="rId3"/>
    <sheet name="2 - Other Tax" sheetId="4" r:id="rId4"/>
    <sheet name="3 - Revenue Credits" sheetId="5" r:id="rId5"/>
    <sheet name="4 - 100 Basis Pt ROE" sheetId="6" r:id="rId6"/>
    <sheet name="5 - Cost Support 1" sheetId="7" r:id="rId7"/>
    <sheet name="6- Est &amp; Reconcile WS" sheetId="8" r:id="rId8"/>
    <sheet name="7 - Cap Add WS" sheetId="9" r:id="rId9"/>
    <sheet name="8 - Depreciation Exp" sheetId="10" r:id="rId10"/>
  </sheets>
  <definedNames>
    <definedName name="_xlnm.Print_Area" localSheetId="2">'1 - ADIT'!$A$1:$J$117</definedName>
    <definedName name="_xlnm.Print_Area" localSheetId="3">'2 - Other Tax'!$A$1:$G$52</definedName>
    <definedName name="_xlnm.Print_Area" localSheetId="4">'3 - Revenue Credits'!$A$1:$D$64</definedName>
    <definedName name="_xlnm.Print_Area" localSheetId="6">'5 - Cost Support 1'!$A$1:$M$333</definedName>
    <definedName name="_xlnm.Print_Area" localSheetId="7">'6- Est &amp; Reconcile WS'!$A$1:$T$226</definedName>
    <definedName name="_xlnm.Print_Area" localSheetId="8">'7 - Cap Add WS'!$A$1:$Z$72</definedName>
    <definedName name="_xlnm.Print_Area" localSheetId="9">'8 - Depreciation Exp'!$A$1:$D$27</definedName>
    <definedName name="_xlnm.Print_Area" localSheetId="1">'Appendix A'!$A$1:$G$302</definedName>
    <definedName name="solver_adj" localSheetId="1" hidden="1">'Appendix A'!#REF!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'Appendix A'!#REF!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Z_3768C7C8_9953_11DA_B318_000FB55D51DC_.wvu.Cols" localSheetId="8" hidden="1">'7 - Cap Add WS'!#REF!</definedName>
    <definedName name="Z_3768C7C8_9953_11DA_B318_000FB55D51DC_.wvu.PrintArea" localSheetId="2" hidden="1">'1 - ADIT'!$B$1:$J$117</definedName>
    <definedName name="Z_3768C7C8_9953_11DA_B318_000FB55D51DC_.wvu.PrintArea" localSheetId="3" hidden="1">'2 - Other Tax'!$A$1:$G$52</definedName>
    <definedName name="Z_3768C7C8_9953_11DA_B318_000FB55D51DC_.wvu.PrintArea" localSheetId="4" hidden="1">'3 - Revenue Credits'!$A$1:$D$36</definedName>
    <definedName name="Z_3768C7C8_9953_11DA_B318_000FB55D51DC_.wvu.PrintArea" localSheetId="5" hidden="1">'4 - 100 Basis Pt ROE'!$A$1:$G$40</definedName>
    <definedName name="Z_3768C7C8_9953_11DA_B318_000FB55D51DC_.wvu.PrintArea" localSheetId="6" hidden="1">'5 - Cost Support 1'!$A$154:$M$299</definedName>
    <definedName name="Z_3768C7C8_9953_11DA_B318_000FB55D51DC_.wvu.PrintArea" localSheetId="1" hidden="1">'Appendix A'!$A$1:$G$302</definedName>
    <definedName name="Z_3768C7C8_9953_11DA_B318_000FB55D51DC_.wvu.PrintTitles" localSheetId="6" hidden="1">'5 - Cost Support 1'!#REF!</definedName>
    <definedName name="Z_3768C7C8_9953_11DA_B318_000FB55D51DC_.wvu.PrintTitles" localSheetId="8" hidden="1">'7 - Cap Add WS'!$B:$C</definedName>
    <definedName name="Z_3768C7C8_9953_11DA_B318_000FB55D51DC_.wvu.PrintTitles" localSheetId="1" hidden="1">'Appendix A'!$A:$F</definedName>
    <definedName name="Z_3768C7C8_9953_11DA_B318_000FB55D51DC_.wvu.Rows" localSheetId="2" hidden="1">'1 - ADIT'!#REF!</definedName>
    <definedName name="Z_3768C7C8_9953_11DA_B318_000FB55D51DC_.wvu.Rows" localSheetId="6" hidden="1">'5 - Cost Support 1'!#REF!</definedName>
    <definedName name="Z_3BDD6235_B127_4929_8311_BDAF7BB89818_.wvu.Cols" localSheetId="8" hidden="1">'7 - Cap Add WS'!#REF!</definedName>
    <definedName name="Z_3BDD6235_B127_4929_8311_BDAF7BB89818_.wvu.PrintArea" localSheetId="2" hidden="1">'1 - ADIT'!$B$1:$J$117</definedName>
    <definedName name="Z_3BDD6235_B127_4929_8311_BDAF7BB89818_.wvu.PrintArea" localSheetId="3" hidden="1">'2 - Other Tax'!$A$1:$G$52</definedName>
    <definedName name="Z_3BDD6235_B127_4929_8311_BDAF7BB89818_.wvu.PrintArea" localSheetId="4" hidden="1">'3 - Revenue Credits'!$A$1:$D$36</definedName>
    <definedName name="Z_3BDD6235_B127_4929_8311_BDAF7BB89818_.wvu.PrintArea" localSheetId="5" hidden="1">'4 - 100 Basis Pt ROE'!$A$1:$G$40</definedName>
    <definedName name="Z_3BDD6235_B127_4929_8311_BDAF7BB89818_.wvu.PrintArea" localSheetId="6" hidden="1">'5 - Cost Support 1'!$A$154:$M$299</definedName>
    <definedName name="Z_3BDD6235_B127_4929_8311_BDAF7BB89818_.wvu.PrintArea" localSheetId="1" hidden="1">'Appendix A'!$A$1:$G$302</definedName>
    <definedName name="Z_3BDD6235_B127_4929_8311_BDAF7BB89818_.wvu.PrintTitles" localSheetId="6" hidden="1">'5 - Cost Support 1'!#REF!</definedName>
    <definedName name="Z_3BDD6235_B127_4929_8311_BDAF7BB89818_.wvu.PrintTitles" localSheetId="8" hidden="1">'7 - Cap Add WS'!$B:$C</definedName>
    <definedName name="Z_3BDD6235_B127_4929_8311_BDAF7BB89818_.wvu.PrintTitles" localSheetId="1" hidden="1">'Appendix A'!$A:$F</definedName>
    <definedName name="Z_3BDD6235_B127_4929_8311_BDAF7BB89818_.wvu.Rows" localSheetId="2" hidden="1">'1 - ADIT'!#REF!</definedName>
    <definedName name="Z_3BDD6235_B127_4929_8311_BDAF7BB89818_.wvu.Rows" localSheetId="6" hidden="1">'5 - Cost Support 1'!#REF!</definedName>
    <definedName name="Z_B0241363_5C8A_48FC_89A6_56D55586BABE_.wvu.Cols" localSheetId="8" hidden="1">'7 - Cap Add WS'!#REF!</definedName>
    <definedName name="Z_B0241363_5C8A_48FC_89A6_56D55586BABE_.wvu.PrintArea" localSheetId="2" hidden="1">'1 - ADIT'!$B$1:$J$117</definedName>
    <definedName name="Z_B0241363_5C8A_48FC_89A6_56D55586BABE_.wvu.PrintArea" localSheetId="3" hidden="1">'2 - Other Tax'!$A$1:$G$52</definedName>
    <definedName name="Z_B0241363_5C8A_48FC_89A6_56D55586BABE_.wvu.PrintArea" localSheetId="4" hidden="1">'3 - Revenue Credits'!$A$1:$D$36</definedName>
    <definedName name="Z_B0241363_5C8A_48FC_89A6_56D55586BABE_.wvu.PrintArea" localSheetId="5" hidden="1">'4 - 100 Basis Pt ROE'!$A$1:$G$40</definedName>
    <definedName name="Z_B0241363_5C8A_48FC_89A6_56D55586BABE_.wvu.PrintArea" localSheetId="6" hidden="1">'5 - Cost Support 1'!$A$154:$M$299</definedName>
    <definedName name="Z_B0241363_5C8A_48FC_89A6_56D55586BABE_.wvu.PrintArea" localSheetId="1" hidden="1">'Appendix A'!$A$1:$G$302</definedName>
    <definedName name="Z_B0241363_5C8A_48FC_89A6_56D55586BABE_.wvu.PrintTitles" localSheetId="6" hidden="1">'5 - Cost Support 1'!#REF!</definedName>
    <definedName name="Z_B0241363_5C8A_48FC_89A6_56D55586BABE_.wvu.PrintTitles" localSheetId="8" hidden="1">'7 - Cap Add WS'!$B:$C</definedName>
    <definedName name="Z_B0241363_5C8A_48FC_89A6_56D55586BABE_.wvu.PrintTitles" localSheetId="1" hidden="1">'Appendix A'!$A:$F</definedName>
    <definedName name="Z_B0241363_5C8A_48FC_89A6_56D55586BABE_.wvu.Rows" localSheetId="2" hidden="1">'1 - ADIT'!#REF!</definedName>
    <definedName name="Z_B0241363_5C8A_48FC_89A6_56D55586BABE_.wvu.Rows" localSheetId="6" hidden="1">'5 - Cost Support 1'!#REF!</definedName>
    <definedName name="Z_C0EA0F9F_7310_4201_82C9_7B8FC8DB9137_.wvu.Cols" localSheetId="8" hidden="1">'7 - Cap Add WS'!#REF!</definedName>
    <definedName name="Z_C0EA0F9F_7310_4201_82C9_7B8FC8DB9137_.wvu.PrintArea" localSheetId="2" hidden="1">'1 - ADIT'!$B$1:$J$117</definedName>
    <definedName name="Z_C0EA0F9F_7310_4201_82C9_7B8FC8DB9137_.wvu.PrintArea" localSheetId="3" hidden="1">'2 - Other Tax'!$A$1:$G$52</definedName>
    <definedName name="Z_C0EA0F9F_7310_4201_82C9_7B8FC8DB9137_.wvu.PrintArea" localSheetId="4" hidden="1">'3 - Revenue Credits'!$A$1:$D$36</definedName>
    <definedName name="Z_C0EA0F9F_7310_4201_82C9_7B8FC8DB9137_.wvu.PrintArea" localSheetId="5" hidden="1">'4 - 100 Basis Pt ROE'!$A$1:$G$40</definedName>
    <definedName name="Z_C0EA0F9F_7310_4201_82C9_7B8FC8DB9137_.wvu.PrintArea" localSheetId="6" hidden="1">'5 - Cost Support 1'!$A$154:$M$299</definedName>
    <definedName name="Z_C0EA0F9F_7310_4201_82C9_7B8FC8DB9137_.wvu.PrintArea" localSheetId="1" hidden="1">'Appendix A'!$A$1:$G$302</definedName>
    <definedName name="Z_C0EA0F9F_7310_4201_82C9_7B8FC8DB9137_.wvu.PrintTitles" localSheetId="6" hidden="1">'5 - Cost Support 1'!#REF!</definedName>
    <definedName name="Z_C0EA0F9F_7310_4201_82C9_7B8FC8DB9137_.wvu.PrintTitles" localSheetId="8" hidden="1">'7 - Cap Add WS'!$B:$C</definedName>
    <definedName name="Z_C0EA0F9F_7310_4201_82C9_7B8FC8DB9137_.wvu.PrintTitles" localSheetId="1" hidden="1">'Appendix A'!$A:$F</definedName>
    <definedName name="Z_C0EA0F9F_7310_4201_82C9_7B8FC8DB9137_.wvu.Rows" localSheetId="2" hidden="1">'1 - ADIT'!#REF!</definedName>
    <definedName name="Z_C0EA0F9F_7310_4201_82C9_7B8FC8DB9137_.wvu.Rows" localSheetId="6" hidden="1">'5 - Cost Support 1'!#REF!</definedName>
    <definedName name="Z_DAB86759_0C8B_4AEC_94DA_EE1E1E21424A_.wvu.PrintArea" localSheetId="2" hidden="1">'1 - ADIT'!$A$1:$J$117</definedName>
    <definedName name="Z_DAB86759_0C8B_4AEC_94DA_EE1E1E21424A_.wvu.PrintArea" localSheetId="3" hidden="1">'2 - Other Tax'!$A$1:$G$52</definedName>
    <definedName name="Z_DAB86759_0C8B_4AEC_94DA_EE1E1E21424A_.wvu.PrintArea" localSheetId="4" hidden="1">'3 - Revenue Credits'!$A$1:$D$64</definedName>
    <definedName name="Z_DAB86759_0C8B_4AEC_94DA_EE1E1E21424A_.wvu.PrintArea" localSheetId="6" hidden="1">'5 - Cost Support 1'!$A$1:$M$333</definedName>
    <definedName name="Z_DAB86759_0C8B_4AEC_94DA_EE1E1E21424A_.wvu.PrintArea" localSheetId="7" hidden="1">'6- Est &amp; Reconcile WS'!$A$1:$T$226</definedName>
    <definedName name="Z_DAB86759_0C8B_4AEC_94DA_EE1E1E21424A_.wvu.PrintArea" localSheetId="8" hidden="1">'7 - Cap Add WS'!$A$1:$Z$72</definedName>
    <definedName name="Z_DAB86759_0C8B_4AEC_94DA_EE1E1E21424A_.wvu.PrintArea" localSheetId="9" hidden="1">'8 - Depreciation Exp'!$A$1:$D$27</definedName>
    <definedName name="Z_DAB86759_0C8B_4AEC_94DA_EE1E1E21424A_.wvu.PrintArea" localSheetId="1" hidden="1">'Appendix A'!$A$1:$G$302</definedName>
  </definedNames>
  <calcPr fullCalcOnLoad="1"/>
</workbook>
</file>

<file path=xl/sharedStrings.xml><?xml version="1.0" encoding="utf-8"?>
<sst xmlns="http://schemas.openxmlformats.org/spreadsheetml/2006/main" count="1793" uniqueCount="879">
  <si>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</si>
  <si>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</si>
  <si>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</si>
  <si>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</si>
  <si>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</si>
  <si>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</si>
  <si>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</si>
  <si>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</si>
  <si>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</si>
  <si>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</si>
  <si>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</si>
  <si>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</si>
  <si>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</si>
  <si>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</si>
  <si>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</si>
  <si>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</si>
  <si>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</si>
  <si>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</si>
  <si>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</si>
  <si>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</si>
  <si>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</si>
  <si>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</si>
  <si>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</si>
  <si>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</si>
  <si>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</si>
  <si>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</si>
  <si>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</si>
  <si>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</si>
  <si>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</si>
  <si>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</si>
  <si>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</si>
  <si>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</si>
  <si>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</si>
  <si>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</si>
  <si>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</si>
  <si>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</si>
  <si>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</si>
  <si>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</si>
  <si>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</si>
  <si>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</si>
  <si>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</si>
  <si>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</si>
  <si>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</si>
  <si>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</si>
  <si>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</si>
  <si>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</si>
  <si>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</si>
  <si>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</si>
  <si>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</si>
  <si>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</si>
  <si>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</si>
  <si>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</si>
  <si>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</si>
  <si>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</si>
  <si>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</si>
  <si>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</si>
  <si>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</si>
  <si>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</si>
  <si>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</si>
  <si>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</si>
  <si>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</si>
  <si>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</si>
  <si>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</si>
  <si>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</si>
  <si>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</si>
  <si>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</si>
  <si>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</si>
  <si>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</si>
  <si>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</si>
  <si>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</si>
  <si>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</si>
  <si>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</si>
  <si>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</si>
  <si>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</si>
  <si>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</si>
  <si>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</si>
  <si>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</si>
  <si>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</si>
  <si>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</si>
  <si>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</si>
  <si>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</si>
  <si>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</si>
  <si>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</si>
  <si>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</si>
  <si>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</si>
  <si>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</si>
  <si>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</si>
  <si>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</si>
  <si>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</si>
  <si>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</si>
  <si>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</si>
  <si>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</si>
  <si>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</si>
  <si>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</si>
  <si>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</si>
  <si>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</si>
  <si>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</si>
  <si>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</si>
  <si>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J, Avg mos*</t>
  </si>
  <si>
    <t>Estimate - Attachment 6, Step 2, Column U, Total*</t>
  </si>
  <si>
    <t>Estimate - Attachment 6, Step 2, Column K Avg mos*</t>
  </si>
  <si>
    <t>Estimate - Attachment 6, Step 2, Column F, Total*</t>
  </si>
  <si>
    <t>Estimate - Attachment 6, Step 2, Column Y, Total*</t>
  </si>
  <si>
    <t>Estimate - Attachment 6, Step 2, Column L, Avg mos*</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</si>
  <si>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</si>
  <si>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</si>
  <si>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</si>
  <si>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</si>
  <si>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</si>
  <si>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</si>
  <si>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</si>
  <si>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</si>
  <si>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</si>
  <si>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</si>
  <si>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</si>
  <si>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</si>
  <si>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Allegheny S5 Retirements</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</si>
  <si>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</si>
  <si>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</si>
  <si>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</si>
  <si>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</si>
  <si>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</si>
  <si>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</si>
  <si>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</si>
  <si>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</si>
  <si>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</si>
  <si>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</si>
  <si>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</si>
  <si>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</si>
  <si>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</si>
  <si>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</si>
  <si>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</si>
  <si>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</si>
  <si>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</si>
  <si>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</si>
  <si>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</si>
  <si>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</si>
  <si>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</si>
  <si>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</si>
  <si>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</si>
  <si>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</si>
  <si>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</si>
  <si>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Infrastructure Improvement Program Project Insurance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</si>
  <si>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</si>
  <si>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</si>
  <si>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</si>
  <si>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</si>
  <si>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</si>
  <si>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</si>
  <si>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</si>
  <si>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</si>
  <si>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</si>
  <si>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</si>
  <si>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</si>
  <si>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</si>
  <si>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</si>
  <si>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</si>
  <si>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</si>
  <si>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</si>
  <si>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</si>
  <si>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</si>
  <si>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</si>
  <si>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</si>
  <si>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</si>
  <si>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</si>
  <si>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</si>
  <si>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</si>
  <si>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</si>
  <si>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</si>
  <si>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</si>
  <si>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</si>
  <si>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</si>
  <si>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</si>
  <si>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</si>
  <si>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</si>
  <si>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</si>
  <si>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</si>
  <si>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</si>
  <si>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</si>
  <si>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</si>
  <si>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</si>
  <si>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</si>
  <si>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</si>
  <si>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</si>
  <si>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</si>
  <si>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</si>
  <si>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</si>
  <si>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</si>
  <si>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</si>
  <si>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</si>
  <si>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</si>
  <si>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</si>
  <si>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</si>
  <si>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</si>
  <si>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</si>
  <si>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</si>
  <si>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</si>
  <si>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</si>
  <si>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</si>
  <si>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</si>
  <si>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</si>
  <si>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</si>
  <si>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</si>
  <si>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</si>
  <si>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</si>
  <si>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</si>
  <si>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</si>
  <si>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</si>
  <si>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</si>
  <si>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</si>
  <si>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</si>
  <si>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</si>
  <si>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</si>
  <si>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</si>
  <si>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</si>
  <si>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</si>
  <si>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</si>
  <si>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</si>
  <si>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</si>
  <si>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</si>
  <si>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</si>
  <si>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</si>
  <si>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</si>
  <si>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</si>
  <si>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</si>
  <si>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</si>
  <si>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</si>
  <si>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</si>
  <si>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</si>
  <si>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</si>
  <si>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</si>
  <si>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</si>
  <si>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</si>
  <si>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</si>
  <si>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</si>
  <si>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</si>
  <si>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</si>
  <si>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</si>
  <si>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Property Basis difference resulting from accelerated tax depreciation versus depreciation used for ratemaking purposes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</si>
  <si>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</si>
  <si>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</si>
  <si>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</si>
  <si>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</si>
  <si>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Estimate - Attachment 6, Step 2, Column D, Total*</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</si>
  <si>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</si>
  <si>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</si>
  <si>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</si>
  <si>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</si>
  <si>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</si>
  <si>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</si>
  <si>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</si>
  <si>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</si>
  <si>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</si>
  <si>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</si>
  <si>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</si>
  <si>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</si>
  <si>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</si>
  <si>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</si>
  <si>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</si>
  <si>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</si>
  <si>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</si>
  <si>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</si>
  <si>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</si>
  <si>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</si>
  <si>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</si>
  <si>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</si>
  <si>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</si>
  <si>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</si>
  <si>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</si>
  <si>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</si>
  <si>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</si>
  <si>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</si>
  <si>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</si>
  <si>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</si>
  <si>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</si>
  <si>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</si>
  <si>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</si>
  <si>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</si>
  <si>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</si>
  <si>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</si>
  <si>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</si>
  <si>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</si>
  <si>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</si>
  <si>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</si>
  <si>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</si>
  <si>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</si>
  <si>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</si>
  <si>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</si>
  <si>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</si>
  <si>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</si>
  <si>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</si>
  <si>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</si>
  <si>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</si>
  <si>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</si>
  <si>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</si>
  <si>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</si>
  <si>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</si>
  <si>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</si>
  <si>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</si>
  <si>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</si>
  <si>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</si>
  <si>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</si>
  <si>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</si>
  <si>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</si>
  <si>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</si>
  <si>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</si>
  <si>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</si>
  <si>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</si>
  <si>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</si>
  <si>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</si>
  <si>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</si>
  <si>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</si>
  <si>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</si>
  <si>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</si>
  <si>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</si>
  <si>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</si>
  <si>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</si>
  <si>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</si>
  <si>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</si>
  <si>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</si>
  <si>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</si>
  <si>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</si>
  <si>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</si>
  <si>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</si>
  <si>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</si>
  <si>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</si>
  <si>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</si>
  <si>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</si>
  <si>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</si>
  <si>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</si>
  <si>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</si>
  <si>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</si>
  <si>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</si>
  <si>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</si>
  <si>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</si>
  <si>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</si>
  <si>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</si>
  <si>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</si>
  <si>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</si>
  <si>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</si>
  <si>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</si>
  <si>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</si>
  <si>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</si>
  <si>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</si>
  <si>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</si>
  <si>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</si>
  <si>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</si>
  <si>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</si>
  <si>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</si>
  <si>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</si>
  <si>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</si>
  <si>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</si>
  <si>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</si>
  <si>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</si>
  <si>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</si>
  <si>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</si>
  <si>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</si>
  <si>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</si>
  <si>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</si>
  <si>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</si>
  <si>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</si>
  <si>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</si>
  <si>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</si>
  <si>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</si>
  <si>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</si>
  <si>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</si>
  <si>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</si>
  <si>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</si>
  <si>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</si>
  <si>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</si>
  <si>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</si>
  <si>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</si>
  <si>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</si>
  <si>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</si>
  <si>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</si>
  <si>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</si>
  <si>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</si>
  <si>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</si>
  <si>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</si>
  <si>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</si>
  <si>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</si>
  <si>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</si>
  <si>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</si>
  <si>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</si>
  <si>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</si>
  <si>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</si>
  <si>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</si>
  <si>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</si>
  <si>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</si>
  <si>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</si>
  <si>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</si>
  <si>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</si>
  <si>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</si>
  <si>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</si>
  <si>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</si>
  <si>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</si>
  <si>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</si>
  <si>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</si>
  <si>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</si>
  <si>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</si>
  <si>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</si>
  <si>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</si>
  <si>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</si>
  <si>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</si>
  <si>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</si>
  <si>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</si>
  <si>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</si>
  <si>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</si>
  <si>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</si>
  <si>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</si>
  <si>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</si>
  <si>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</si>
  <si>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</si>
  <si>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</si>
  <si>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</si>
  <si>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</si>
  <si>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</si>
  <si>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</si>
  <si>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</si>
  <si>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</si>
  <si>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</si>
  <si>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</si>
  <si>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</si>
  <si>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</si>
  <si>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</si>
  <si>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</si>
  <si>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</si>
  <si>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</si>
  <si>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</si>
  <si>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</si>
  <si>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</si>
  <si>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</si>
  <si>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</si>
  <si>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</si>
  <si>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</si>
  <si>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</si>
  <si>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</si>
  <si>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</si>
  <si>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</si>
  <si>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</si>
  <si>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</si>
  <si>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</si>
  <si>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</si>
  <si>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</si>
  <si>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</si>
  <si>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</si>
  <si>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</si>
  <si>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</si>
  <si>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</si>
  <si>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</si>
  <si>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</si>
  <si>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</si>
  <si>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</si>
  <si>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</si>
  <si>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</si>
  <si>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</si>
  <si>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</si>
  <si>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</si>
  <si>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</si>
  <si>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</si>
  <si>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</si>
  <si>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</si>
  <si>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</si>
  <si>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</si>
  <si>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</si>
  <si>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</si>
  <si>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</si>
  <si>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</si>
  <si>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</si>
  <si>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</si>
  <si>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</si>
  <si>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</si>
  <si>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</si>
  <si>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</si>
  <si>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</si>
  <si>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</si>
  <si>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</si>
  <si>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</si>
  <si>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</si>
  <si>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</si>
  <si>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</si>
  <si>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</si>
  <si>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</si>
  <si>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</si>
  <si>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</si>
  <si>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Property Depreciation</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</si>
  <si>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</si>
  <si>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</si>
  <si>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</si>
  <si>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</si>
  <si>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</si>
  <si>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</si>
  <si>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</si>
  <si>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</si>
  <si>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</si>
  <si>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</si>
  <si>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</si>
  <si>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</si>
  <si>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</si>
  <si>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</si>
  <si>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</si>
  <si>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</si>
  <si>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</si>
  <si>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</si>
  <si>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</si>
  <si>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</si>
  <si>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</si>
  <si>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</si>
  <si>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</si>
  <si>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</si>
  <si>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</si>
  <si>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</si>
  <si>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</si>
  <si>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</si>
  <si>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</si>
  <si>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</si>
  <si>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</si>
  <si>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</si>
  <si>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</si>
  <si>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</si>
  <si>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</si>
  <si>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</si>
  <si>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</si>
  <si>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</si>
  <si>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</si>
  <si>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</si>
  <si>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</si>
  <si>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</si>
  <si>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</si>
  <si>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</si>
  <si>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</si>
  <si>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</si>
  <si>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</si>
  <si>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</si>
  <si>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</si>
  <si>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</si>
  <si>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</si>
  <si>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</si>
  <si>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</si>
  <si>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</si>
  <si>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</si>
  <si>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</si>
  <si>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Project X CWIP</t>
  </si>
  <si>
    <t>Project X PIS</t>
  </si>
  <si>
    <t>(D)</t>
  </si>
  <si>
    <t>Reserve for Healthcare</t>
  </si>
  <si>
    <t>Accrued Sales and Use Tax</t>
  </si>
  <si>
    <t>Provision for injuries and damages</t>
  </si>
  <si>
    <t>Legal Accrual</t>
  </si>
  <si>
    <t>Reserve for Compensated Absences</t>
  </si>
  <si>
    <t>Accelerated Depreciation</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</si>
  <si>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</si>
  <si>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</si>
  <si>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</si>
  <si>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</si>
  <si>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</si>
  <si>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</si>
  <si>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</si>
  <si>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</si>
  <si>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</si>
  <si>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</si>
  <si>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</si>
  <si>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</si>
  <si>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</si>
  <si>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</si>
  <si>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</si>
  <si>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</si>
  <si>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</si>
  <si>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</si>
  <si>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</si>
  <si>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</si>
  <si>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</si>
  <si>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</si>
  <si>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</si>
  <si>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</si>
  <si>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</si>
  <si>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</si>
  <si>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</si>
  <si>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</si>
  <si>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</si>
  <si>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</si>
  <si>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</si>
  <si>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</si>
  <si>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</si>
  <si>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</si>
  <si>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</si>
  <si>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</si>
  <si>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</si>
  <si>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</si>
  <si>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</si>
  <si>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</si>
  <si>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</si>
  <si>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</si>
  <si>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</si>
  <si>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</si>
  <si>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</si>
  <si>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</si>
  <si>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</si>
  <si>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</si>
  <si>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</si>
  <si>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</si>
  <si>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</si>
  <si>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</si>
  <si>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</si>
  <si>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</si>
  <si>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</si>
  <si>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</si>
  <si>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</si>
  <si>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</si>
  <si>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</si>
  <si>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</si>
  <si>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</si>
  <si>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</si>
  <si>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</si>
  <si>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</si>
  <si>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</si>
  <si>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</si>
  <si>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</si>
  <si>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</si>
  <si>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</si>
  <si>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</si>
  <si>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</si>
  <si>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</si>
  <si>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</si>
  <si>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</si>
  <si>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</si>
  <si>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</si>
  <si>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</si>
  <si>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</si>
  <si>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</si>
  <si>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</si>
  <si>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</si>
  <si>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</si>
  <si>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</si>
  <si>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</si>
  <si>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</si>
  <si>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</si>
  <si>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</si>
  <si>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</si>
  <si>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</si>
  <si>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</si>
  <si>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</si>
  <si>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</si>
  <si>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</si>
  <si>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</si>
  <si>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</si>
  <si>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</si>
  <si>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</si>
  <si>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</si>
  <si>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</si>
  <si>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</si>
  <si>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</si>
  <si>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</si>
  <si>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</si>
  <si>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</si>
  <si>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</si>
  <si>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</si>
  <si>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</si>
  <si>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</si>
  <si>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</si>
  <si>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</si>
  <si>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</si>
  <si>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</si>
  <si>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</si>
  <si>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</si>
  <si>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</si>
  <si>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</si>
  <si>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</si>
  <si>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</si>
  <si>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</si>
  <si>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</si>
  <si>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</si>
  <si>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</si>
  <si>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</si>
  <si>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</si>
  <si>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</si>
  <si>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</si>
  <si>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</si>
  <si>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</si>
  <si>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</si>
  <si>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</si>
  <si>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</si>
  <si>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</si>
  <si>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</si>
  <si>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</si>
  <si>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</si>
  <si>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</si>
  <si>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</si>
  <si>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</si>
  <si>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</si>
  <si>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</si>
  <si>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</si>
  <si>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</si>
  <si>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</si>
  <si>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</si>
  <si>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</si>
  <si>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</si>
  <si>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</si>
  <si>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</si>
  <si>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</si>
  <si>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</si>
  <si>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</si>
  <si>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</si>
  <si>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</si>
  <si>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</si>
  <si>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</si>
  <si>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</si>
  <si>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</si>
  <si>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Total Property basis difference under FAS 109 resulting from book depreciation versus accelerated tax depreciation less the deferred balance recorded in account #282 - relates to all functions.</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</si>
  <si>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</si>
  <si>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</si>
  <si>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</si>
  <si>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</si>
  <si>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</si>
  <si>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</si>
  <si>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</si>
  <si>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</si>
  <si>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</si>
  <si>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</si>
  <si>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</si>
  <si>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</si>
  <si>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</si>
  <si>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</si>
  <si>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</si>
  <si>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</si>
  <si>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</si>
  <si>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</si>
  <si>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</si>
  <si>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</si>
  <si>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</si>
  <si>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</si>
  <si>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</si>
  <si>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</si>
  <si>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</si>
  <si>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</si>
  <si>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</si>
  <si>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</si>
  <si>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</si>
  <si>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</si>
  <si>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</si>
  <si>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</si>
  <si>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</si>
  <si>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</si>
  <si>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Other Project PIS</t>
  </si>
  <si>
    <t>other retirements</t>
  </si>
  <si>
    <t>Project X PIS retirements</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</si>
  <si>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</si>
  <si>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</si>
  <si>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</si>
  <si>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</si>
  <si>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</si>
  <si>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</si>
  <si>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</si>
  <si>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</si>
  <si>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</si>
  <si>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</si>
  <si>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</si>
  <si>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</si>
  <si>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</si>
  <si>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</si>
  <si>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</si>
  <si>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</si>
  <si>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</si>
  <si>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</si>
  <si>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</si>
  <si>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</si>
  <si>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</si>
  <si>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</si>
  <si>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</si>
  <si>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</si>
  <si>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</si>
  <si>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</si>
  <si>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</si>
  <si>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</si>
  <si>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</si>
  <si>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</si>
  <si>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</si>
  <si>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</si>
  <si>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</si>
  <si>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</si>
  <si>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</si>
  <si>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</si>
  <si>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</si>
  <si>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</si>
  <si>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</si>
  <si>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</si>
  <si>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</si>
  <si>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</si>
  <si>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</si>
  <si>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</si>
  <si>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</si>
  <si>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</si>
  <si>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</si>
  <si>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</si>
  <si>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</si>
  <si>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</si>
  <si>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PIS Retirements</t>
  </si>
  <si>
    <t>Brady CWIP</t>
  </si>
  <si>
    <t>(L)</t>
  </si>
  <si>
    <t>(N)</t>
  </si>
  <si>
    <t>(P)</t>
  </si>
  <si>
    <t>(Q) = K</t>
  </si>
  <si>
    <t>(S) = Q * R</t>
  </si>
  <si>
    <t>( R)</t>
  </si>
  <si>
    <t>(T)</t>
  </si>
  <si>
    <t>(U) = M</t>
  </si>
  <si>
    <t>(V)</t>
  </si>
  <si>
    <t>(W) = U * V</t>
  </si>
  <si>
    <t>(X)</t>
  </si>
  <si>
    <t>Total Brady</t>
  </si>
  <si>
    <t>(AD)</t>
  </si>
  <si>
    <t>13 month avg of new plant additions = Col K+ Col M + Col N + Col P</t>
  </si>
  <si>
    <t>13 month avg of current year changes to CWIP = Col L + Col O</t>
  </si>
  <si>
    <t>(Y) = N</t>
  </si>
  <si>
    <t>(Z)</t>
  </si>
  <si>
    <t>(AA) = Y * Z</t>
  </si>
  <si>
    <t>(AB)</t>
  </si>
  <si>
    <t>(AC) = P</t>
  </si>
  <si>
    <t>(AE) = AC * AD</t>
  </si>
  <si>
    <t>(AF)</t>
  </si>
  <si>
    <t>13 mo. Avg accumulated depreciation = Col T + Col X + Col AB + Col AF</t>
  </si>
  <si>
    <t>Depreciation Expense = Col S + Col W +Col AA + Col AE</t>
  </si>
  <si>
    <t>End of Year balance new plant additions = Col A + Col D + Col F + Col I</t>
  </si>
  <si>
    <t>( C)</t>
  </si>
  <si>
    <t>13 month avg of new plant additions = Col K + Col M + Col N + Col P</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</si>
  <si>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</si>
  <si>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</si>
  <si>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</si>
  <si>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</si>
  <si>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</si>
  <si>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</si>
  <si>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</si>
  <si>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</si>
  <si>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</si>
  <si>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</si>
  <si>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Gross-up for income tax due on FAS 109 property basis differences, taxable when received - relates to all functions.  Formerly referred to as FAS 109 Tax Gross-Up.</t>
  </si>
  <si>
    <t>ASC 740 Tax Gross Up</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</si>
  <si>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</si>
  <si>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</si>
  <si>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</si>
  <si>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</si>
  <si>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</si>
  <si>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</si>
  <si>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</si>
  <si>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xml:space="preserve">End of Year </t>
  </si>
  <si>
    <t>Current year vacation pay accrual</t>
  </si>
  <si>
    <t>Microwave tower wireless rentals</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</si>
  <si>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</si>
  <si>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</si>
  <si>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</si>
  <si>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</si>
  <si>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</si>
  <si>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t>FERC Form 1 - adjust per Note O because common equity greater than 59%</t>
  </si>
  <si>
    <t>check column G</t>
  </si>
  <si>
    <t>Enter form 1 p112.16.c actual figure here</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</si>
  <si>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</si>
  <si>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</si>
  <si>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</si>
  <si>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</si>
  <si>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Cell g170 should compute automatically if cell j170&gt;59%</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</si>
  <si>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</si>
  <si>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</si>
  <si>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</si>
  <si>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</si>
  <si>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</si>
  <si>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</si>
  <si>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</si>
  <si>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</si>
  <si>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</si>
  <si>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For 2016</t>
  </si>
  <si>
    <t>Affordable Housing Tax Recapture Bond</t>
  </si>
  <si>
    <t>Regulatory Liability - Property</t>
  </si>
  <si>
    <t>Property Insurance</t>
  </si>
  <si>
    <t>For 2017</t>
  </si>
  <si>
    <t>Represents a net regulatory liability on regulated utility property that includes the excess deferred income tax flow back to customers over the average remaining book life of the regulated property resulting from the corporate tax rate reduction; net of the FAS 109 property basis differences and corresponding FAS 109 tax gross up resulting from book depreciation versus accelerated tax deductions not recorded in account #282 that are being recovered over the remaining depreciable life of the regulated utility property, plant and equipment - relates to all functions.</t>
  </si>
  <si>
    <t>Updated 5-Cost Support 1 to reflect 3 months outstanding on line 315, column F</t>
  </si>
  <si>
    <t>3.82% 1st Mort Bond due 10/03/2047</t>
  </si>
  <si>
    <t>Updated 5-Cost Support 1 to reflect 3.82% interest in heading on outstanding on line 315, column C</t>
  </si>
  <si>
    <t>Updated tab 6-Est &amp; Reconcile WS for new T PIS projections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</si>
</sst>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5">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b/>
      <sz val="10"/>
      <name val="Helv"/>
      <family val="0"/>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sz val="11"/>
      <color theme="1"/>
      <name val="Calibri"/>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family val="2"/>
    </font>
    <font>
      <b/>
      <sz val="10"/>
      <color rgb="FFFF0000"/>
      <name val="Arial Narrow"/>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2" fillId="0" borderId="0" applyNumberFormat="0" applyFill="0" applyBorder="0" applyAlignment="0" applyProtection="0"/>
    <xf numFmtId="215" fontId="57" fillId="0" borderId="0">
      <alignment/>
      <protection/>
    </xf>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93" fillId="0" borderId="0">
      <alignment/>
      <protection/>
    </xf>
    <xf numFmtId="0" fontId="93" fillId="0" borderId="0">
      <alignment/>
      <protection/>
    </xf>
    <xf numFmtId="170" fontId="11" fillId="0" borderId="0" applyProtection="0">
      <alignment/>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96">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65"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4" fillId="0" borderId="12" xfId="0" applyNumberFormat="1" applyFont="1" applyFill="1" applyBorder="1" applyAlignment="1">
      <alignment horizontal="left"/>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65"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65"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6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65"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46" applyNumberFormat="1" applyFont="1" applyAlignment="1">
      <alignment/>
    </xf>
    <xf numFmtId="0" fontId="30" fillId="0" borderId="22" xfId="0" applyFont="1" applyFill="1" applyBorder="1" applyAlignment="1">
      <alignment horizontal="center"/>
    </xf>
    <xf numFmtId="167" fontId="28" fillId="0" borderId="24" xfId="46"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3" fontId="9" fillId="0" borderId="0" xfId="0" applyNumberFormat="1" applyFont="1" applyFill="1" applyBorder="1" applyAlignment="1">
      <alignment/>
    </xf>
    <xf numFmtId="3" fontId="25"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37" fontId="0" fillId="0" borderId="26" xfId="0" applyNumberFormat="1" applyFont="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36" fillId="0" borderId="0"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horizontal="lef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46" applyNumberFormat="1" applyFont="1" applyAlignment="1">
      <alignment horizontal="left" wrapText="1"/>
    </xf>
    <xf numFmtId="167" fontId="0" fillId="0" borderId="0" xfId="46" applyNumberFormat="1" applyFont="1" applyAlignment="1">
      <alignment horizontal="right" wrapText="1"/>
    </xf>
    <xf numFmtId="167" fontId="0" fillId="0" borderId="0" xfId="46" applyNumberFormat="1" applyFont="1" applyAlignment="1">
      <alignment horizontal="left" vertical="center" wrapText="1"/>
    </xf>
    <xf numFmtId="167" fontId="0" fillId="0" borderId="0" xfId="46"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46"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46" applyNumberFormat="1" applyFont="1" applyFill="1" applyAlignment="1">
      <alignment horizontal="left"/>
    </xf>
    <xf numFmtId="172" fontId="0" fillId="0" borderId="0" xfId="65"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65"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65"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65" applyNumberFormat="1" applyFont="1" applyFill="1" applyBorder="1" applyAlignment="1">
      <alignment horizontal="right"/>
    </xf>
    <xf numFmtId="0" fontId="0" fillId="0" borderId="21" xfId="0" applyFont="1" applyFill="1" applyBorder="1" applyAlignment="1">
      <alignment/>
    </xf>
    <xf numFmtId="10" fontId="0" fillId="0" borderId="0" xfId="65" applyNumberFormat="1" applyFont="1" applyFill="1" applyAlignment="1">
      <alignment/>
    </xf>
    <xf numFmtId="10" fontId="0" fillId="0" borderId="12" xfId="65"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0" fontId="0" fillId="0" borderId="29"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65" applyNumberFormat="1" applyFont="1" applyBorder="1" applyAlignment="1">
      <alignment horizontal="center"/>
    </xf>
    <xf numFmtId="9" fontId="0" fillId="0" borderId="21" xfId="65"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65" applyFont="1" applyBorder="1" applyAlignment="1">
      <alignment horizontal="center"/>
    </xf>
    <xf numFmtId="10" fontId="0" fillId="0" borderId="0" xfId="65"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7"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8"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8" fillId="0" borderId="21" xfId="0" applyFont="1" applyFill="1" applyBorder="1" applyAlignment="1">
      <alignment/>
    </xf>
    <xf numFmtId="0" fontId="0" fillId="0" borderId="18" xfId="0" applyNumberFormat="1" applyFont="1" applyFill="1" applyBorder="1" applyAlignment="1">
      <alignment horizontal="left"/>
    </xf>
    <xf numFmtId="0" fontId="38"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8"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8"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8"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65"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30"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15" fillId="37" borderId="13" xfId="0" applyNumberFormat="1" applyFont="1" applyFill="1" applyBorder="1" applyAlignment="1">
      <alignment horizontal="center"/>
    </xf>
    <xf numFmtId="0" fontId="4" fillId="37" borderId="31"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9"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40"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9"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1"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1"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9"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8"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3"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4" fillId="0" borderId="0" xfId="0" applyFont="1" applyAlignment="1">
      <alignment/>
    </xf>
    <xf numFmtId="168" fontId="0" fillId="0" borderId="0" xfId="65"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46"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65" applyNumberFormat="1" applyFont="1" applyFill="1" applyBorder="1" applyAlignment="1">
      <alignment/>
    </xf>
    <xf numFmtId="168" fontId="0" fillId="0" borderId="21" xfId="65"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6" fillId="0" borderId="0" xfId="0" applyFont="1" applyFill="1" applyBorder="1" applyAlignment="1">
      <alignment horizontal="center" wrapText="1"/>
    </xf>
    <xf numFmtId="164" fontId="28" fillId="33" borderId="16" xfId="42" applyNumberFormat="1" applyFont="1" applyFill="1" applyBorder="1" applyAlignment="1">
      <alignment/>
    </xf>
    <xf numFmtId="0" fontId="47"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8"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5" fillId="0" borderId="0" xfId="0" applyNumberFormat="1" applyFont="1" applyFill="1" applyAlignment="1">
      <alignment/>
    </xf>
    <xf numFmtId="0" fontId="48" fillId="0" borderId="0" xfId="0" applyFont="1" applyAlignment="1">
      <alignment/>
    </xf>
    <xf numFmtId="164" fontId="48" fillId="0" borderId="0" xfId="42" applyNumberFormat="1" applyFont="1" applyAlignment="1">
      <alignment/>
    </xf>
    <xf numFmtId="164" fontId="48"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8" fillId="0" borderId="0" xfId="0" applyFont="1" applyFill="1" applyAlignment="1">
      <alignment horizontal="left"/>
    </xf>
    <xf numFmtId="164" fontId="48"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65"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3" xfId="0" applyFont="1" applyBorder="1" applyAlignment="1">
      <alignment/>
    </xf>
    <xf numFmtId="0" fontId="0" fillId="0" borderId="12" xfId="0" applyFont="1" applyBorder="1" applyAlignment="1">
      <alignment/>
    </xf>
    <xf numFmtId="0" fontId="0" fillId="0" borderId="34" xfId="0" applyFont="1" applyBorder="1" applyAlignment="1">
      <alignment/>
    </xf>
    <xf numFmtId="164" fontId="0" fillId="0" borderId="26" xfId="42" applyNumberFormat="1" applyFont="1" applyFill="1" applyBorder="1" applyAlignment="1">
      <alignment/>
    </xf>
    <xf numFmtId="164" fontId="36" fillId="0" borderId="0" xfId="42" applyNumberFormat="1" applyFont="1" applyFill="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30" fillId="0" borderId="0" xfId="42" applyNumberFormat="1" applyFont="1" applyFill="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4" fillId="0" borderId="0" xfId="42" applyNumberFormat="1" applyFont="1" applyFill="1" applyBorder="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65"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46" applyNumberFormat="1" applyFont="1" applyBorder="1" applyAlignment="1">
      <alignment/>
    </xf>
    <xf numFmtId="0" fontId="22" fillId="0" borderId="21" xfId="0" applyNumberFormat="1" applyFont="1" applyFill="1" applyBorder="1" applyAlignment="1">
      <alignment horizontal="center"/>
    </xf>
    <xf numFmtId="0" fontId="40"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8"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177" fontId="6" fillId="0" borderId="0" xfId="0" applyNumberFormat="1" applyFont="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65"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164" fontId="31" fillId="34" borderId="17" xfId="42" applyNumberFormat="1" applyFont="1" applyFill="1" applyBorder="1" applyAlignment="1">
      <alignment horizontal="center"/>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1" fillId="0" borderId="0" xfId="65" applyNumberFormat="1" applyFont="1" applyAlignment="1">
      <alignment/>
    </xf>
    <xf numFmtId="167" fontId="0" fillId="0" borderId="0" xfId="46"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8"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50" fillId="0" borderId="0" xfId="0" applyFont="1" applyFill="1" applyBorder="1" applyAlignment="1">
      <alignment horizontal="center"/>
    </xf>
    <xf numFmtId="0" fontId="30" fillId="0" borderId="0" xfId="0" applyFont="1" applyFill="1" applyBorder="1" applyAlignment="1">
      <alignment/>
    </xf>
    <xf numFmtId="0" fontId="50"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65"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8"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9"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30" xfId="0" applyNumberFormat="1" applyFont="1" applyFill="1" applyBorder="1" applyAlignment="1">
      <alignment horizontal="center"/>
    </xf>
    <xf numFmtId="164" fontId="0" fillId="0" borderId="35"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65"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65"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65"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65" applyNumberFormat="1" applyFont="1" applyFill="1" applyAlignment="1">
      <alignment horizontal="right"/>
    </xf>
    <xf numFmtId="164" fontId="15" fillId="0" borderId="10" xfId="42" applyNumberFormat="1" applyFont="1" applyBorder="1" applyAlignment="1">
      <alignment horizontal="right"/>
    </xf>
    <xf numFmtId="164" fontId="14" fillId="34" borderId="0" xfId="42" applyNumberFormat="1" applyFont="1" applyFill="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65" applyNumberFormat="1" applyFont="1" applyFill="1" applyAlignment="1">
      <alignment/>
    </xf>
    <xf numFmtId="173" fontId="6" fillId="0" borderId="0" xfId="65" applyNumberFormat="1" applyFont="1" applyFill="1" applyAlignment="1">
      <alignment horizontal="right"/>
    </xf>
    <xf numFmtId="164" fontId="12" fillId="0" borderId="0" xfId="42" applyNumberFormat="1" applyFont="1" applyBorder="1" applyAlignment="1">
      <alignment/>
    </xf>
    <xf numFmtId="10" fontId="6" fillId="0" borderId="0" xfId="65"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43" fontId="15" fillId="34" borderId="0" xfId="42" applyFont="1" applyFill="1" applyBorder="1" applyAlignment="1">
      <alignment horizontal="righ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8"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65" applyNumberFormat="1" applyFont="1" applyFill="1" applyBorder="1" applyAlignment="1">
      <alignment horizontal="center"/>
    </xf>
    <xf numFmtId="3" fontId="6" fillId="0" borderId="0" xfId="0" applyNumberFormat="1" applyFont="1" applyFill="1" applyBorder="1" applyAlignment="1">
      <alignment horizontal="right"/>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8" fillId="0" borderId="21" xfId="0" applyNumberFormat="1" applyFont="1" applyFill="1" applyBorder="1" applyAlignment="1">
      <alignment/>
    </xf>
    <xf numFmtId="0" fontId="5" fillId="0" borderId="0" xfId="0" applyFont="1" applyFill="1" applyBorder="1" applyAlignment="1">
      <alignment/>
    </xf>
    <xf numFmtId="0" fontId="1" fillId="0" borderId="21" xfId="0" applyFont="1" applyBorder="1" applyAlignment="1">
      <alignment/>
    </xf>
    <xf numFmtId="0" fontId="8" fillId="38" borderId="36"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65"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1"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1"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1"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65" applyNumberFormat="1" applyFont="1" applyFill="1" applyAlignment="1">
      <alignment/>
    </xf>
    <xf numFmtId="164" fontId="28" fillId="0" borderId="21" xfId="42" applyNumberFormat="1" applyFont="1" applyFill="1" applyBorder="1" applyAlignment="1">
      <alignment/>
    </xf>
    <xf numFmtId="164" fontId="28" fillId="0" borderId="18"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29"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164" fontId="38" fillId="34" borderId="0" xfId="42"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0" fillId="0" borderId="37" xfId="0" applyFont="1" applyFill="1" applyBorder="1" applyAlignment="1">
      <alignment/>
    </xf>
    <xf numFmtId="0" fontId="0" fillId="0" borderId="38" xfId="0" applyFont="1" applyFill="1" applyBorder="1" applyAlignment="1">
      <alignment/>
    </xf>
    <xf numFmtId="0" fontId="28" fillId="0" borderId="23" xfId="0" applyFont="1" applyFill="1" applyBorder="1" applyAlignment="1">
      <alignment/>
    </xf>
    <xf numFmtId="0" fontId="0" fillId="0" borderId="0" xfId="0" applyFont="1" applyFill="1" applyAlignment="1">
      <alignment horizontal="left" indent="4"/>
    </xf>
    <xf numFmtId="164" fontId="0" fillId="0" borderId="0" xfId="0" applyNumberFormat="1" applyFont="1" applyFill="1" applyAlignment="1">
      <alignment horizontal="left" indent="9"/>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0" xfId="42" applyNumberFormat="1" applyFont="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6" xfId="42" applyNumberFormat="1" applyFont="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24" xfId="46" applyNumberFormat="1" applyFont="1" applyFill="1" applyBorder="1" applyAlignment="1">
      <alignment/>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67" fontId="98" fillId="0" borderId="0" xfId="46" applyNumberFormat="1" applyFont="1" applyFill="1" applyAlignment="1">
      <alignment horizontal="lef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99" fillId="0" borderId="0" xfId="0" applyFont="1" applyFill="1" applyBorder="1" applyAlignment="1">
      <alignment horizontal="left"/>
    </xf>
    <xf numFmtId="0" fontId="99" fillId="0" borderId="0" xfId="0" applyFont="1" applyFill="1" applyBorder="1" applyAlignment="1">
      <alignment horizontal="center"/>
    </xf>
    <xf numFmtId="164" fontId="99" fillId="0" borderId="15" xfId="42" applyNumberFormat="1" applyFont="1" applyFill="1" applyBorder="1" applyAlignment="1">
      <alignment horizontal="center"/>
    </xf>
    <xf numFmtId="0" fontId="10" fillId="0" borderId="0" xfId="0" applyFont="1" applyFill="1" applyAlignment="1">
      <alignment/>
    </xf>
    <xf numFmtId="0" fontId="98" fillId="0" borderId="0" xfId="0" applyFont="1" applyFill="1" applyAlignment="1">
      <alignment horizontal="left"/>
    </xf>
    <xf numFmtId="1" fontId="38" fillId="0" borderId="0" xfId="0" applyNumberFormat="1" applyFont="1" applyFill="1" applyBorder="1" applyAlignment="1">
      <alignment horizontal="left"/>
    </xf>
    <xf numFmtId="168" fontId="6" fillId="0" borderId="36" xfId="0" applyNumberFormat="1" applyFont="1" applyFill="1" applyBorder="1" applyAlignment="1">
      <alignment/>
    </xf>
    <xf numFmtId="0" fontId="98" fillId="0" borderId="0" xfId="0" applyFont="1" applyFill="1" applyBorder="1" applyAlignment="1">
      <alignment/>
    </xf>
    <xf numFmtId="0" fontId="100"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30"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65" applyNumberFormat="1" applyFont="1" applyFill="1" applyBorder="1" applyAlignment="1">
      <alignment/>
    </xf>
    <xf numFmtId="0" fontId="4" fillId="0" borderId="16" xfId="0" applyFont="1" applyFill="1" applyBorder="1" applyAlignment="1">
      <alignment horizontal="center"/>
    </xf>
    <xf numFmtId="0" fontId="0" fillId="0" borderId="0" xfId="0" applyFont="1" applyAlignment="1">
      <alignment horizontal="left"/>
    </xf>
    <xf numFmtId="164" fontId="0" fillId="0" borderId="30" xfId="0" applyNumberFormat="1" applyFont="1" applyFill="1" applyBorder="1" applyAlignment="1">
      <alignment/>
    </xf>
    <xf numFmtId="164" fontId="0" fillId="0" borderId="30" xfId="42" applyNumberFormat="1" applyFont="1" applyFill="1" applyBorder="1" applyAlignment="1">
      <alignment horizontal="right"/>
    </xf>
    <xf numFmtId="3" fontId="101" fillId="0" borderId="0" xfId="0" applyNumberFormat="1" applyFont="1" applyFill="1" applyBorder="1" applyAlignment="1">
      <alignment/>
    </xf>
    <xf numFmtId="164" fontId="101" fillId="0" borderId="0" xfId="42" applyNumberFormat="1" applyFont="1" applyFill="1" applyBorder="1" applyAlignment="1">
      <alignment/>
    </xf>
    <xf numFmtId="0" fontId="101" fillId="0" borderId="0" xfId="0" applyFont="1" applyFill="1" applyAlignment="1">
      <alignment/>
    </xf>
    <xf numFmtId="0" fontId="101" fillId="0" borderId="0" xfId="0" applyFont="1" applyAlignment="1">
      <alignment/>
    </xf>
    <xf numFmtId="164" fontId="102"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5" applyNumberFormat="1" applyFont="1" applyFill="1" applyBorder="1" applyAlignment="1">
      <alignment/>
    </xf>
    <xf numFmtId="0" fontId="0" fillId="0" borderId="0" xfId="0" applyFill="1" applyBorder="1" applyAlignment="1">
      <alignment horizontal="center"/>
    </xf>
    <xf numFmtId="43" fontId="0" fillId="0" borderId="0" xfId="45"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0" fontId="102" fillId="0" borderId="0" xfId="0" applyFont="1" applyAlignment="1">
      <alignment/>
    </xf>
    <xf numFmtId="164" fontId="102" fillId="0" borderId="0" xfId="45" applyNumberFormat="1" applyFont="1" applyAlignment="1">
      <alignment/>
    </xf>
    <xf numFmtId="164" fontId="103" fillId="0" borderId="0" xfId="44" applyNumberFormat="1" applyFont="1" applyFill="1" applyBorder="1" applyAlignment="1">
      <alignment/>
    </xf>
    <xf numFmtId="164" fontId="6" fillId="0" borderId="0" xfId="60"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8" fillId="34" borderId="0" xfId="0" applyNumberFormat="1" applyFont="1" applyFill="1" applyBorder="1" applyAlignment="1">
      <alignment horizontal="center"/>
    </xf>
    <xf numFmtId="164" fontId="0" fillId="34" borderId="15" xfId="0" applyNumberFormat="1" applyFill="1" applyBorder="1" applyAlignment="1">
      <alignment/>
    </xf>
    <xf numFmtId="1" fontId="38" fillId="34" borderId="12" xfId="0" applyNumberFormat="1" applyFont="1" applyFill="1" applyBorder="1" applyAlignment="1">
      <alignment horizontal="center"/>
    </xf>
    <xf numFmtId="164" fontId="0" fillId="34" borderId="39" xfId="0" applyNumberFormat="1" applyFont="1" applyFill="1" applyBorder="1" applyAlignment="1">
      <alignment/>
    </xf>
    <xf numFmtId="164" fontId="0" fillId="34" borderId="15" xfId="0" applyNumberFormat="1" applyFill="1" applyBorder="1" applyAlignment="1">
      <alignment horizontal="right"/>
    </xf>
    <xf numFmtId="164" fontId="0" fillId="34" borderId="39"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9" xfId="42" applyNumberFormat="1" applyFont="1" applyFill="1" applyBorder="1" applyAlignment="1">
      <alignment horizontal="right"/>
    </xf>
    <xf numFmtId="164" fontId="0" fillId="34" borderId="39" xfId="42" applyNumberFormat="1" applyFont="1" applyFill="1" applyBorder="1" applyAlignment="1">
      <alignment/>
    </xf>
    <xf numFmtId="164" fontId="6" fillId="0" borderId="0" xfId="45"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3" fillId="34" borderId="0" xfId="45" applyNumberFormat="1" applyFont="1" applyFill="1" applyAlignment="1">
      <alignment/>
    </xf>
    <xf numFmtId="0" fontId="10" fillId="0" borderId="0" xfId="0" applyFont="1" applyFill="1" applyBorder="1" applyAlignment="1" quotePrefix="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5" applyNumberFormat="1" applyFont="1" applyAlignment="1">
      <alignment horizontal="right" wrapText="1"/>
    </xf>
    <xf numFmtId="164" fontId="0" fillId="0" borderId="0" xfId="45" applyNumberFormat="1" applyFont="1" applyAlignment="1">
      <alignment horizontal="right"/>
    </xf>
    <xf numFmtId="164" fontId="0" fillId="0" borderId="0" xfId="45" applyNumberFormat="1" applyFont="1" applyFill="1" applyAlignment="1">
      <alignment horizontal="right"/>
    </xf>
    <xf numFmtId="164" fontId="98" fillId="0" borderId="0" xfId="0" applyNumberFormat="1" applyFont="1" applyBorder="1" applyAlignment="1">
      <alignment horizontal="right"/>
    </xf>
    <xf numFmtId="0" fontId="0" fillId="0" borderId="0" xfId="0" applyBorder="1" applyAlignment="1">
      <alignment horizontal="left"/>
    </xf>
    <xf numFmtId="38" fontId="57" fillId="0" borderId="0" xfId="50" applyNumberFormat="1" applyBorder="1">
      <alignment/>
      <protection/>
    </xf>
    <xf numFmtId="0" fontId="78" fillId="0" borderId="0" xfId="0" applyFont="1" applyFill="1" applyBorder="1" applyAlignment="1">
      <alignment horizontal="left"/>
    </xf>
    <xf numFmtId="38" fontId="0" fillId="0" borderId="0" xfId="0" applyNumberFormat="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43" fontId="1" fillId="0" borderId="0" xfId="45" applyFont="1" applyFill="1" applyBorder="1" applyAlignment="1">
      <alignment/>
    </xf>
    <xf numFmtId="0" fontId="5" fillId="0" borderId="0" xfId="0" applyFont="1" applyFill="1" applyBorder="1" applyAlignment="1">
      <alignment/>
    </xf>
    <xf numFmtId="164" fontId="1" fillId="0" borderId="0" xfId="45" applyNumberFormat="1" applyFont="1" applyFill="1" applyBorder="1" applyAlignment="1">
      <alignment/>
    </xf>
    <xf numFmtId="164" fontId="98"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2" fillId="0" borderId="0" xfId="0" applyNumberFormat="1" applyFont="1" applyFill="1" applyAlignment="1">
      <alignment/>
    </xf>
    <xf numFmtId="214" fontId="10" fillId="0" borderId="0" xfId="0" applyNumberFormat="1" applyFont="1" applyFill="1" applyAlignment="1" quotePrefix="1">
      <alignment/>
    </xf>
    <xf numFmtId="0" fontId="4" fillId="0" borderId="0" xfId="0" applyNumberFormat="1" applyFont="1" applyFill="1" applyAlignment="1">
      <alignment horizontal="left"/>
    </xf>
    <xf numFmtId="0" fontId="58"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0" fontId="48" fillId="0" borderId="0" xfId="42" applyNumberFormat="1" applyFont="1" applyAlignment="1">
      <alignment/>
    </xf>
    <xf numFmtId="164" fontId="55" fillId="34" borderId="0" xfId="45" applyNumberFormat="1" applyFont="1" applyFill="1" applyAlignment="1">
      <alignment/>
    </xf>
    <xf numFmtId="164" fontId="0" fillId="39" borderId="0" xfId="0" applyNumberFormat="1" applyFont="1" applyFill="1" applyBorder="1" applyAlignment="1">
      <alignment/>
    </xf>
    <xf numFmtId="0"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0" fontId="22" fillId="0" borderId="21" xfId="0" applyFont="1" applyFill="1" applyBorder="1" applyAlignment="1">
      <alignmen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5" applyNumberFormat="1" applyFont="1" applyFill="1" applyBorder="1" applyAlignment="1">
      <alignment/>
    </xf>
    <xf numFmtId="164" fontId="0" fillId="39" borderId="12" xfId="45" applyNumberFormat="1" applyFont="1" applyFill="1" applyBorder="1" applyAlignment="1">
      <alignment/>
    </xf>
    <xf numFmtId="0" fontId="0" fillId="39" borderId="0" xfId="0" applyFont="1" applyFill="1" applyAlignment="1">
      <alignment/>
    </xf>
    <xf numFmtId="164" fontId="0" fillId="39" borderId="0" xfId="42" applyNumberFormat="1" applyFont="1" applyFill="1" applyAlignment="1">
      <alignment/>
    </xf>
    <xf numFmtId="0" fontId="0" fillId="39" borderId="0" xfId="0" applyFill="1" applyAlignment="1">
      <alignment/>
    </xf>
    <xf numFmtId="164" fontId="0" fillId="39" borderId="0" xfId="42" applyNumberFormat="1" applyFont="1" applyFill="1" applyAlignment="1">
      <alignment/>
    </xf>
    <xf numFmtId="164" fontId="0" fillId="39"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65" applyNumberFormat="1" applyFont="1" applyFill="1" applyAlignment="1">
      <alignment/>
    </xf>
    <xf numFmtId="167" fontId="28" fillId="0" borderId="25" xfId="46" applyNumberFormat="1" applyFont="1" applyFill="1" applyBorder="1" applyAlignment="1">
      <alignment/>
    </xf>
    <xf numFmtId="167" fontId="28" fillId="0" borderId="21" xfId="0" applyNumberFormat="1" applyFont="1" applyFill="1" applyBorder="1" applyAlignment="1">
      <alignment/>
    </xf>
    <xf numFmtId="167" fontId="28" fillId="0" borderId="18" xfId="46" applyNumberFormat="1" applyFont="1" applyFill="1" applyBorder="1" applyAlignment="1">
      <alignment/>
    </xf>
    <xf numFmtId="0" fontId="103" fillId="0" borderId="0" xfId="0" applyFont="1" applyFill="1" applyBorder="1" applyAlignment="1">
      <alignment/>
    </xf>
    <xf numFmtId="0" fontId="98" fillId="0" borderId="0" xfId="0" applyFont="1" applyFill="1" applyAlignment="1">
      <alignment/>
    </xf>
    <xf numFmtId="167" fontId="102" fillId="0" borderId="0" xfId="46" applyNumberFormat="1" applyFont="1" applyFill="1" applyAlignment="1">
      <alignment/>
    </xf>
    <xf numFmtId="3" fontId="0" fillId="0" borderId="0" xfId="0" applyNumberFormat="1" applyFont="1" applyFill="1" applyBorder="1" applyAlignment="1">
      <alignment horizontal="left"/>
    </xf>
    <xf numFmtId="164" fontId="0" fillId="0" borderId="0" xfId="45" applyNumberFormat="1" applyFont="1" applyFill="1" applyBorder="1" applyAlignment="1">
      <alignment horizontal="center"/>
    </xf>
    <xf numFmtId="43" fontId="0" fillId="0" borderId="0" xfId="45" applyFont="1" applyFill="1" applyBorder="1" applyAlignment="1">
      <alignment/>
    </xf>
    <xf numFmtId="43" fontId="0" fillId="0" borderId="0" xfId="45" applyFont="1" applyFill="1" applyBorder="1" applyAlignment="1">
      <alignment horizontal="center" wrapText="1"/>
    </xf>
    <xf numFmtId="164" fontId="98" fillId="0" borderId="0" xfId="45" applyNumberFormat="1" applyFont="1" applyFill="1" applyBorder="1" applyAlignment="1">
      <alignment/>
    </xf>
    <xf numFmtId="0" fontId="0" fillId="39" borderId="0" xfId="0" applyNumberFormat="1" applyFont="1" applyFill="1" applyBorder="1" applyAlignment="1">
      <alignment/>
    </xf>
    <xf numFmtId="164" fontId="0" fillId="39" borderId="0" xfId="0" applyNumberFormat="1" applyFont="1" applyFill="1" applyBorder="1" applyAlignment="1">
      <alignment/>
    </xf>
    <xf numFmtId="164" fontId="98" fillId="0" borderId="0" xfId="42" applyNumberFormat="1" applyFont="1" applyAlignment="1">
      <alignment/>
    </xf>
    <xf numFmtId="0" fontId="0" fillId="0" borderId="0" xfId="0" applyFont="1" applyFill="1" applyBorder="1" applyAlignment="1">
      <alignment/>
    </xf>
    <xf numFmtId="0" fontId="4" fillId="39" borderId="36" xfId="0" applyFont="1" applyFill="1" applyBorder="1" applyAlignment="1">
      <alignment horizontal="center" wrapText="1"/>
    </xf>
    <xf numFmtId="5" fontId="52" fillId="0" borderId="0" xfId="42" applyNumberFormat="1" applyFont="1" applyFill="1" applyAlignment="1">
      <alignment/>
    </xf>
    <xf numFmtId="164" fontId="103"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3" fontId="102" fillId="0" borderId="0" xfId="0" applyNumberFormat="1" applyFont="1" applyFill="1" applyBorder="1" applyAlignment="1">
      <alignment horizontal="center"/>
    </xf>
    <xf numFmtId="0" fontId="0" fillId="0" borderId="16" xfId="0" applyNumberFormat="1" applyFont="1" applyFill="1" applyBorder="1" applyAlignment="1">
      <alignmen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59" fillId="0" borderId="0" xfId="0" applyNumberFormat="1" applyFont="1" applyFill="1" applyBorder="1" applyAlignment="1">
      <alignment/>
    </xf>
    <xf numFmtId="164" fontId="59" fillId="0" borderId="0" xfId="0" applyNumberFormat="1" applyFont="1" applyFill="1" applyBorder="1" applyAlignment="1">
      <alignment/>
    </xf>
    <xf numFmtId="0" fontId="59"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Border="1" applyAlignment="1" quotePrefix="1">
      <alignment/>
    </xf>
    <xf numFmtId="164" fontId="48" fillId="0" borderId="0" xfId="42" applyNumberFormat="1" applyFont="1" applyFill="1" applyBorder="1" applyAlignment="1">
      <alignment/>
    </xf>
    <xf numFmtId="0" fontId="0" fillId="0" borderId="0" xfId="0" applyFill="1" applyBorder="1" applyAlignment="1" quotePrefix="1">
      <alignment/>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top"/>
    </xf>
    <xf numFmtId="164" fontId="55" fillId="0" borderId="0" xfId="42" applyNumberFormat="1" applyFont="1" applyFill="1" applyBorder="1" applyAlignment="1">
      <alignment/>
    </xf>
    <xf numFmtId="164" fontId="48" fillId="0" borderId="0" xfId="42" applyNumberFormat="1" applyFont="1" applyFill="1" applyBorder="1" applyAlignment="1">
      <alignment horizontal="center" wrapText="1"/>
    </xf>
    <xf numFmtId="0" fontId="48" fillId="0" borderId="0" xfId="0" applyFont="1" applyFill="1" applyBorder="1" applyAlignment="1">
      <alignment/>
    </xf>
    <xf numFmtId="164" fontId="55" fillId="0" borderId="0" xfId="45" applyNumberFormat="1" applyFont="1" applyFill="1" applyAlignment="1">
      <alignment/>
    </xf>
    <xf numFmtId="164" fontId="6" fillId="0" borderId="0" xfId="0" applyNumberFormat="1" applyFont="1" applyFill="1" applyAlignment="1">
      <alignment/>
    </xf>
    <xf numFmtId="164" fontId="38" fillId="39" borderId="0" xfId="42" applyNumberFormat="1" applyFont="1" applyFill="1" applyBorder="1" applyAlignment="1">
      <alignment/>
    </xf>
    <xf numFmtId="164" fontId="0" fillId="39"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99"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4" fillId="0" borderId="0" xfId="0" applyFont="1" applyFill="1" applyBorder="1" applyAlignment="1">
      <alignment horizontal="right"/>
    </xf>
    <xf numFmtId="164" fontId="102" fillId="0" borderId="0" xfId="0" applyNumberFormat="1" applyFont="1" applyAlignment="1">
      <alignment/>
    </xf>
    <xf numFmtId="43" fontId="102" fillId="0" borderId="0" xfId="0" applyNumberFormat="1" applyFont="1" applyFill="1" applyBorder="1" applyAlignment="1">
      <alignment/>
    </xf>
    <xf numFmtId="3" fontId="6" fillId="0" borderId="0" xfId="0" applyNumberFormat="1" applyFont="1" applyFill="1" applyAlignment="1">
      <alignment/>
    </xf>
    <xf numFmtId="167" fontId="0" fillId="0" borderId="0" xfId="46" applyNumberFormat="1" applyFont="1" applyFill="1" applyBorder="1" applyAlignment="1">
      <alignment/>
    </xf>
    <xf numFmtId="164" fontId="0" fillId="0" borderId="0" xfId="42" applyNumberFormat="1" applyFont="1" applyFill="1" applyBorder="1" applyAlignment="1" quotePrefix="1">
      <alignment horizontal="left"/>
    </xf>
    <xf numFmtId="0" fontId="41"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0" fontId="41" fillId="0" borderId="0" xfId="0" applyFont="1" applyFill="1" applyBorder="1" applyAlignment="1">
      <alignment horizontal="center"/>
    </xf>
    <xf numFmtId="0" fontId="41" fillId="0" borderId="21" xfId="0" applyNumberFormat="1" applyFont="1" applyFill="1" applyBorder="1" applyAlignment="1">
      <alignment horizontal="center"/>
    </xf>
    <xf numFmtId="0" fontId="0" fillId="0" borderId="20" xfId="0" applyNumberFormat="1" applyFont="1" applyFill="1" applyBorder="1" applyAlignment="1">
      <alignment horizontal="left"/>
    </xf>
    <xf numFmtId="164" fontId="0" fillId="0" borderId="18" xfId="0" applyNumberFormat="1" applyFont="1" applyFill="1" applyBorder="1" applyAlignment="1">
      <alignment horizontal="center"/>
    </xf>
    <xf numFmtId="0" fontId="48" fillId="0" borderId="0" xfId="0" applyFont="1" applyFill="1" applyAlignment="1">
      <alignment/>
    </xf>
    <xf numFmtId="0" fontId="53" fillId="0" borderId="0" xfId="0" applyFont="1" applyFill="1" applyAlignment="1">
      <alignment/>
    </xf>
    <xf numFmtId="0" fontId="6" fillId="0" borderId="0" xfId="0" applyFont="1" applyFill="1" applyAlignment="1">
      <alignment horizontal="center"/>
    </xf>
    <xf numFmtId="0" fontId="22" fillId="0" borderId="0" xfId="0" applyFont="1" applyFill="1" applyAlignment="1">
      <alignment horizontal="left" wrapText="1"/>
    </xf>
    <xf numFmtId="170" fontId="22" fillId="0" borderId="0" xfId="62"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3"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31" xfId="0" applyFont="1" applyFill="1" applyBorder="1" applyAlignment="1">
      <alignment horizontal="center"/>
    </xf>
    <xf numFmtId="0" fontId="1" fillId="36" borderId="13" xfId="0" applyFont="1" applyFill="1" applyBorder="1" applyAlignment="1">
      <alignment horizontal="center" wrapText="1"/>
    </xf>
    <xf numFmtId="0" fontId="1" fillId="36" borderId="31" xfId="0" applyFont="1" applyFill="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1" xfId="0" applyFont="1" applyFill="1" applyBorder="1" applyAlignment="1">
      <alignment horizontal="center" wrapText="1"/>
    </xf>
    <xf numFmtId="0" fontId="31" fillId="36" borderId="13" xfId="0" applyFont="1" applyFill="1" applyBorder="1" applyAlignment="1">
      <alignment horizontal="center"/>
    </xf>
    <xf numFmtId="0" fontId="31" fillId="36" borderId="31" xfId="0" applyFont="1" applyFill="1" applyBorder="1" applyAlignment="1">
      <alignment horizontal="center"/>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1" xfId="0" applyFont="1" applyFill="1" applyBorder="1" applyAlignment="1">
      <alignment horizontal="center"/>
    </xf>
    <xf numFmtId="0" fontId="0" fillId="36" borderId="13" xfId="0" applyFont="1" applyFill="1" applyBorder="1" applyAlignment="1">
      <alignment horizontal="center" wrapText="1"/>
    </xf>
    <xf numFmtId="0" fontId="0" fillId="36" borderId="31"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0" fillId="0" borderId="0" xfId="0" applyFont="1" applyFill="1" applyAlignment="1">
      <alignment horizontal="left" wrapText="1"/>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FRxAmtStyle 2"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_FN1 Ratebase Draft SPP template (6-11-04) v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A7"/>
  <sheetViews>
    <sheetView zoomScalePageLayoutView="0" workbookViewId="0" topLeftCell="A1">
      <selection activeCell="A8" sqref="A8"/>
    </sheetView>
  </sheetViews>
  <sheetFormatPr defaultColWidth="9.140625" defaultRowHeight="12.75"/>
  <sheetData>
    <row r="3" ht="12.75">
      <c r="A3" s="280" t="s">
        <v>875</v>
      </c>
    </row>
    <row r="5" ht="12.75">
      <c r="A5" s="280" t="s">
        <v>877</v>
      </c>
    </row>
    <row r="7" ht="12.75">
      <c r="A7" s="280" t="s">
        <v>878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303"/>
  <sheetViews>
    <sheetView zoomScalePageLayoutView="0" workbookViewId="0" topLeftCell="A1">
      <selection activeCell="G270" sqref="G270"/>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20.28125" style="0" customWidth="1"/>
    <col min="8" max="8" width="16.140625" style="0" customWidth="1"/>
    <col min="12" max="12" width="31.28125" style="0" customWidth="1"/>
    <col min="13" max="13" width="2.7109375" style="0" customWidth="1"/>
    <col min="14" max="14" width="9.57421875" style="0" customWidth="1"/>
  </cols>
  <sheetData>
    <row r="1" spans="13:14" ht="12.75">
      <c r="M1" s="2"/>
      <c r="N1" s="2"/>
    </row>
    <row r="2" spans="1:15" ht="12.75">
      <c r="A2" s="200" t="s">
        <v>540</v>
      </c>
      <c r="B2" s="200" t="s">
        <v>541</v>
      </c>
      <c r="C2" s="671" t="s">
        <v>502</v>
      </c>
      <c r="D2" s="671" t="s">
        <v>544</v>
      </c>
      <c r="E2" s="671"/>
      <c r="F2" s="276"/>
      <c r="O2" s="2"/>
    </row>
    <row r="3" spans="1:16" ht="31.5">
      <c r="A3" s="696" t="s">
        <v>82</v>
      </c>
      <c r="B3" s="697" t="s">
        <v>69</v>
      </c>
      <c r="C3" s="697" t="s">
        <v>70</v>
      </c>
      <c r="D3" s="697" t="s">
        <v>320</v>
      </c>
      <c r="E3" s="697"/>
      <c r="F3" s="1185"/>
      <c r="G3" s="1186"/>
      <c r="H3" s="1186"/>
      <c r="I3" s="1186"/>
      <c r="J3" s="1186"/>
      <c r="K3" s="269"/>
      <c r="L3" s="269"/>
      <c r="M3" s="269"/>
      <c r="N3" s="269"/>
      <c r="O3" s="269"/>
      <c r="P3" s="1187"/>
    </row>
    <row r="4" spans="1:16" ht="15.75">
      <c r="A4" s="696" t="s">
        <v>58</v>
      </c>
      <c r="B4" s="696"/>
      <c r="C4" s="648"/>
      <c r="D4" s="33"/>
      <c r="E4" s="33"/>
      <c r="F4" s="269"/>
      <c r="G4" s="269"/>
      <c r="H4" s="269"/>
      <c r="I4" s="269"/>
      <c r="J4" s="269"/>
      <c r="K4" s="269"/>
      <c r="L4" s="269"/>
      <c r="M4" s="269"/>
      <c r="N4" s="269"/>
      <c r="O4" s="269"/>
      <c r="P4" s="269"/>
    </row>
    <row r="5" spans="1:16" ht="15.75">
      <c r="A5" s="810" t="s">
        <v>59</v>
      </c>
      <c r="B5" s="1113">
        <v>11307308</v>
      </c>
      <c r="C5" s="648">
        <v>3.01</v>
      </c>
      <c r="D5" s="698">
        <f aca="true" t="shared" si="0" ref="D5:D13">+B5*C5/100</f>
        <v>340349.9708</v>
      </c>
      <c r="E5" s="698"/>
      <c r="G5" s="502"/>
      <c r="H5" s="1188"/>
      <c r="I5" s="1183"/>
      <c r="J5" s="1184"/>
      <c r="K5" s="269"/>
      <c r="L5" s="269"/>
      <c r="M5" s="269"/>
      <c r="N5" s="416"/>
      <c r="O5" s="416"/>
      <c r="P5" s="269"/>
    </row>
    <row r="6" spans="1:16" ht="15.75">
      <c r="A6" s="810" t="s">
        <v>60</v>
      </c>
      <c r="B6" s="1113">
        <v>17530227</v>
      </c>
      <c r="C6" s="648">
        <v>2.53</v>
      </c>
      <c r="D6" s="698">
        <f t="shared" si="0"/>
        <v>443514.74309999996</v>
      </c>
      <c r="E6" s="698"/>
      <c r="F6" s="502"/>
      <c r="G6" s="502"/>
      <c r="H6" s="1188"/>
      <c r="I6" s="1183"/>
      <c r="J6" s="1183"/>
      <c r="K6" s="269"/>
      <c r="L6" s="269"/>
      <c r="M6" s="269"/>
      <c r="N6" s="416"/>
      <c r="O6" s="416"/>
      <c r="P6" s="269"/>
    </row>
    <row r="7" spans="1:16" ht="15.75">
      <c r="A7" s="810" t="s">
        <v>61</v>
      </c>
      <c r="B7" s="1113">
        <v>396212685</v>
      </c>
      <c r="C7" s="648">
        <v>3.42</v>
      </c>
      <c r="D7" s="698">
        <f t="shared" si="0"/>
        <v>13550473.827</v>
      </c>
      <c r="E7" s="698"/>
      <c r="F7" s="1156"/>
      <c r="G7" s="99"/>
      <c r="H7" s="1183"/>
      <c r="I7" s="1183"/>
      <c r="J7" s="269"/>
      <c r="K7" s="269"/>
      <c r="L7" s="269"/>
      <c r="M7" s="269"/>
      <c r="N7" s="58"/>
      <c r="O7" s="58"/>
      <c r="P7" s="269"/>
    </row>
    <row r="8" spans="1:16" ht="15.75">
      <c r="A8" s="810" t="s">
        <v>62</v>
      </c>
      <c r="B8" s="1113">
        <v>65195823</v>
      </c>
      <c r="C8" s="648">
        <v>1.6</v>
      </c>
      <c r="D8" s="698">
        <f t="shared" si="0"/>
        <v>1043133.1680000001</v>
      </c>
      <c r="E8" s="698"/>
      <c r="F8" s="1156"/>
      <c r="G8" s="99"/>
      <c r="H8" s="1188"/>
      <c r="I8" s="1183"/>
      <c r="J8" s="269"/>
      <c r="K8" s="269"/>
      <c r="L8" s="269"/>
      <c r="M8" s="269"/>
      <c r="N8" s="58"/>
      <c r="O8" s="58"/>
      <c r="P8" s="269"/>
    </row>
    <row r="9" spans="1:16" ht="15.75">
      <c r="A9" s="810" t="s">
        <v>63</v>
      </c>
      <c r="B9" s="1113">
        <v>51419991</v>
      </c>
      <c r="C9" s="648">
        <v>2.47</v>
      </c>
      <c r="D9" s="698">
        <f t="shared" si="0"/>
        <v>1270073.7777000002</v>
      </c>
      <c r="E9" s="698"/>
      <c r="F9" s="1156"/>
      <c r="G9" s="99"/>
      <c r="H9" s="1183"/>
      <c r="I9" s="1183"/>
      <c r="J9" s="269"/>
      <c r="K9" s="269"/>
      <c r="L9" s="269"/>
      <c r="M9" s="269"/>
      <c r="N9" s="58"/>
      <c r="O9" s="58"/>
      <c r="P9" s="269"/>
    </row>
    <row r="10" spans="1:16" ht="15.75">
      <c r="A10" s="810" t="s">
        <v>64</v>
      </c>
      <c r="B10" s="1113">
        <v>105012961</v>
      </c>
      <c r="C10" s="648">
        <v>2.09</v>
      </c>
      <c r="D10" s="698">
        <f t="shared" si="0"/>
        <v>2194770.8849</v>
      </c>
      <c r="E10" s="698"/>
      <c r="F10" s="1156"/>
      <c r="G10" s="99"/>
      <c r="H10" s="269"/>
      <c r="I10" s="269"/>
      <c r="J10" s="269"/>
      <c r="K10" s="269"/>
      <c r="L10" s="269"/>
      <c r="M10" s="269"/>
      <c r="N10" s="58"/>
      <c r="O10" s="58"/>
      <c r="P10" s="269"/>
    </row>
    <row r="11" spans="1:16" ht="15.75">
      <c r="A11" s="810" t="s">
        <v>65</v>
      </c>
      <c r="B11" s="1113">
        <v>81773401</v>
      </c>
      <c r="C11" s="648">
        <v>1.82</v>
      </c>
      <c r="D11" s="698">
        <f t="shared" si="0"/>
        <v>1488275.8982</v>
      </c>
      <c r="E11" s="698"/>
      <c r="F11" s="1156"/>
      <c r="G11" s="99"/>
      <c r="H11" s="1189"/>
      <c r="I11" s="269"/>
      <c r="J11" s="269"/>
      <c r="K11" s="269"/>
      <c r="L11" s="269"/>
      <c r="M11" s="269"/>
      <c r="N11" s="58"/>
      <c r="O11" s="58"/>
      <c r="P11" s="269"/>
    </row>
    <row r="12" spans="1:16" ht="15.75">
      <c r="A12" s="810" t="s">
        <v>66</v>
      </c>
      <c r="B12" s="1113">
        <v>146905519</v>
      </c>
      <c r="C12" s="648">
        <v>1.88</v>
      </c>
      <c r="D12" s="698">
        <f t="shared" si="0"/>
        <v>2761823.7572</v>
      </c>
      <c r="E12" s="698"/>
      <c r="F12" s="1156"/>
      <c r="G12" s="99"/>
      <c r="H12" s="269"/>
      <c r="I12" s="269"/>
      <c r="J12" s="269"/>
      <c r="K12" s="269"/>
      <c r="L12" s="269"/>
      <c r="M12" s="269"/>
      <c r="N12" s="58"/>
      <c r="O12" s="58"/>
      <c r="P12" s="269"/>
    </row>
    <row r="13" spans="1:16" ht="15.75">
      <c r="A13" s="810" t="s">
        <v>67</v>
      </c>
      <c r="B13" s="1113">
        <v>9214849.13</v>
      </c>
      <c r="C13" s="648">
        <v>1.87</v>
      </c>
      <c r="D13" s="698">
        <f t="shared" si="0"/>
        <v>172317.67873100002</v>
      </c>
      <c r="E13" s="698"/>
      <c r="F13" s="1156"/>
      <c r="G13" s="269"/>
      <c r="H13" s="269"/>
      <c r="I13" s="269"/>
      <c r="J13" s="269"/>
      <c r="K13" s="269"/>
      <c r="L13" s="1188"/>
      <c r="M13" s="269"/>
      <c r="N13" s="58"/>
      <c r="O13" s="58"/>
      <c r="P13" s="269"/>
    </row>
    <row r="14" spans="1:16" ht="15.75">
      <c r="A14" s="696" t="s">
        <v>68</v>
      </c>
      <c r="B14" s="696">
        <f>SUM(B5:B13)</f>
        <v>884572764.13</v>
      </c>
      <c r="C14" s="648"/>
      <c r="D14" s="136">
        <f>SUM(D5:D13)</f>
        <v>23264733.705631</v>
      </c>
      <c r="E14" s="136"/>
      <c r="F14" s="269"/>
      <c r="G14" s="269"/>
      <c r="H14" s="269"/>
      <c r="I14" s="269"/>
      <c r="J14" s="269"/>
      <c r="K14" s="269"/>
      <c r="L14" s="1188"/>
      <c r="M14" s="269"/>
      <c r="N14" s="58"/>
      <c r="O14" s="58"/>
      <c r="P14" s="269"/>
    </row>
    <row r="15" spans="1:16" ht="15.75">
      <c r="A15" s="696"/>
      <c r="B15" s="696"/>
      <c r="C15" s="648"/>
      <c r="D15" s="810"/>
      <c r="E15" s="810"/>
      <c r="F15" s="502"/>
      <c r="G15" s="269"/>
      <c r="H15" s="269"/>
      <c r="I15" s="269"/>
      <c r="J15" s="269"/>
      <c r="K15" s="269"/>
      <c r="L15" s="1188"/>
      <c r="M15" s="269"/>
      <c r="N15" s="58"/>
      <c r="O15" s="58"/>
      <c r="P15" s="269"/>
    </row>
    <row r="16" spans="1:16" ht="15.75">
      <c r="A16" s="695" t="s">
        <v>71</v>
      </c>
      <c r="B16" s="696"/>
      <c r="C16" s="648"/>
      <c r="D16" s="810"/>
      <c r="E16" s="810"/>
      <c r="F16" s="269"/>
      <c r="G16" s="99"/>
      <c r="H16" s="269"/>
      <c r="I16" s="269"/>
      <c r="J16" s="269"/>
      <c r="K16" s="1205"/>
      <c r="L16" s="1206"/>
      <c r="M16" s="269"/>
      <c r="N16" s="58"/>
      <c r="O16" s="58"/>
      <c r="P16" s="269"/>
    </row>
    <row r="17" spans="1:16" ht="15.75">
      <c r="A17" s="1217" t="s">
        <v>72</v>
      </c>
      <c r="B17" s="1113">
        <v>129585892</v>
      </c>
      <c r="C17" s="648">
        <v>3.33</v>
      </c>
      <c r="D17" s="698">
        <f aca="true" t="shared" si="1" ref="D17:D26">+B17*C17/100</f>
        <v>4315210.203600001</v>
      </c>
      <c r="E17" s="698"/>
      <c r="F17" s="1156"/>
      <c r="G17" s="417"/>
      <c r="H17" s="2"/>
      <c r="I17" s="1188"/>
      <c r="J17" s="417"/>
      <c r="K17" s="417"/>
      <c r="L17" s="136"/>
      <c r="M17" s="269"/>
      <c r="N17" s="58"/>
      <c r="O17" s="58"/>
      <c r="P17" s="269"/>
    </row>
    <row r="18" spans="1:16" ht="15.75">
      <c r="A18" s="1217" t="s">
        <v>73</v>
      </c>
      <c r="B18" s="1113">
        <v>17641038</v>
      </c>
      <c r="C18" s="648">
        <v>20</v>
      </c>
      <c r="D18" s="698">
        <f t="shared" si="1"/>
        <v>3528207.6</v>
      </c>
      <c r="E18" s="698"/>
      <c r="F18" s="269"/>
      <c r="G18" s="269"/>
      <c r="H18" s="331"/>
      <c r="I18" s="269"/>
      <c r="J18" s="269"/>
      <c r="K18" s="269"/>
      <c r="L18" s="269"/>
      <c r="M18" s="269"/>
      <c r="N18" s="58"/>
      <c r="O18" s="58"/>
      <c r="P18" s="269"/>
    </row>
    <row r="19" spans="1:16" ht="15.75">
      <c r="A19" s="1217" t="s">
        <v>74</v>
      </c>
      <c r="B19" s="1113">
        <v>4925817</v>
      </c>
      <c r="C19" s="648">
        <v>5</v>
      </c>
      <c r="D19" s="698">
        <f t="shared" si="1"/>
        <v>246290.85</v>
      </c>
      <c r="E19" s="698"/>
      <c r="F19" s="269"/>
      <c r="G19" s="269"/>
      <c r="H19" s="1183"/>
      <c r="I19" s="1183"/>
      <c r="J19" s="1184"/>
      <c r="K19" s="269"/>
      <c r="L19" s="269"/>
      <c r="M19" s="269"/>
      <c r="N19" s="58"/>
      <c r="O19" s="58"/>
      <c r="P19" s="269"/>
    </row>
    <row r="20" spans="1:16" ht="15.75">
      <c r="A20" s="1217" t="s">
        <v>75</v>
      </c>
      <c r="B20" s="1113">
        <v>58847929</v>
      </c>
      <c r="C20" s="648">
        <v>9.1</v>
      </c>
      <c r="D20" s="698">
        <f t="shared" si="1"/>
        <v>5355161.539</v>
      </c>
      <c r="E20" s="698"/>
      <c r="F20" s="1156"/>
      <c r="G20" s="1020"/>
      <c r="H20" s="1188"/>
      <c r="I20" s="1188"/>
      <c r="J20" s="1183"/>
      <c r="K20" s="269"/>
      <c r="M20" s="269"/>
      <c r="N20" s="58"/>
      <c r="O20" s="58"/>
      <c r="P20" s="269"/>
    </row>
    <row r="21" spans="1:16" ht="15.75">
      <c r="A21" s="1217" t="s">
        <v>76</v>
      </c>
      <c r="B21" s="1113">
        <v>2182377</v>
      </c>
      <c r="C21" s="648">
        <v>3.33</v>
      </c>
      <c r="D21" s="698">
        <f t="shared" si="1"/>
        <v>72673.1541</v>
      </c>
      <c r="E21" s="698"/>
      <c r="F21" s="1156"/>
      <c r="G21" s="99"/>
      <c r="H21" s="1183"/>
      <c r="I21" s="1188"/>
      <c r="J21" s="269"/>
      <c r="K21" s="269"/>
      <c r="M21" s="269"/>
      <c r="N21" s="269"/>
      <c r="O21" s="269"/>
      <c r="P21" s="269"/>
    </row>
    <row r="22" spans="1:16" ht="15.75">
      <c r="A22" s="1217" t="s">
        <v>77</v>
      </c>
      <c r="B22" s="1113">
        <v>20964597</v>
      </c>
      <c r="C22" s="648">
        <v>4</v>
      </c>
      <c r="D22" s="698">
        <f t="shared" si="1"/>
        <v>838583.88</v>
      </c>
      <c r="E22" s="698"/>
      <c r="F22" s="1156"/>
      <c r="G22" s="99"/>
      <c r="H22" s="1188"/>
      <c r="I22" s="1183"/>
      <c r="J22" s="269"/>
      <c r="K22" s="269"/>
      <c r="M22" s="269"/>
      <c r="N22" s="269"/>
      <c r="O22" s="269"/>
      <c r="P22" s="269"/>
    </row>
    <row r="23" spans="1:16" ht="15.75">
      <c r="A23" s="1217" t="s">
        <v>78</v>
      </c>
      <c r="B23" s="1113">
        <v>2406553</v>
      </c>
      <c r="C23" s="648">
        <v>5</v>
      </c>
      <c r="D23" s="698">
        <f t="shared" si="1"/>
        <v>120327.65</v>
      </c>
      <c r="E23" s="698"/>
      <c r="F23" s="1156"/>
      <c r="G23" s="99"/>
      <c r="H23" s="1183"/>
      <c r="I23" s="1183"/>
      <c r="J23" s="269"/>
      <c r="K23" s="269"/>
      <c r="L23" s="269"/>
      <c r="M23" s="269"/>
      <c r="N23" s="269"/>
      <c r="O23" s="269"/>
      <c r="P23" s="269"/>
    </row>
    <row r="24" spans="1:16" ht="15.75">
      <c r="A24" s="1217" t="s">
        <v>79</v>
      </c>
      <c r="B24" s="1113">
        <v>3845685</v>
      </c>
      <c r="C24" s="648">
        <v>6.1</v>
      </c>
      <c r="D24" s="698">
        <f t="shared" si="1"/>
        <v>234586.785</v>
      </c>
      <c r="E24" s="698"/>
      <c r="F24" s="1156"/>
      <c r="G24" s="99"/>
      <c r="H24" s="269"/>
      <c r="I24" s="269"/>
      <c r="J24" s="269"/>
      <c r="K24" s="269"/>
      <c r="L24" s="269"/>
      <c r="M24" s="269"/>
      <c r="N24" s="269"/>
      <c r="O24" s="269"/>
      <c r="P24" s="269"/>
    </row>
    <row r="25" spans="1:16" ht="15.75">
      <c r="A25" s="1217" t="s">
        <v>80</v>
      </c>
      <c r="B25" s="1113">
        <v>81464908</v>
      </c>
      <c r="C25" s="648">
        <v>6.67</v>
      </c>
      <c r="D25" s="698">
        <f t="shared" si="1"/>
        <v>5433709.3636</v>
      </c>
      <c r="E25" s="698"/>
      <c r="F25" s="1156"/>
      <c r="G25" s="99"/>
      <c r="H25" s="1183"/>
      <c r="I25" s="1190"/>
      <c r="J25" s="269"/>
      <c r="K25" s="269"/>
      <c r="L25" s="269"/>
      <c r="M25" s="269"/>
      <c r="N25" s="269"/>
      <c r="O25" s="269"/>
      <c r="P25" s="269"/>
    </row>
    <row r="26" spans="1:16" ht="15.75">
      <c r="A26" s="1217" t="s">
        <v>81</v>
      </c>
      <c r="B26" s="1113">
        <v>370175.4</v>
      </c>
      <c r="C26" s="648">
        <v>5</v>
      </c>
      <c r="D26" s="698">
        <f t="shared" si="1"/>
        <v>18508.77</v>
      </c>
      <c r="E26" s="698"/>
      <c r="F26" s="1156"/>
      <c r="G26" s="99"/>
      <c r="H26" s="1183"/>
      <c r="I26" s="1190"/>
      <c r="J26" s="269"/>
      <c r="K26" s="269"/>
      <c r="L26" s="1188"/>
      <c r="M26" s="269"/>
      <c r="N26" s="269"/>
      <c r="O26" s="269"/>
      <c r="P26" s="269"/>
    </row>
    <row r="27" spans="1:16" ht="15.75">
      <c r="A27" s="695" t="s">
        <v>68</v>
      </c>
      <c r="B27" s="696">
        <f>SUM(B17:B26)</f>
        <v>322234971.4</v>
      </c>
      <c r="C27" s="696"/>
      <c r="D27" s="136">
        <f>SUM(D17:D26)</f>
        <v>20163259.795300003</v>
      </c>
      <c r="E27" s="136"/>
      <c r="F27" s="269"/>
      <c r="G27" s="269"/>
      <c r="H27" s="1183"/>
      <c r="I27" s="269"/>
      <c r="J27" s="1183"/>
      <c r="K27" s="269"/>
      <c r="L27" s="1188"/>
      <c r="M27" s="269"/>
      <c r="N27" s="269"/>
      <c r="O27" s="269"/>
      <c r="P27" s="269"/>
    </row>
    <row r="28" spans="1:16" ht="15.75">
      <c r="A28" s="696"/>
      <c r="B28" s="696"/>
      <c r="C28" s="696"/>
      <c r="D28" s="696"/>
      <c r="E28" s="696"/>
      <c r="F28" s="269"/>
      <c r="G28" s="269"/>
      <c r="H28" s="1188"/>
      <c r="I28" s="1183"/>
      <c r="J28" s="269"/>
      <c r="K28" s="269"/>
      <c r="L28" s="1188"/>
      <c r="M28" s="269"/>
      <c r="N28" s="269"/>
      <c r="O28" s="269"/>
      <c r="P28" s="269"/>
    </row>
    <row r="29" spans="1:16" ht="15.75">
      <c r="A29" s="696"/>
      <c r="B29" s="696"/>
      <c r="C29" s="696"/>
      <c r="D29" s="696"/>
      <c r="E29" s="696"/>
      <c r="F29" s="269"/>
      <c r="G29" s="269"/>
      <c r="H29" s="1183"/>
      <c r="I29" s="1183"/>
      <c r="J29" s="269"/>
      <c r="K29" s="1205"/>
      <c r="L29" s="1207"/>
      <c r="M29" s="269"/>
      <c r="N29" s="269"/>
      <c r="O29" s="269"/>
      <c r="P29" s="269"/>
    </row>
    <row r="30" spans="1:16" ht="15.75">
      <c r="A30" s="696"/>
      <c r="B30" s="696"/>
      <c r="C30" s="1112"/>
      <c r="D30" s="696"/>
      <c r="E30" s="696"/>
      <c r="F30" s="269"/>
      <c r="G30" s="269"/>
      <c r="H30" s="269"/>
      <c r="I30" s="269"/>
      <c r="J30" s="269"/>
      <c r="K30" s="269"/>
      <c r="L30" s="269"/>
      <c r="M30" s="269"/>
      <c r="N30" s="269"/>
      <c r="O30" s="269"/>
      <c r="P30" s="269"/>
    </row>
    <row r="31" spans="1:16" ht="15.75">
      <c r="A31" s="701"/>
      <c r="B31" s="2"/>
      <c r="C31" s="2"/>
      <c r="D31" s="2"/>
      <c r="E31" s="2"/>
      <c r="F31" s="269"/>
      <c r="G31" s="269"/>
      <c r="H31" s="269"/>
      <c r="I31" s="269"/>
      <c r="J31" s="269"/>
      <c r="K31" s="269"/>
      <c r="L31" s="269"/>
      <c r="M31" s="269"/>
      <c r="N31" s="269"/>
      <c r="O31" s="269"/>
      <c r="P31" s="269"/>
    </row>
    <row r="32" spans="1:16" ht="15.75">
      <c r="A32" s="702"/>
      <c r="B32" s="2"/>
      <c r="C32" s="2"/>
      <c r="D32" s="2"/>
      <c r="E32" s="2"/>
      <c r="F32" s="331"/>
      <c r="G32" s="269"/>
      <c r="H32" s="269"/>
      <c r="I32" s="269"/>
      <c r="J32" s="269"/>
      <c r="K32" s="269"/>
      <c r="L32" s="269"/>
      <c r="M32" s="269"/>
      <c r="N32" s="269"/>
      <c r="O32" s="269"/>
      <c r="P32" s="269"/>
    </row>
    <row r="33" spans="1:16" ht="15.75">
      <c r="A33" s="701"/>
      <c r="B33" s="2"/>
      <c r="C33" s="2"/>
      <c r="D33" s="2"/>
      <c r="E33" s="2"/>
      <c r="F33" s="269"/>
      <c r="G33" s="269"/>
      <c r="H33" s="269"/>
      <c r="I33" s="269"/>
      <c r="J33" s="269"/>
      <c r="K33" s="269"/>
      <c r="L33" s="269"/>
      <c r="M33" s="269"/>
      <c r="N33" s="269"/>
      <c r="O33" s="269"/>
      <c r="P33" s="269"/>
    </row>
    <row r="34" spans="2:16" ht="15.75">
      <c r="B34" s="696"/>
      <c r="F34" s="269"/>
      <c r="G34" s="269"/>
      <c r="H34" s="269"/>
      <c r="I34" s="269"/>
      <c r="J34" s="269"/>
      <c r="K34" s="269"/>
      <c r="L34" s="269"/>
      <c r="M34" s="269"/>
      <c r="N34" s="269"/>
      <c r="O34" s="269"/>
      <c r="P34" s="269"/>
    </row>
    <row r="35" spans="2:16" ht="15.75">
      <c r="B35" s="696"/>
      <c r="F35" s="269"/>
      <c r="G35" s="269"/>
      <c r="H35" s="269"/>
      <c r="I35" s="269"/>
      <c r="J35" s="269"/>
      <c r="K35" s="269"/>
      <c r="L35" s="269"/>
      <c r="M35" s="269"/>
      <c r="N35" s="269"/>
      <c r="O35" s="269"/>
      <c r="P35" s="269"/>
    </row>
    <row r="36" spans="6:16" ht="12.75">
      <c r="F36" s="269"/>
      <c r="G36" s="269"/>
      <c r="H36" s="269"/>
      <c r="I36" s="269"/>
      <c r="J36" s="269"/>
      <c r="K36" s="269"/>
      <c r="L36" s="269"/>
      <c r="M36" s="269"/>
      <c r="N36" s="269"/>
      <c r="O36" s="269"/>
      <c r="P36" s="269"/>
    </row>
    <row r="37" spans="1:16" ht="15">
      <c r="A37" s="202"/>
      <c r="B37" s="2"/>
      <c r="C37" s="698"/>
      <c r="D37" s="698"/>
      <c r="F37" s="269"/>
      <c r="G37" s="269"/>
      <c r="H37" s="269"/>
      <c r="I37" s="269"/>
      <c r="J37" s="269"/>
      <c r="K37" s="269"/>
      <c r="L37" s="269"/>
      <c r="M37" s="269"/>
      <c r="N37" s="269"/>
      <c r="O37" s="269"/>
      <c r="P37" s="269"/>
    </row>
    <row r="38" spans="1:16" ht="15">
      <c r="A38" s="202"/>
      <c r="B38" s="2"/>
      <c r="C38" s="698"/>
      <c r="D38" s="300"/>
      <c r="F38" s="269"/>
      <c r="G38" s="269"/>
      <c r="H38" s="269"/>
      <c r="I38" s="269"/>
      <c r="J38" s="269"/>
      <c r="K38" s="269"/>
      <c r="L38" s="269"/>
      <c r="M38" s="269"/>
      <c r="N38" s="269"/>
      <c r="O38" s="269"/>
      <c r="P38" s="269"/>
    </row>
    <row r="39" spans="1:16" ht="15.75">
      <c r="A39" s="701"/>
      <c r="B39" s="1191"/>
      <c r="C39" s="648"/>
      <c r="D39" s="1192"/>
      <c r="E39" s="698"/>
      <c r="F39" s="1156"/>
      <c r="G39" s="99"/>
      <c r="H39" s="269"/>
      <c r="I39" s="269"/>
      <c r="J39" s="269"/>
      <c r="K39" s="269"/>
      <c r="L39" s="269"/>
      <c r="M39" s="269"/>
      <c r="N39" s="269"/>
      <c r="O39" s="269"/>
      <c r="P39" s="269"/>
    </row>
    <row r="40" spans="6:16" ht="12.75">
      <c r="F40" s="269"/>
      <c r="G40" s="269"/>
      <c r="H40" s="269"/>
      <c r="I40" s="269"/>
      <c r="J40" s="269"/>
      <c r="K40" s="269"/>
      <c r="L40" s="269"/>
      <c r="M40" s="269"/>
      <c r="N40" s="269"/>
      <c r="O40" s="269"/>
      <c r="P40" s="269"/>
    </row>
    <row r="41" spans="6:16" ht="12.75">
      <c r="F41" s="269"/>
      <c r="G41" s="269"/>
      <c r="H41" s="269"/>
      <c r="I41" s="269"/>
      <c r="J41" s="269"/>
      <c r="K41" s="269"/>
      <c r="L41" s="269"/>
      <c r="M41" s="269"/>
      <c r="N41" s="269"/>
      <c r="O41" s="269"/>
      <c r="P41" s="269"/>
    </row>
    <row r="42" spans="6:16" ht="12.75">
      <c r="F42" s="269"/>
      <c r="G42" s="269"/>
      <c r="H42" s="269"/>
      <c r="I42" s="269"/>
      <c r="J42" s="269"/>
      <c r="K42" s="269"/>
      <c r="L42" s="269"/>
      <c r="M42" s="269"/>
      <c r="N42" s="269"/>
      <c r="O42" s="269"/>
      <c r="P42" s="269"/>
    </row>
    <row r="43" spans="6:16" ht="12.75">
      <c r="F43" s="269"/>
      <c r="G43" s="269"/>
      <c r="H43" s="269"/>
      <c r="I43" s="269"/>
      <c r="J43" s="269"/>
      <c r="K43" s="269"/>
      <c r="L43" s="269"/>
      <c r="M43" s="269"/>
      <c r="N43" s="269"/>
      <c r="O43" s="269"/>
      <c r="P43" s="269"/>
    </row>
    <row r="44" spans="6:16" ht="12.75">
      <c r="F44" s="269"/>
      <c r="G44" s="269"/>
      <c r="H44" s="269"/>
      <c r="I44" s="269"/>
      <c r="J44" s="269"/>
      <c r="K44" s="269"/>
      <c r="L44" s="269"/>
      <c r="M44" s="269"/>
      <c r="N44" s="269"/>
      <c r="O44" s="269"/>
      <c r="P44" s="269"/>
    </row>
    <row r="45" spans="6:16" ht="12.75">
      <c r="F45" s="269"/>
      <c r="G45" s="269"/>
      <c r="H45" s="269"/>
      <c r="I45" s="269"/>
      <c r="J45" s="269"/>
      <c r="K45" s="269"/>
      <c r="L45" s="269"/>
      <c r="M45" s="269"/>
      <c r="N45" s="269"/>
      <c r="O45" s="269"/>
      <c r="P45" s="269"/>
    </row>
    <row r="46" spans="6:16" ht="12.75">
      <c r="F46" s="269"/>
      <c r="G46" s="269"/>
      <c r="H46" s="269"/>
      <c r="I46" s="269"/>
      <c r="J46" s="269"/>
      <c r="K46" s="269"/>
      <c r="L46" s="269"/>
      <c r="M46" s="269"/>
      <c r="N46" s="269"/>
      <c r="O46" s="269"/>
      <c r="P46" s="269"/>
    </row>
    <row r="47" spans="6:16" ht="12.75">
      <c r="F47" s="269"/>
      <c r="G47" s="269"/>
      <c r="H47" s="269"/>
      <c r="I47" s="269"/>
      <c r="J47" s="269"/>
      <c r="K47" s="269"/>
      <c r="L47" s="269"/>
      <c r="M47" s="269"/>
      <c r="N47" s="269"/>
      <c r="O47" s="269"/>
      <c r="P47" s="269"/>
    </row>
    <row r="48" spans="6:16" ht="12.75">
      <c r="F48" s="269"/>
      <c r="G48" s="269"/>
      <c r="H48" s="269"/>
      <c r="I48" s="269"/>
      <c r="J48" s="269"/>
      <c r="K48" s="269"/>
      <c r="L48" s="269"/>
      <c r="M48" s="269"/>
      <c r="N48" s="269"/>
      <c r="O48" s="269"/>
      <c r="P48" s="269"/>
    </row>
    <row r="49" spans="6:16" ht="12.75">
      <c r="F49" s="269"/>
      <c r="G49" s="269"/>
      <c r="H49" s="269"/>
      <c r="I49" s="269"/>
      <c r="J49" s="269"/>
      <c r="K49" s="269"/>
      <c r="L49" s="269"/>
      <c r="M49" s="269"/>
      <c r="N49" s="269"/>
      <c r="O49" s="269"/>
      <c r="P49" s="269"/>
    </row>
    <row r="280" spans="3:8" ht="15.75">
      <c r="C280" s="649"/>
      <c r="D280" s="649"/>
      <c r="E280" s="649"/>
      <c r="F280" s="649"/>
      <c r="G280" s="649"/>
      <c r="H280" s="649"/>
    </row>
    <row r="281" spans="3:8" ht="99.75" customHeight="1">
      <c r="C281" s="649"/>
      <c r="D281" s="649"/>
      <c r="E281" s="649"/>
      <c r="F281" s="649"/>
      <c r="G281" s="649"/>
      <c r="H281" s="649"/>
    </row>
    <row r="282" spans="3:8" ht="15.75">
      <c r="C282" s="649"/>
      <c r="D282" s="649"/>
      <c r="E282" s="649"/>
      <c r="F282" s="649"/>
      <c r="G282" s="649"/>
      <c r="H282" s="649"/>
    </row>
    <row r="283" spans="3:8" ht="15.75">
      <c r="C283" s="649"/>
      <c r="D283" s="649"/>
      <c r="E283" s="649"/>
      <c r="F283" s="649"/>
      <c r="G283" s="649"/>
      <c r="H283" s="649"/>
    </row>
    <row r="284" spans="3:8" ht="15.75">
      <c r="C284" s="649"/>
      <c r="D284" s="649"/>
      <c r="E284" s="649"/>
      <c r="F284" s="649"/>
      <c r="G284" s="649"/>
      <c r="H284" s="649"/>
    </row>
    <row r="285" spans="3:8" ht="15.75">
      <c r="C285" s="649"/>
      <c r="D285" s="649"/>
      <c r="E285" s="649"/>
      <c r="F285" s="649"/>
      <c r="G285" s="649"/>
      <c r="H285" s="649"/>
    </row>
    <row r="286" spans="3:8" ht="15.75">
      <c r="C286" s="649"/>
      <c r="D286" s="649"/>
      <c r="E286" s="649"/>
      <c r="F286" s="649"/>
      <c r="G286" s="649"/>
      <c r="H286" s="649"/>
    </row>
    <row r="287" spans="3:8" ht="15.75">
      <c r="C287" s="649"/>
      <c r="D287" s="649"/>
      <c r="E287" s="649"/>
      <c r="F287" s="649"/>
      <c r="G287" s="649"/>
      <c r="H287" s="649"/>
    </row>
    <row r="288" spans="3:8" ht="15.75">
      <c r="C288" s="649"/>
      <c r="D288" s="649"/>
      <c r="E288" s="649"/>
      <c r="F288" s="649"/>
      <c r="G288" s="649"/>
      <c r="H288" s="649"/>
    </row>
    <row r="289" spans="3:8" ht="15.75">
      <c r="C289" s="649"/>
      <c r="D289" s="649"/>
      <c r="E289" s="649"/>
      <c r="F289" s="649"/>
      <c r="G289" s="649"/>
      <c r="H289" s="649"/>
    </row>
    <row r="290" spans="3:8" ht="15.75">
      <c r="C290" s="649"/>
      <c r="D290" s="649"/>
      <c r="E290" s="649"/>
      <c r="F290" s="649"/>
      <c r="G290" s="649"/>
      <c r="H290" s="649"/>
    </row>
    <row r="291" spans="3:8" ht="15.75">
      <c r="C291" s="649"/>
      <c r="D291" s="649"/>
      <c r="E291" s="649"/>
      <c r="F291" s="649"/>
      <c r="G291" s="649"/>
      <c r="H291" s="649"/>
    </row>
    <row r="292" spans="3:8" ht="15.75">
      <c r="C292" s="649"/>
      <c r="D292" s="649"/>
      <c r="E292" s="649"/>
      <c r="F292" s="649"/>
      <c r="G292" s="649"/>
      <c r="H292" s="649"/>
    </row>
    <row r="293" spans="3:8" ht="15.75">
      <c r="C293" s="649"/>
      <c r="D293" s="649"/>
      <c r="E293" s="649"/>
      <c r="F293" s="649"/>
      <c r="G293" s="649"/>
      <c r="H293" s="649"/>
    </row>
    <row r="294" spans="3:8" ht="15.75">
      <c r="C294" s="649"/>
      <c r="D294" s="649"/>
      <c r="E294" s="649"/>
      <c r="F294" s="649"/>
      <c r="G294" s="649"/>
      <c r="H294" s="649"/>
    </row>
    <row r="295" spans="3:8" ht="15.75">
      <c r="C295" s="649"/>
      <c r="D295" s="649"/>
      <c r="E295" s="649"/>
      <c r="F295" s="649"/>
      <c r="G295" s="649"/>
      <c r="H295" s="649"/>
    </row>
    <row r="296" spans="3:8" ht="15.75">
      <c r="C296" s="649"/>
      <c r="D296" s="649"/>
      <c r="E296" s="649"/>
      <c r="F296" s="649"/>
      <c r="G296" s="649"/>
      <c r="H296" s="649"/>
    </row>
    <row r="297" spans="3:8" ht="15.75">
      <c r="C297" s="649"/>
      <c r="D297" s="649"/>
      <c r="E297" s="649"/>
      <c r="F297" s="649"/>
      <c r="G297" s="649"/>
      <c r="H297" s="649"/>
    </row>
    <row r="298" spans="3:8" ht="15.75">
      <c r="C298" s="649"/>
      <c r="D298" s="649"/>
      <c r="E298" s="649"/>
      <c r="F298" s="649"/>
      <c r="G298" s="649"/>
      <c r="H298" s="649"/>
    </row>
    <row r="299" spans="3:8" ht="15.75">
      <c r="C299" s="649"/>
      <c r="D299" s="649"/>
      <c r="E299" s="649"/>
      <c r="F299" s="649"/>
      <c r="G299" s="649"/>
      <c r="H299" s="649"/>
    </row>
    <row r="300" spans="3:8" ht="15.75">
      <c r="C300" s="649"/>
      <c r="D300" s="649"/>
      <c r="E300" s="649"/>
      <c r="F300" s="649"/>
      <c r="G300" s="649"/>
      <c r="H300" s="649"/>
    </row>
    <row r="301" spans="3:8" ht="15.75">
      <c r="C301" s="649"/>
      <c r="D301" s="649"/>
      <c r="E301" s="649"/>
      <c r="F301" s="649"/>
      <c r="G301" s="649"/>
      <c r="H301" s="649"/>
    </row>
    <row r="302" spans="3:8" ht="40.5" customHeight="1">
      <c r="C302" s="649"/>
      <c r="D302" s="649"/>
      <c r="E302" s="649"/>
      <c r="F302" s="649"/>
      <c r="G302" s="649"/>
      <c r="H302" s="649"/>
    </row>
    <row r="303" spans="3:8" ht="15.75">
      <c r="C303" s="649"/>
      <c r="D303" s="649"/>
      <c r="E303" s="649"/>
      <c r="F303" s="649"/>
      <c r="G303" s="649"/>
      <c r="H303" s="649"/>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306"/>
  <sheetViews>
    <sheetView tabSelected="1" zoomScale="60" zoomScaleNormal="60" workbookViewId="0" topLeftCell="A235">
      <selection activeCell="G205" sqref="G205"/>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4" thickBot="1">
      <c r="A1" s="912" t="str">
        <f>IF(I1=1,"Formula Rate - Appendix A True-Up","Formula Rate - Appendix A Estimate")</f>
        <v>Formula Rate - Appendix A True-Up</v>
      </c>
      <c r="B1" s="575"/>
      <c r="C1" s="576"/>
      <c r="D1" s="577" t="s">
        <v>513</v>
      </c>
      <c r="E1" s="578" t="s">
        <v>600</v>
      </c>
      <c r="F1" s="272"/>
      <c r="G1" s="1165">
        <v>2017</v>
      </c>
      <c r="I1" s="921">
        <v>1</v>
      </c>
      <c r="J1" s="221" t="s">
        <v>270</v>
      </c>
    </row>
    <row r="2" spans="1:10" s="221" customFormat="1" ht="15.75">
      <c r="A2" s="579" t="s">
        <v>5</v>
      </c>
      <c r="B2" s="217"/>
      <c r="C2" s="218"/>
      <c r="D2" s="148"/>
      <c r="E2" s="219"/>
      <c r="F2" s="131"/>
      <c r="G2" s="220"/>
      <c r="J2" s="67" t="s">
        <v>269</v>
      </c>
    </row>
    <row r="3" spans="1:7" s="53" customFormat="1" ht="15.75">
      <c r="A3" s="83" t="s">
        <v>397</v>
      </c>
      <c r="B3" s="82"/>
      <c r="C3" s="108"/>
      <c r="D3" s="149"/>
      <c r="E3" s="109"/>
      <c r="F3" s="109"/>
      <c r="G3" s="117"/>
    </row>
    <row r="4" spans="1:11" s="53" customFormat="1" ht="15.75">
      <c r="A4" s="91"/>
      <c r="B4" s="74"/>
      <c r="C4" s="74"/>
      <c r="E4" s="795"/>
      <c r="F4" s="99"/>
      <c r="G4" s="107"/>
      <c r="K4" s="996"/>
    </row>
    <row r="5" spans="1:7" ht="15.75">
      <c r="A5" s="44"/>
      <c r="B5" s="21"/>
      <c r="D5" s="18"/>
      <c r="E5" s="5"/>
      <c r="F5" s="5"/>
      <c r="G5" s="5"/>
    </row>
    <row r="6" spans="1:11" ht="15">
      <c r="A6" s="28">
        <v>1</v>
      </c>
      <c r="B6" s="28"/>
      <c r="C6" s="99" t="s">
        <v>322</v>
      </c>
      <c r="D6" s="86"/>
      <c r="E6" s="9" t="s">
        <v>463</v>
      </c>
      <c r="F6" s="29"/>
      <c r="G6" s="1129">
        <v>8123003</v>
      </c>
      <c r="H6" s="53"/>
      <c r="J6" s="1208"/>
      <c r="K6" s="53"/>
    </row>
    <row r="7" spans="1:11" ht="15">
      <c r="A7" s="84"/>
      <c r="E7" s="9"/>
      <c r="G7" s="136"/>
      <c r="H7" s="53"/>
      <c r="I7" s="53"/>
      <c r="J7" s="53"/>
      <c r="K7" s="53"/>
    </row>
    <row r="8" spans="1:11" ht="15">
      <c r="A8" s="28">
        <f>+A6+1</f>
        <v>2</v>
      </c>
      <c r="B8" s="28"/>
      <c r="C8" s="99" t="s">
        <v>323</v>
      </c>
      <c r="D8" s="150"/>
      <c r="E8" s="9" t="s">
        <v>464</v>
      </c>
      <c r="F8" s="29"/>
      <c r="G8" s="1129">
        <v>78017149</v>
      </c>
      <c r="H8" s="53"/>
      <c r="I8" s="53"/>
      <c r="J8" s="1208"/>
      <c r="K8" s="53"/>
    </row>
    <row r="9" spans="1:11" ht="15">
      <c r="A9" s="28">
        <f>+A8+1</f>
        <v>3</v>
      </c>
      <c r="B9" s="28"/>
      <c r="C9" s="99" t="s">
        <v>398</v>
      </c>
      <c r="E9" s="9" t="s">
        <v>706</v>
      </c>
      <c r="F9" s="29"/>
      <c r="G9" s="1129">
        <v>33981235</v>
      </c>
      <c r="H9" s="53"/>
      <c r="I9" s="53"/>
      <c r="J9" s="1208"/>
      <c r="K9" s="53"/>
    </row>
    <row r="10" spans="1:11" ht="15">
      <c r="A10" s="28">
        <f>+A9+1</f>
        <v>4</v>
      </c>
      <c r="B10" s="28"/>
      <c r="C10" s="1093" t="s">
        <v>458</v>
      </c>
      <c r="D10" s="151"/>
      <c r="E10" s="32" t="str">
        <f>"(Line "&amp;A8&amp;" - "&amp;A9&amp;")"</f>
        <v>(Line 2 - 3)</v>
      </c>
      <c r="F10" s="57"/>
      <c r="G10" s="873">
        <f>+G8-G9</f>
        <v>44035914</v>
      </c>
      <c r="I10" s="53"/>
      <c r="J10" s="53"/>
      <c r="K10" s="53"/>
    </row>
    <row r="11" spans="1:11" ht="15">
      <c r="A11" s="28"/>
      <c r="B11" s="28"/>
      <c r="C11" s="1094"/>
      <c r="D11" s="18"/>
      <c r="E11" s="29"/>
      <c r="F11" s="29"/>
      <c r="G11" s="874"/>
      <c r="I11" s="53"/>
      <c r="J11" s="53"/>
      <c r="K11" s="53"/>
    </row>
    <row r="12" spans="1:11" ht="16.5" thickBot="1">
      <c r="A12" s="28">
        <v>5</v>
      </c>
      <c r="B12" s="39"/>
      <c r="C12" s="39"/>
      <c r="D12" s="152"/>
      <c r="E12" s="40" t="str">
        <f>"(Line "&amp;A6&amp;" /  Line "&amp;A10&amp;")"</f>
        <v>(Line 1 /  Line 4)</v>
      </c>
      <c r="F12" s="110"/>
      <c r="G12" s="100">
        <f>IF(G10=0,0,G6/G10)</f>
        <v>0.18446314069920292</v>
      </c>
      <c r="I12" s="53"/>
      <c r="J12" s="53"/>
      <c r="K12" s="53"/>
    </row>
    <row r="13" spans="1:11" ht="16.5" thickTop="1">
      <c r="A13" s="28"/>
      <c r="B13" s="28"/>
      <c r="C13" s="21"/>
      <c r="D13" s="25"/>
      <c r="E13" s="29"/>
      <c r="F13" s="29"/>
      <c r="G13" s="37"/>
      <c r="I13" s="53"/>
      <c r="J13" s="53"/>
      <c r="K13" s="53"/>
    </row>
    <row r="14" spans="1:11" ht="15.75">
      <c r="A14" s="84"/>
      <c r="B14" s="21" t="s">
        <v>447</v>
      </c>
      <c r="C14" s="60"/>
      <c r="D14" s="150"/>
      <c r="E14" s="76"/>
      <c r="F14" s="76"/>
      <c r="G14" s="76"/>
      <c r="I14" s="53"/>
      <c r="J14" s="53"/>
      <c r="K14" s="53"/>
    </row>
    <row r="15" spans="1:11" ht="15.75">
      <c r="A15" s="71">
        <f>+A12+1</f>
        <v>6</v>
      </c>
      <c r="B15" s="47"/>
      <c r="C15" s="99" t="s">
        <v>402</v>
      </c>
      <c r="D15" s="176" t="str">
        <f>"(Note "&amp;B$280&amp;")"</f>
        <v>(Note B)</v>
      </c>
      <c r="E15" s="58" t="s">
        <v>8</v>
      </c>
      <c r="F15" s="76"/>
      <c r="G15" s="875">
        <f>IF(I1=1,'5 - Cost Support 1'!F66,+'5 - Cost Support 1'!G66)</f>
        <v>4006467890.558462</v>
      </c>
      <c r="H15" s="67"/>
      <c r="I15" s="221"/>
      <c r="J15" s="53"/>
      <c r="K15" s="53"/>
    </row>
    <row r="16" spans="1:11" ht="15.75">
      <c r="A16" s="71">
        <f>+A15+1</f>
        <v>7</v>
      </c>
      <c r="C16" s="99" t="s">
        <v>401</v>
      </c>
      <c r="D16" s="182" t="str">
        <f>"(Note "&amp;B$279&amp;")"</f>
        <v>(Note A)</v>
      </c>
      <c r="E16" s="58" t="s">
        <v>8</v>
      </c>
      <c r="F16" s="76"/>
      <c r="G16" s="875">
        <f>IF(I1=1,'5 - Cost Support 1'!F134,+'5 - Cost Support 1'!G134)</f>
        <v>1261789797.153077</v>
      </c>
      <c r="H16" s="53"/>
      <c r="I16" s="221"/>
      <c r="J16" s="53"/>
      <c r="K16" s="53"/>
    </row>
    <row r="17" spans="1:11" ht="15">
      <c r="A17" s="28">
        <f>+A16+1</f>
        <v>8</v>
      </c>
      <c r="B17" s="47"/>
      <c r="C17" s="55" t="s">
        <v>443</v>
      </c>
      <c r="D17" s="154"/>
      <c r="E17" s="32" t="str">
        <f>"(Line "&amp;A15&amp;" - Line "&amp;A16&amp;")"</f>
        <v>(Line 6 - Line 7)</v>
      </c>
      <c r="F17" s="55"/>
      <c r="G17" s="873">
        <f>+G15-G16</f>
        <v>2744678093.405385</v>
      </c>
      <c r="I17" s="53"/>
      <c r="J17" s="53"/>
      <c r="K17" s="53"/>
    </row>
    <row r="18" spans="1:11" ht="15.75">
      <c r="A18" s="84"/>
      <c r="B18" s="47"/>
      <c r="C18" s="47"/>
      <c r="G18" s="136"/>
      <c r="I18" s="191"/>
      <c r="J18" s="53"/>
      <c r="K18" s="53"/>
    </row>
    <row r="19" spans="1:11" ht="15.75">
      <c r="A19" s="71">
        <f>+A17+1</f>
        <v>9</v>
      </c>
      <c r="B19" s="47"/>
      <c r="C19" s="47" t="s">
        <v>399</v>
      </c>
      <c r="E19" s="102" t="str">
        <f>"(Line "&amp;A38&amp;")"</f>
        <v>(Line 21)</v>
      </c>
      <c r="G19" s="136">
        <f>+G38</f>
        <v>994719852.3335289</v>
      </c>
      <c r="H19" s="53"/>
      <c r="I19" s="191"/>
      <c r="J19" s="53"/>
      <c r="K19" s="53"/>
    </row>
    <row r="20" spans="1:11" ht="16.5" thickBot="1">
      <c r="A20" s="28">
        <f>+A19+1</f>
        <v>10</v>
      </c>
      <c r="B20" s="43" t="s">
        <v>310</v>
      </c>
      <c r="C20" s="43"/>
      <c r="D20" s="155"/>
      <c r="E20" s="40" t="str">
        <f>"(Line "&amp;A19&amp;" / Line "&amp;A15&amp;")"</f>
        <v>(Line 9 / Line 6)</v>
      </c>
      <c r="F20" s="101"/>
      <c r="G20" s="100">
        <f>IF(G15=0,0,G19/(G15))</f>
        <v>0.24827850353615957</v>
      </c>
      <c r="H20" s="53"/>
      <c r="I20" s="191"/>
      <c r="J20" s="53"/>
      <c r="K20" s="53"/>
    </row>
    <row r="21" spans="1:11" ht="15.75" thickTop="1">
      <c r="A21" s="84"/>
      <c r="H21" s="53"/>
      <c r="I21" s="53"/>
      <c r="J21" s="53"/>
      <c r="K21" s="53"/>
    </row>
    <row r="22" spans="1:11" s="33" customFormat="1" ht="15">
      <c r="A22" s="71">
        <f>+A20+1</f>
        <v>11</v>
      </c>
      <c r="B22" s="28"/>
      <c r="C22" s="1095" t="s">
        <v>400</v>
      </c>
      <c r="E22" s="102" t="str">
        <f>"(Line "&amp;A56&amp;")"</f>
        <v>(Line 33)</v>
      </c>
      <c r="F22" s="8"/>
      <c r="G22" s="136">
        <f>+G56</f>
        <v>722637120.8188555</v>
      </c>
      <c r="H22" s="648"/>
      <c r="I22" s="648"/>
      <c r="J22" s="648"/>
      <c r="K22" s="648"/>
    </row>
    <row r="23" spans="1:11" ht="16.5" thickBot="1">
      <c r="A23" s="28">
        <f>+A22+1</f>
        <v>12</v>
      </c>
      <c r="B23" s="43" t="s">
        <v>444</v>
      </c>
      <c r="C23" s="43"/>
      <c r="D23" s="155"/>
      <c r="E23" s="40" t="str">
        <f>"(Line "&amp;A22&amp;" / Line "&amp;A17&amp;")"</f>
        <v>(Line 11 / Line 8)</v>
      </c>
      <c r="F23" s="101"/>
      <c r="G23" s="100">
        <f>IF(G17=0,0,G22/G17)</f>
        <v>0.2632866573880302</v>
      </c>
      <c r="I23" s="53"/>
      <c r="J23" s="53"/>
      <c r="K23" s="53"/>
    </row>
    <row r="24" spans="1:11" ht="16.5" thickTop="1">
      <c r="A24" s="49"/>
      <c r="B24" s="28"/>
      <c r="C24" s="21"/>
      <c r="D24" s="25"/>
      <c r="E24" s="29"/>
      <c r="F24" s="29"/>
      <c r="G24" s="37"/>
      <c r="I24" s="53"/>
      <c r="J24" s="53"/>
      <c r="K24" s="53"/>
    </row>
    <row r="25" spans="1:7" s="53" customFormat="1" ht="15.75">
      <c r="A25" s="83" t="s">
        <v>442</v>
      </c>
      <c r="B25" s="82"/>
      <c r="C25" s="108"/>
      <c r="D25" s="149"/>
      <c r="E25" s="109"/>
      <c r="F25" s="109"/>
      <c r="G25" s="117"/>
    </row>
    <row r="26" spans="1:7" s="53" customFormat="1" ht="15.75">
      <c r="A26" s="111"/>
      <c r="B26" s="112">
        <v>0</v>
      </c>
      <c r="C26" s="74"/>
      <c r="D26" s="148"/>
      <c r="E26" s="99"/>
      <c r="F26" s="99"/>
      <c r="G26" s="107"/>
    </row>
    <row r="27" spans="1:11" ht="15.75">
      <c r="A27" s="84"/>
      <c r="B27" s="21" t="s">
        <v>407</v>
      </c>
      <c r="D27" s="644"/>
      <c r="E27" s="9"/>
      <c r="F27" s="44"/>
      <c r="G27" s="874"/>
      <c r="I27" s="53"/>
      <c r="J27" s="53"/>
      <c r="K27" s="53"/>
    </row>
    <row r="28" spans="1:11" ht="15">
      <c r="A28" s="71">
        <f>+A23+1</f>
        <v>13</v>
      </c>
      <c r="B28" s="28"/>
      <c r="C28" s="1094" t="s">
        <v>439</v>
      </c>
      <c r="D28" s="176" t="str">
        <f>"(Note "&amp;B$280&amp;")"</f>
        <v>(Note B)</v>
      </c>
      <c r="E28" s="9" t="s">
        <v>8</v>
      </c>
      <c r="F28" s="29"/>
      <c r="G28" s="876">
        <f>IF(I1=1,'5 - Cost Support 1'!F17,+'5 - Cost Support 1'!G17)</f>
        <v>888526684.8578815</v>
      </c>
      <c r="I28" s="53"/>
      <c r="J28" s="53"/>
      <c r="K28" s="53"/>
    </row>
    <row r="29" spans="1:11" ht="15.75">
      <c r="A29" s="71">
        <f>+A28+1</f>
        <v>14</v>
      </c>
      <c r="B29" s="71"/>
      <c r="C29" s="1096" t="s">
        <v>375</v>
      </c>
      <c r="D29" s="182" t="str">
        <f>"(Note "&amp;B$280&amp;")"</f>
        <v>(Note B)</v>
      </c>
      <c r="E29" s="88" t="s">
        <v>113</v>
      </c>
      <c r="F29" s="175"/>
      <c r="G29" s="877">
        <f>IF(I1=1,0,'6- Est &amp; Reconcile WS'!I196)</f>
        <v>0</v>
      </c>
      <c r="I29" s="1218"/>
      <c r="J29" s="53"/>
      <c r="K29" s="53"/>
    </row>
    <row r="30" spans="1:11" ht="15.75">
      <c r="A30" s="71">
        <f>+A29+1</f>
        <v>15</v>
      </c>
      <c r="B30" s="28"/>
      <c r="C30" s="12" t="s">
        <v>649</v>
      </c>
      <c r="D30" s="176"/>
      <c r="E30" s="42" t="str">
        <f>"(Line "&amp;A28&amp;" + Line "&amp;A29&amp;")"</f>
        <v>(Line 13 + Line 14)</v>
      </c>
      <c r="F30" s="29"/>
      <c r="G30" s="225">
        <f>+G28+G29</f>
        <v>888526684.8578815</v>
      </c>
      <c r="I30" s="53"/>
      <c r="J30" s="53"/>
      <c r="K30" s="53"/>
    </row>
    <row r="31" spans="1:8" s="53" customFormat="1" ht="15">
      <c r="A31" s="71"/>
      <c r="B31" s="71"/>
      <c r="C31" s="1095"/>
      <c r="D31" s="86"/>
      <c r="E31" s="9"/>
      <c r="F31" s="52"/>
      <c r="G31" s="760"/>
      <c r="H31" s="47"/>
    </row>
    <row r="32" spans="1:11" ht="15">
      <c r="A32" s="71">
        <f>+A30+1</f>
        <v>16</v>
      </c>
      <c r="B32" s="28"/>
      <c r="C32" s="1094" t="s">
        <v>438</v>
      </c>
      <c r="E32" s="9" t="s">
        <v>8</v>
      </c>
      <c r="F32" s="29"/>
      <c r="G32" s="876">
        <f>IF(I1=1,'5 - Cost Support 1'!F43+'5 - Cost Support 1'!F38,+'5 - Cost Support 1'!G43+'5 - Cost Support 1'!G38)</f>
        <v>575687734</v>
      </c>
      <c r="I32" s="53"/>
      <c r="J32" s="53"/>
      <c r="K32" s="53"/>
    </row>
    <row r="33" spans="1:11" ht="15">
      <c r="A33" s="71">
        <f>+A32+1</f>
        <v>17</v>
      </c>
      <c r="B33" s="28"/>
      <c r="C33" s="1094" t="s">
        <v>403</v>
      </c>
      <c r="D33" s="176" t="str">
        <f>"(Note "&amp;B$279&amp;")"</f>
        <v>(Note A)</v>
      </c>
      <c r="E33" s="104" t="s">
        <v>8</v>
      </c>
      <c r="F33" s="29"/>
      <c r="G33" s="875">
        <f>IF(I1=1,'5 - Cost Support 1'!F64,+'5 - Cost Support 1'!G64)</f>
        <v>0</v>
      </c>
      <c r="I33" s="53"/>
      <c r="J33" s="53"/>
      <c r="K33" s="53"/>
    </row>
    <row r="34" spans="1:11" ht="15">
      <c r="A34" s="71">
        <f>+A33+1</f>
        <v>18</v>
      </c>
      <c r="B34" s="28"/>
      <c r="C34" s="1093" t="s">
        <v>440</v>
      </c>
      <c r="D34" s="154"/>
      <c r="E34" s="42" t="str">
        <f>"(Line "&amp;A32&amp;" + Line "&amp;A33&amp;")"</f>
        <v>(Line 16 + Line 17)</v>
      </c>
      <c r="F34" s="57"/>
      <c r="G34" s="878">
        <f>SUM(G32:G33)</f>
        <v>575687734</v>
      </c>
      <c r="I34" s="53"/>
      <c r="J34" s="53"/>
      <c r="K34" s="53"/>
    </row>
    <row r="35" spans="1:11" ht="15.75">
      <c r="A35" s="71">
        <f>+A34+1</f>
        <v>19</v>
      </c>
      <c r="B35" s="28"/>
      <c r="C35" s="51" t="s">
        <v>448</v>
      </c>
      <c r="D35" s="25"/>
      <c r="E35" s="104" t="str">
        <f>"(Line "&amp;A$12&amp;")"</f>
        <v>(Line 5)</v>
      </c>
      <c r="F35" s="20"/>
      <c r="G35" s="879">
        <f>+G12</f>
        <v>0.18446314069920292</v>
      </c>
      <c r="I35" s="53"/>
      <c r="J35" s="53"/>
      <c r="K35" s="53"/>
    </row>
    <row r="36" spans="1:11" ht="15.75">
      <c r="A36" s="71">
        <f>+A35+1</f>
        <v>20</v>
      </c>
      <c r="B36" s="47"/>
      <c r="C36" s="38" t="s">
        <v>405</v>
      </c>
      <c r="D36" s="151"/>
      <c r="E36" s="42" t="str">
        <f>"(Line "&amp;A34&amp;" * Line "&amp;A35&amp;")"</f>
        <v>(Line 18 * Line 19)</v>
      </c>
      <c r="F36" s="55"/>
      <c r="G36" s="748">
        <f>+G35*G34</f>
        <v>106193167.4756473</v>
      </c>
      <c r="I36" s="191"/>
      <c r="J36" s="53"/>
      <c r="K36" s="53"/>
    </row>
    <row r="37" spans="1:11" ht="15.75">
      <c r="A37" s="86"/>
      <c r="B37" s="47"/>
      <c r="C37" s="21"/>
      <c r="D37" s="229"/>
      <c r="E37" s="53"/>
      <c r="G37" s="880"/>
      <c r="I37" s="191"/>
      <c r="J37" s="53"/>
      <c r="K37" s="53"/>
    </row>
    <row r="38" spans="1:11" s="1" customFormat="1" ht="16.5" thickBot="1">
      <c r="A38" s="71">
        <f>+A36+1</f>
        <v>21</v>
      </c>
      <c r="B38" s="43" t="s">
        <v>376</v>
      </c>
      <c r="C38" s="43"/>
      <c r="D38" s="157"/>
      <c r="E38" s="350" t="str">
        <f>"(Line "&amp;A30&amp;" + Line "&amp;A36&amp;")"</f>
        <v>(Line 15 + Line 20)</v>
      </c>
      <c r="F38" s="43"/>
      <c r="G38" s="753">
        <f>SUM(G30,G36)</f>
        <v>994719852.3335289</v>
      </c>
      <c r="H38" s="47"/>
      <c r="I38" s="191"/>
      <c r="J38" s="191"/>
      <c r="K38" s="191"/>
    </row>
    <row r="39" spans="1:11" ht="16.5" thickTop="1">
      <c r="A39" s="86"/>
      <c r="B39" s="47"/>
      <c r="C39" s="47"/>
      <c r="E39" s="53"/>
      <c r="G39" s="53"/>
      <c r="I39" s="191"/>
      <c r="J39" s="53"/>
      <c r="K39" s="53"/>
    </row>
    <row r="40" spans="1:11" ht="15.75">
      <c r="A40" s="71"/>
      <c r="B40" s="21" t="s">
        <v>353</v>
      </c>
      <c r="C40" s="21"/>
      <c r="D40" s="644"/>
      <c r="E40" s="9"/>
      <c r="F40" s="13"/>
      <c r="G40" s="881"/>
      <c r="I40" s="53"/>
      <c r="J40" s="53"/>
      <c r="K40" s="53"/>
    </row>
    <row r="41" spans="1:11" ht="15.75">
      <c r="A41" s="86"/>
      <c r="B41" s="52"/>
      <c r="C41" s="52"/>
      <c r="E41" s="9"/>
      <c r="F41" s="5"/>
      <c r="G41" s="881"/>
      <c r="I41" s="191"/>
      <c r="J41" s="53"/>
      <c r="K41" s="53"/>
    </row>
    <row r="42" spans="1:11" ht="15">
      <c r="A42" s="71">
        <f>+A38+1</f>
        <v>22</v>
      </c>
      <c r="B42" s="28"/>
      <c r="C42" s="1094" t="s">
        <v>506</v>
      </c>
      <c r="D42" s="176" t="str">
        <f>"(Note "&amp;B$280&amp;")"</f>
        <v>(Note B)</v>
      </c>
      <c r="E42" s="9" t="s">
        <v>8</v>
      </c>
      <c r="F42" s="8"/>
      <c r="G42" s="876">
        <f>IF(I1=1,'5 - Cost Support 1'!F85,+'5 - Cost Support 1'!G85)</f>
        <v>235531072.97601622</v>
      </c>
      <c r="I42" s="53"/>
      <c r="J42" s="53"/>
      <c r="K42" s="53"/>
    </row>
    <row r="43" spans="1:11" ht="15.75">
      <c r="A43" s="71">
        <f>A42+1</f>
        <v>23</v>
      </c>
      <c r="B43" s="28"/>
      <c r="C43" s="1096" t="s">
        <v>57</v>
      </c>
      <c r="D43" s="182" t="str">
        <f>"(Note "&amp;B$280&amp;")"</f>
        <v>(Note B)</v>
      </c>
      <c r="E43" s="88" t="s">
        <v>117</v>
      </c>
      <c r="F43" s="808"/>
      <c r="G43" s="877">
        <f>IF(I1=1,0,'6- Est &amp; Reconcile WS'!H217)</f>
        <v>0</v>
      </c>
      <c r="I43" s="1218"/>
      <c r="J43" s="53"/>
      <c r="K43" s="53"/>
    </row>
    <row r="44" spans="1:11" ht="15.75">
      <c r="A44" s="71">
        <f>A43+1</f>
        <v>24</v>
      </c>
      <c r="B44" s="28"/>
      <c r="C44" s="12" t="s">
        <v>130</v>
      </c>
      <c r="D44" s="176"/>
      <c r="E44" s="239" t="str">
        <f>"(Line "&amp;A42&amp;" + Line "&amp;A43&amp;")"</f>
        <v>(Line 22 + Line 23)</v>
      </c>
      <c r="F44" s="36"/>
      <c r="G44" s="758">
        <f>G42+G43</f>
        <v>235531072.97601622</v>
      </c>
      <c r="I44" s="53"/>
      <c r="J44" s="53"/>
      <c r="K44" s="53"/>
    </row>
    <row r="45" spans="1:8" s="53" customFormat="1" ht="15">
      <c r="A45" s="71"/>
      <c r="B45" s="71"/>
      <c r="C45" s="52"/>
      <c r="D45" s="86"/>
      <c r="E45" s="9"/>
      <c r="F45" s="52"/>
      <c r="G45" s="760"/>
      <c r="H45" s="47"/>
    </row>
    <row r="46" spans="1:11" ht="15">
      <c r="A46" s="71">
        <f>+A44+1</f>
        <v>25</v>
      </c>
      <c r="B46" s="28"/>
      <c r="C46" s="1094" t="s">
        <v>531</v>
      </c>
      <c r="E46" s="9" t="s">
        <v>8</v>
      </c>
      <c r="F46" s="29"/>
      <c r="G46" s="876">
        <f>IF(I1=1,'5 - Cost Support 1'!F111,+'5 - Cost Support 1'!G111)</f>
        <v>121499224</v>
      </c>
      <c r="I46" s="53"/>
      <c r="J46" s="53"/>
      <c r="K46" s="53"/>
    </row>
    <row r="47" spans="1:11" ht="15">
      <c r="A47" s="71">
        <f aca="true" t="shared" si="0" ref="A47:A52">+A46+1</f>
        <v>26</v>
      </c>
      <c r="B47" s="28"/>
      <c r="C47" s="1094" t="s">
        <v>788</v>
      </c>
      <c r="E47" s="22" t="s">
        <v>8</v>
      </c>
      <c r="F47" s="29"/>
      <c r="G47" s="876">
        <f>IF(I1=1,'5 - Cost Support 1'!F106,+'5 - Cost Support 1'!G106)</f>
        <v>76652333</v>
      </c>
      <c r="I47" s="53"/>
      <c r="J47" s="53"/>
      <c r="K47" s="53"/>
    </row>
    <row r="48" spans="1:11" ht="15">
      <c r="A48" s="71">
        <f t="shared" si="0"/>
        <v>27</v>
      </c>
      <c r="B48" s="28"/>
      <c r="C48" s="1094" t="s">
        <v>727</v>
      </c>
      <c r="D48" s="176"/>
      <c r="E48" s="22" t="s">
        <v>8</v>
      </c>
      <c r="F48" s="29"/>
      <c r="G48" s="876">
        <f>'5 - Cost Support 1'!G132</f>
        <v>0</v>
      </c>
      <c r="I48" s="53"/>
      <c r="J48" s="53"/>
      <c r="K48" s="53"/>
    </row>
    <row r="49" spans="1:11" ht="15">
      <c r="A49" s="71">
        <f t="shared" si="0"/>
        <v>28</v>
      </c>
      <c r="B49" s="28"/>
      <c r="C49" s="1097" t="s">
        <v>404</v>
      </c>
      <c r="D49" s="182"/>
      <c r="E49" s="102" t="s">
        <v>8</v>
      </c>
      <c r="F49" s="93"/>
      <c r="G49" s="877">
        <f>'5 - Cost Support 1'!G132</f>
        <v>0</v>
      </c>
      <c r="I49" s="53"/>
      <c r="J49" s="53"/>
      <c r="K49" s="53"/>
    </row>
    <row r="50" spans="1:11" ht="15">
      <c r="A50" s="71">
        <f t="shared" si="0"/>
        <v>29</v>
      </c>
      <c r="B50" s="28"/>
      <c r="C50" s="1098" t="s">
        <v>789</v>
      </c>
      <c r="D50" s="19"/>
      <c r="E50" s="22" t="str">
        <f>"(Sum Lines "&amp;A46&amp;" to "&amp;A49&amp;")"</f>
        <v>(Sum Lines 25 to 28)</v>
      </c>
      <c r="F50" s="22"/>
      <c r="G50" s="882">
        <f>SUM(G46:G49)</f>
        <v>198151557</v>
      </c>
      <c r="I50" s="53"/>
      <c r="J50" s="53"/>
      <c r="K50" s="53"/>
    </row>
    <row r="51" spans="1:11" ht="15">
      <c r="A51" s="71">
        <f t="shared" si="0"/>
        <v>30</v>
      </c>
      <c r="B51" s="28"/>
      <c r="C51" s="1098" t="str">
        <f>+C35</f>
        <v>Wage &amp; Salary Allocation Factor</v>
      </c>
      <c r="D51" s="19"/>
      <c r="E51" s="102" t="str">
        <f>"(Line "&amp;A$12&amp;")"</f>
        <v>(Line 5)</v>
      </c>
      <c r="F51" s="22"/>
      <c r="G51" s="883">
        <f>+G12</f>
        <v>0.18446314069920292</v>
      </c>
      <c r="I51" s="53"/>
      <c r="J51" s="53"/>
      <c r="K51" s="53"/>
    </row>
    <row r="52" spans="1:11" ht="15.75">
      <c r="A52" s="71">
        <f t="shared" si="0"/>
        <v>31</v>
      </c>
      <c r="B52" s="47"/>
      <c r="C52" s="81" t="s">
        <v>428</v>
      </c>
      <c r="D52" s="154"/>
      <c r="E52" s="22" t="str">
        <f>"(Line "&amp;A50&amp;" * Line "&amp;A51&amp;")"</f>
        <v>(Line 29 * Line 30)</v>
      </c>
      <c r="F52" s="55"/>
      <c r="G52" s="749">
        <f>+G51*G50</f>
        <v>36551658.53865713</v>
      </c>
      <c r="I52" s="53"/>
      <c r="J52" s="53"/>
      <c r="K52" s="53"/>
    </row>
    <row r="53" spans="1:11" ht="15">
      <c r="A53" s="86"/>
      <c r="B53" s="47"/>
      <c r="C53" s="47"/>
      <c r="G53" s="136"/>
      <c r="I53" s="53"/>
      <c r="J53" s="53"/>
      <c r="K53" s="53"/>
    </row>
    <row r="54" spans="1:11" ht="16.5" thickBot="1">
      <c r="A54" s="71">
        <f>+A52+1</f>
        <v>32</v>
      </c>
      <c r="B54" s="43" t="s">
        <v>377</v>
      </c>
      <c r="C54" s="43"/>
      <c r="D54" s="157"/>
      <c r="E54" s="41" t="str">
        <f>"(Line "&amp;A44&amp;" + Line "&amp;A52&amp;")"</f>
        <v>(Line 24 + Line 31)</v>
      </c>
      <c r="F54" s="43"/>
      <c r="G54" s="742">
        <f>+G52+G44</f>
        <v>272082731.51467335</v>
      </c>
      <c r="I54" s="53"/>
      <c r="J54" s="53"/>
      <c r="K54" s="53"/>
    </row>
    <row r="55" spans="1:11" ht="15.75" thickTop="1">
      <c r="A55" s="86"/>
      <c r="B55" s="47"/>
      <c r="C55" s="47"/>
      <c r="G55" s="136"/>
      <c r="I55" s="53"/>
      <c r="J55" s="53"/>
      <c r="K55" s="53"/>
    </row>
    <row r="56" spans="1:11" ht="16.5" thickBot="1">
      <c r="A56" s="71">
        <f>+A54+1</f>
        <v>33</v>
      </c>
      <c r="B56" s="43" t="s">
        <v>378</v>
      </c>
      <c r="C56" s="43"/>
      <c r="D56" s="157"/>
      <c r="E56" s="41" t="str">
        <f>"(Line "&amp;A38&amp;" - Line "&amp;A54&amp;")"</f>
        <v>(Line 21 - Line 32)</v>
      </c>
      <c r="F56" s="43"/>
      <c r="G56" s="742">
        <f>+G38-G54</f>
        <v>722637120.8188555</v>
      </c>
      <c r="I56" s="53"/>
      <c r="J56" s="53"/>
      <c r="K56" s="53"/>
    </row>
    <row r="57" spans="1:11" ht="15.75" thickTop="1">
      <c r="A57" s="84"/>
      <c r="B57" s="47"/>
      <c r="C57" s="47"/>
      <c r="I57" s="53"/>
      <c r="J57" s="53"/>
      <c r="K57" s="53"/>
    </row>
    <row r="58" spans="1:11" ht="15.75">
      <c r="A58" s="83" t="s">
        <v>406</v>
      </c>
      <c r="B58" s="108"/>
      <c r="C58" s="108"/>
      <c r="D58" s="149"/>
      <c r="E58" s="109"/>
      <c r="F58" s="109"/>
      <c r="G58" s="116"/>
      <c r="I58" s="53"/>
      <c r="J58" s="53"/>
      <c r="K58" s="53"/>
    </row>
    <row r="59" spans="1:11" ht="15">
      <c r="A59" s="206"/>
      <c r="B59" s="207"/>
      <c r="C59" s="207"/>
      <c r="I59" s="53"/>
      <c r="J59" s="53"/>
      <c r="K59" s="53"/>
    </row>
    <row r="60" spans="1:11" ht="15.75">
      <c r="A60" s="86"/>
      <c r="B60" s="268" t="s">
        <v>539</v>
      </c>
      <c r="D60" s="98"/>
      <c r="G60" s="874"/>
      <c r="I60" s="53"/>
      <c r="J60" s="53"/>
      <c r="K60" s="53"/>
    </row>
    <row r="61" spans="1:11" ht="15.75">
      <c r="A61" s="86">
        <f>+A56+1</f>
        <v>34</v>
      </c>
      <c r="B61" s="268"/>
      <c r="C61" s="29" t="s">
        <v>574</v>
      </c>
      <c r="D61" s="176" t="s">
        <v>28</v>
      </c>
      <c r="E61" s="88" t="str">
        <f>"Attachment 1, Col B,  Line "&amp;'1 - ADIT'!A15&amp;""</f>
        <v>Attachment 1, Col B,  Line 9</v>
      </c>
      <c r="F61" s="222"/>
      <c r="G61" s="876">
        <f>-'1 - ADIT'!C15</f>
        <v>-164453754.95962816</v>
      </c>
      <c r="I61" s="970"/>
      <c r="J61" s="191"/>
      <c r="K61" s="53"/>
    </row>
    <row r="62" spans="1:10" s="53" customFormat="1" ht="15.75">
      <c r="A62" s="71">
        <f>A61+1</f>
        <v>35</v>
      </c>
      <c r="C62" s="358" t="s">
        <v>429</v>
      </c>
      <c r="D62" s="164"/>
      <c r="E62" s="42" t="str">
        <f>"Line "&amp;A61&amp;""</f>
        <v>Line 34</v>
      </c>
      <c r="F62" s="99"/>
      <c r="G62" s="755">
        <f>+G61</f>
        <v>-164453754.95962816</v>
      </c>
      <c r="H62" s="47"/>
      <c r="I62" s="191"/>
      <c r="J62" s="191"/>
    </row>
    <row r="63" spans="1:10" s="53" customFormat="1" ht="15.75">
      <c r="A63" s="71"/>
      <c r="C63" s="268"/>
      <c r="D63" s="184"/>
      <c r="E63" s="42"/>
      <c r="F63" s="99"/>
      <c r="G63" s="756"/>
      <c r="H63" s="47"/>
      <c r="I63" s="191"/>
      <c r="J63" s="191"/>
    </row>
    <row r="64" spans="1:11" ht="15.75">
      <c r="A64" s="71"/>
      <c r="B64" s="21" t="s">
        <v>471</v>
      </c>
      <c r="C64" s="47"/>
      <c r="D64" s="47"/>
      <c r="F64" s="29"/>
      <c r="G64" s="318"/>
      <c r="I64" s="53"/>
      <c r="J64" s="53"/>
      <c r="K64" s="53"/>
    </row>
    <row r="65" spans="1:11" ht="15.75">
      <c r="A65" s="71">
        <f>+A62+1</f>
        <v>36</v>
      </c>
      <c r="B65" s="44"/>
      <c r="C65" s="1096" t="s">
        <v>465</v>
      </c>
      <c r="D65" s="182" t="str">
        <f>"(Note "&amp;B300&amp;")"</f>
        <v>(Note P)</v>
      </c>
      <c r="E65" s="88" t="s">
        <v>118</v>
      </c>
      <c r="F65" s="93"/>
      <c r="G65" s="877">
        <f>IF(I1=1,'6- Est &amp; Reconcile WS'!I101,'6- Est &amp; Reconcile WS'!I197)</f>
        <v>0</v>
      </c>
      <c r="I65" s="1218"/>
      <c r="J65" s="53"/>
      <c r="K65" s="53"/>
    </row>
    <row r="66" spans="1:11" ht="15.75">
      <c r="A66" s="71">
        <f>A65+1</f>
        <v>37</v>
      </c>
      <c r="B66" s="44"/>
      <c r="C66" s="21" t="s">
        <v>472</v>
      </c>
      <c r="D66" s="176"/>
      <c r="E66" s="239"/>
      <c r="F66" s="29"/>
      <c r="G66" s="225">
        <f>+G65</f>
        <v>0</v>
      </c>
      <c r="I66" s="53"/>
      <c r="J66" s="53"/>
      <c r="K66" s="53"/>
    </row>
    <row r="67" spans="1:11" ht="15">
      <c r="A67" s="71"/>
      <c r="B67" s="71"/>
      <c r="C67" s="545"/>
      <c r="D67" s="176"/>
      <c r="E67" s="239"/>
      <c r="F67" s="60"/>
      <c r="G67" s="880"/>
      <c r="I67" s="53"/>
      <c r="J67" s="53"/>
      <c r="K67" s="53"/>
    </row>
    <row r="68" spans="1:11" ht="15.75">
      <c r="A68" s="71">
        <f>+A66+1</f>
        <v>38</v>
      </c>
      <c r="B68" s="46" t="s">
        <v>681</v>
      </c>
      <c r="D68" s="176" t="str">
        <f>"(Note "&amp;B$281&amp;")"</f>
        <v>(Note C)</v>
      </c>
      <c r="E68" s="99" t="s">
        <v>8</v>
      </c>
      <c r="F68" s="60"/>
      <c r="G68" s="875">
        <f>IF(I1=1,'5 - Cost Support 1'!I158,'5 - Cost Support 1'!H158)</f>
        <v>0</v>
      </c>
      <c r="I68" s="53"/>
      <c r="J68" s="53"/>
      <c r="K68" s="53"/>
    </row>
    <row r="69" spans="1:11" ht="15.75">
      <c r="A69" s="86"/>
      <c r="B69" s="47"/>
      <c r="C69" s="21"/>
      <c r="D69" s="86"/>
      <c r="G69" s="880"/>
      <c r="I69" s="53"/>
      <c r="J69" s="53"/>
      <c r="K69" s="53"/>
    </row>
    <row r="70" spans="1:8" s="53" customFormat="1" ht="15.75">
      <c r="A70" s="71"/>
      <c r="B70" s="191" t="s">
        <v>27</v>
      </c>
      <c r="C70" s="268"/>
      <c r="D70" s="184"/>
      <c r="E70" s="42"/>
      <c r="F70" s="99"/>
      <c r="G70" s="756"/>
      <c r="H70" s="47"/>
    </row>
    <row r="71" spans="1:11" ht="15.75">
      <c r="A71" s="86">
        <f>+A68+1</f>
        <v>39</v>
      </c>
      <c r="B71" s="53"/>
      <c r="C71" s="268" t="s">
        <v>29</v>
      </c>
      <c r="D71" s="176" t="s">
        <v>28</v>
      </c>
      <c r="E71" s="99" t="s">
        <v>8</v>
      </c>
      <c r="F71" s="76"/>
      <c r="G71" s="884">
        <f>-'5 - Cost Support 1'!K257</f>
        <v>-4591675.438598647</v>
      </c>
      <c r="I71" s="970"/>
      <c r="J71" s="53"/>
      <c r="K71" s="53"/>
    </row>
    <row r="72" spans="1:11" ht="15.75">
      <c r="A72" s="71"/>
      <c r="B72" s="50"/>
      <c r="C72" s="52"/>
      <c r="D72" s="86"/>
      <c r="E72" s="314"/>
      <c r="F72" s="62"/>
      <c r="G72" s="318"/>
      <c r="I72" s="53"/>
      <c r="J72" s="53"/>
      <c r="K72" s="53"/>
    </row>
    <row r="73" spans="1:11" ht="15.75">
      <c r="A73" s="71"/>
      <c r="B73" s="1087" t="s">
        <v>395</v>
      </c>
      <c r="C73" s="51"/>
      <c r="D73" s="86"/>
      <c r="E73" s="315"/>
      <c r="F73" s="59"/>
      <c r="G73" s="318"/>
      <c r="I73" s="53"/>
      <c r="J73" s="53"/>
      <c r="K73" s="53"/>
    </row>
    <row r="74" spans="1:11" ht="15.75">
      <c r="A74" s="71">
        <f>+A71+1</f>
        <v>40</v>
      </c>
      <c r="B74" s="1088"/>
      <c r="C74" s="138" t="s">
        <v>47</v>
      </c>
      <c r="D74" s="182" t="str">
        <f>"(Note "&amp;B$279&amp;")"</f>
        <v>(Note A)</v>
      </c>
      <c r="E74" s="138" t="s">
        <v>8</v>
      </c>
      <c r="F74" s="137"/>
      <c r="G74" s="744">
        <f>'5 - Cost Support 1'!K273</f>
        <v>1241769.9080759871</v>
      </c>
      <c r="I74" s="970"/>
      <c r="J74" s="53"/>
      <c r="K74" s="53"/>
    </row>
    <row r="75" spans="1:11" ht="15.75">
      <c r="A75" s="28">
        <f>+A74+1</f>
        <v>41</v>
      </c>
      <c r="B75" s="50"/>
      <c r="C75" s="191" t="s">
        <v>337</v>
      </c>
      <c r="D75" s="158"/>
      <c r="E75" s="42" t="str">
        <f>"(Line "&amp;A74&amp;")"</f>
        <v>(Line 40)</v>
      </c>
      <c r="F75" s="77"/>
      <c r="G75" s="755">
        <f>+G74</f>
        <v>1241769.9080759871</v>
      </c>
      <c r="I75" s="53"/>
      <c r="J75" s="53"/>
      <c r="K75" s="53"/>
    </row>
    <row r="76" spans="1:11" ht="15.75">
      <c r="A76" s="28"/>
      <c r="B76" s="50"/>
      <c r="C76" s="51"/>
      <c r="D76" s="28"/>
      <c r="E76" s="59"/>
      <c r="F76" s="59"/>
      <c r="G76" s="757"/>
      <c r="I76" s="53"/>
      <c r="J76" s="53"/>
      <c r="K76" s="53"/>
    </row>
    <row r="77" spans="1:11" ht="15.75">
      <c r="A77" s="71"/>
      <c r="B77" s="1087" t="s">
        <v>351</v>
      </c>
      <c r="C77" s="53"/>
      <c r="D77" s="147"/>
      <c r="E77" s="137"/>
      <c r="F77" s="59"/>
      <c r="G77" s="757"/>
      <c r="I77" s="53"/>
      <c r="J77" s="53"/>
      <c r="K77" s="53"/>
    </row>
    <row r="78" spans="1:11" ht="15.75">
      <c r="A78" s="86">
        <f>+A75+1</f>
        <v>42</v>
      </c>
      <c r="B78" s="53"/>
      <c r="C78" s="53" t="s">
        <v>410</v>
      </c>
      <c r="D78" s="176" t="str">
        <f>"(Note "&amp;B$279&amp;")"</f>
        <v>(Note A)</v>
      </c>
      <c r="E78" s="99" t="s">
        <v>8</v>
      </c>
      <c r="G78" s="744">
        <f>'5 - Cost Support 1'!I280</f>
        <v>1607850.5</v>
      </c>
      <c r="I78" s="970"/>
      <c r="J78" s="53"/>
      <c r="K78" s="53"/>
    </row>
    <row r="79" spans="1:8" s="53" customFormat="1" ht="15.75">
      <c r="A79" s="71">
        <f>+A78+1</f>
        <v>43</v>
      </c>
      <c r="B79" s="50"/>
      <c r="C79" s="138" t="s">
        <v>448</v>
      </c>
      <c r="D79" s="159"/>
      <c r="E79" s="102" t="str">
        <f>"(Line "&amp;A$12&amp;")"</f>
        <v>(Line 5)</v>
      </c>
      <c r="F79" s="90"/>
      <c r="G79" s="885">
        <f>+G12</f>
        <v>0.18446314069920292</v>
      </c>
      <c r="H79" s="47"/>
    </row>
    <row r="80" spans="1:11" ht="15.75">
      <c r="A80" s="71">
        <f>+A79+1</f>
        <v>44</v>
      </c>
      <c r="B80" s="50"/>
      <c r="C80" s="51" t="s">
        <v>505</v>
      </c>
      <c r="D80" s="86"/>
      <c r="E80" s="22" t="str">
        <f>"(Line "&amp;A78&amp;" * Line"&amp;A79&amp;")"</f>
        <v>(Line 42 * Line43)</v>
      </c>
      <c r="F80" s="59"/>
      <c r="G80" s="754">
        <f>+G78*G79</f>
        <v>296589.15300478373</v>
      </c>
      <c r="I80" s="53"/>
      <c r="J80" s="53"/>
      <c r="K80" s="53"/>
    </row>
    <row r="81" spans="1:11" ht="15.75">
      <c r="A81" s="71">
        <f>+A80+1</f>
        <v>45</v>
      </c>
      <c r="B81" s="50"/>
      <c r="C81" s="51" t="s">
        <v>339</v>
      </c>
      <c r="D81" s="71"/>
      <c r="E81" s="138" t="s">
        <v>8</v>
      </c>
      <c r="F81" s="59"/>
      <c r="G81" s="744">
        <f>'5 - Cost Support 1'!I282</f>
        <v>2930806.5</v>
      </c>
      <c r="I81" s="970"/>
      <c r="J81" s="53"/>
      <c r="K81" s="53"/>
    </row>
    <row r="82" spans="1:11" ht="18" customHeight="1">
      <c r="A82" s="71">
        <f>+A81+1</f>
        <v>46</v>
      </c>
      <c r="B82" s="50"/>
      <c r="C82" s="1092" t="s">
        <v>350</v>
      </c>
      <c r="D82" s="160"/>
      <c r="E82" s="22" t="str">
        <f>"(Line "&amp;A80&amp;" + Line"&amp;A81&amp;")"</f>
        <v>(Line 44 + Line45)</v>
      </c>
      <c r="F82" s="66"/>
      <c r="G82" s="732">
        <f>SUM(G80:G81)</f>
        <v>3227395.6530047837</v>
      </c>
      <c r="I82" s="53"/>
      <c r="J82" s="53"/>
      <c r="K82" s="53"/>
    </row>
    <row r="83" spans="1:11" ht="15.75">
      <c r="A83" s="71"/>
      <c r="B83" s="50"/>
      <c r="C83" s="51"/>
      <c r="D83" s="28"/>
      <c r="E83" s="59"/>
      <c r="F83" s="59"/>
      <c r="G83" s="136"/>
      <c r="I83" s="53"/>
      <c r="J83" s="53"/>
      <c r="K83" s="53"/>
    </row>
    <row r="84" spans="1:11" ht="15.75">
      <c r="A84" s="71"/>
      <c r="B84" s="1087" t="s">
        <v>396</v>
      </c>
      <c r="C84" s="53"/>
      <c r="E84" s="59"/>
      <c r="F84" s="59"/>
      <c r="G84" s="136"/>
      <c r="I84" s="53"/>
      <c r="J84" s="53"/>
      <c r="K84" s="53"/>
    </row>
    <row r="85" spans="1:11" ht="15.75">
      <c r="A85" s="71">
        <f>+A82+1</f>
        <v>47</v>
      </c>
      <c r="B85" s="50"/>
      <c r="C85" s="51" t="s">
        <v>461</v>
      </c>
      <c r="E85" s="22" t="str">
        <f>"(Line "&amp;A$126&amp;")"</f>
        <v>(Line 75)</v>
      </c>
      <c r="F85" s="59"/>
      <c r="G85" s="746">
        <f>+G126</f>
        <v>33789275.4611205</v>
      </c>
      <c r="I85" s="971"/>
      <c r="J85" s="53"/>
      <c r="K85" s="53"/>
    </row>
    <row r="86" spans="1:11" ht="15.75">
      <c r="A86" s="71">
        <f>+A85+1</f>
        <v>48</v>
      </c>
      <c r="B86" s="50"/>
      <c r="C86" s="63" t="s">
        <v>449</v>
      </c>
      <c r="E86" s="89" t="s">
        <v>515</v>
      </c>
      <c r="G86" s="886">
        <v>0.125</v>
      </c>
      <c r="I86" s="53"/>
      <c r="J86" s="53"/>
      <c r="K86" s="53"/>
    </row>
    <row r="87" spans="1:11" s="67" customFormat="1" ht="15.75">
      <c r="A87" s="71">
        <f>+A86+1</f>
        <v>49</v>
      </c>
      <c r="B87" s="1089"/>
      <c r="C87" s="358" t="s">
        <v>338</v>
      </c>
      <c r="D87" s="161"/>
      <c r="E87" s="22" t="str">
        <f>"(Line "&amp;A85&amp;" * Line "&amp;A86&amp;")"</f>
        <v>(Line 47 * Line 48)</v>
      </c>
      <c r="F87" s="65"/>
      <c r="G87" s="887">
        <f>+G85*G86</f>
        <v>4223659.432640063</v>
      </c>
      <c r="H87" s="47"/>
      <c r="I87" s="221"/>
      <c r="J87" s="221"/>
      <c r="K87" s="221"/>
    </row>
    <row r="88" spans="1:11" s="67" customFormat="1" ht="15.75">
      <c r="A88" s="71"/>
      <c r="B88" s="1089"/>
      <c r="C88" s="268"/>
      <c r="D88" s="699"/>
      <c r="E88" s="42"/>
      <c r="F88" s="131"/>
      <c r="G88" s="752"/>
      <c r="H88" s="47"/>
      <c r="I88" s="221"/>
      <c r="J88" s="221"/>
      <c r="K88" s="221"/>
    </row>
    <row r="89" spans="1:11" ht="15">
      <c r="A89" s="84"/>
      <c r="B89" s="47"/>
      <c r="C89" s="47"/>
      <c r="G89" s="136"/>
      <c r="I89" s="53"/>
      <c r="J89" s="53"/>
      <c r="K89" s="53"/>
    </row>
    <row r="90" spans="1:11" ht="16.5" thickBot="1">
      <c r="A90" s="84">
        <f>+A87+1</f>
        <v>50</v>
      </c>
      <c r="B90" s="43" t="s">
        <v>456</v>
      </c>
      <c r="C90" s="43"/>
      <c r="D90" s="157"/>
      <c r="E90" s="316" t="str">
        <f>"(Lines "&amp;A62&amp;" + "&amp;A66&amp;" + "&amp;A71&amp;" + "&amp;A75&amp;" + "&amp;A82&amp;" + "&amp;A87&amp;")"</f>
        <v>(Lines 35 + 37 + 39 + 41 + 46 + 49)</v>
      </c>
      <c r="F90" s="317"/>
      <c r="G90" s="753">
        <f>SUM(G62,G71,G75,G82,G87,G66,G68)</f>
        <v>-160352605.40450594</v>
      </c>
      <c r="I90" s="53"/>
      <c r="J90" s="53"/>
      <c r="K90" s="53"/>
    </row>
    <row r="91" spans="1:11" ht="15.75" thickTop="1">
      <c r="A91" s="84"/>
      <c r="B91" s="47"/>
      <c r="C91" s="47"/>
      <c r="G91" s="136"/>
      <c r="I91" s="53"/>
      <c r="J91" s="53"/>
      <c r="K91" s="53"/>
    </row>
    <row r="92" spans="1:11" s="33" customFormat="1" ht="16.5" thickBot="1">
      <c r="A92" s="28">
        <f>+A90+1</f>
        <v>51</v>
      </c>
      <c r="B92" s="43" t="s">
        <v>445</v>
      </c>
      <c r="C92" s="43"/>
      <c r="D92" s="157"/>
      <c r="E92" s="40" t="str">
        <f>"(Line "&amp;A56&amp;" + Line "&amp;A90&amp;")"</f>
        <v>(Line 33 + Line 50)</v>
      </c>
      <c r="F92" s="43"/>
      <c r="G92" s="742">
        <f>+G56+G90</f>
        <v>562284515.4143496</v>
      </c>
      <c r="H92" s="47"/>
      <c r="I92" s="648"/>
      <c r="J92" s="648"/>
      <c r="K92" s="648"/>
    </row>
    <row r="93" spans="2:11" ht="15.75" thickTop="1">
      <c r="B93" s="47"/>
      <c r="C93" s="47"/>
      <c r="I93" s="53"/>
      <c r="J93" s="53"/>
      <c r="K93" s="53"/>
    </row>
    <row r="94" spans="1:9" s="53" customFormat="1" ht="15.75">
      <c r="A94" s="1099" t="s">
        <v>517</v>
      </c>
      <c r="B94" s="1090"/>
      <c r="C94" s="1100"/>
      <c r="D94" s="162"/>
      <c r="E94" s="116"/>
      <c r="F94" s="116"/>
      <c r="G94" s="117"/>
      <c r="H94" s="47"/>
      <c r="I94" s="191"/>
    </row>
    <row r="95" spans="1:9" s="53" customFormat="1" ht="15.75">
      <c r="A95" s="52"/>
      <c r="B95" s="52"/>
      <c r="C95" s="52"/>
      <c r="D95" s="163"/>
      <c r="G95" s="107"/>
      <c r="H95" s="47"/>
      <c r="I95" s="191"/>
    </row>
    <row r="96" spans="1:11" ht="15.75">
      <c r="A96" s="28"/>
      <c r="B96" s="21" t="s">
        <v>434</v>
      </c>
      <c r="D96" s="86"/>
      <c r="E96" s="941"/>
      <c r="F96" s="5"/>
      <c r="G96" s="874"/>
      <c r="I96" s="191"/>
      <c r="J96" s="53"/>
      <c r="K96" s="53"/>
    </row>
    <row r="97" spans="1:11" ht="15.75">
      <c r="A97" s="28">
        <f>+A92+1</f>
        <v>52</v>
      </c>
      <c r="B97" s="28"/>
      <c r="C97" s="1095" t="s">
        <v>434</v>
      </c>
      <c r="D97" s="86"/>
      <c r="E97" s="941" t="s">
        <v>106</v>
      </c>
      <c r="F97" s="44"/>
      <c r="G97" s="1129">
        <v>12704293</v>
      </c>
      <c r="H97" s="53"/>
      <c r="J97" s="1208"/>
      <c r="K97" s="53"/>
    </row>
    <row r="98" spans="1:11" ht="15">
      <c r="A98" s="28">
        <f>A97+1</f>
        <v>53</v>
      </c>
      <c r="B98" s="28"/>
      <c r="C98" s="1095" t="s">
        <v>518</v>
      </c>
      <c r="D98" s="86"/>
      <c r="E98" s="941" t="s">
        <v>107</v>
      </c>
      <c r="F98" s="52"/>
      <c r="G98" s="1129">
        <v>0</v>
      </c>
      <c r="H98" s="53"/>
      <c r="J98" s="53"/>
      <c r="K98" s="53"/>
    </row>
    <row r="99" spans="1:11" ht="15">
      <c r="A99" s="71">
        <f>+A98+1</f>
        <v>54</v>
      </c>
      <c r="B99" s="71"/>
      <c r="C99" s="1095" t="s">
        <v>473</v>
      </c>
      <c r="D99" s="176" t="str">
        <f>"(Note "&amp;B$297&amp;")"</f>
        <v>(Note N)</v>
      </c>
      <c r="E99" s="9" t="s">
        <v>597</v>
      </c>
      <c r="F99" s="52"/>
      <c r="G99" s="1129">
        <v>0</v>
      </c>
      <c r="H99" s="53"/>
      <c r="J99" s="53"/>
      <c r="K99" s="53"/>
    </row>
    <row r="100" spans="1:11" ht="15">
      <c r="A100" s="71">
        <f>+A99+1</f>
        <v>55</v>
      </c>
      <c r="B100" s="71"/>
      <c r="C100" s="1095" t="s">
        <v>728</v>
      </c>
      <c r="D100" s="182" t="s">
        <v>56</v>
      </c>
      <c r="E100" s="104" t="s">
        <v>290</v>
      </c>
      <c r="F100" s="52"/>
      <c r="G100" s="1129">
        <v>0</v>
      </c>
      <c r="H100" s="53"/>
      <c r="J100" s="53"/>
      <c r="K100" s="53"/>
    </row>
    <row r="101" spans="1:11" ht="15.75">
      <c r="A101" s="71">
        <f>+A100+1</f>
        <v>56</v>
      </c>
      <c r="B101" s="52"/>
      <c r="C101" s="38" t="s">
        <v>434</v>
      </c>
      <c r="D101" s="164"/>
      <c r="E101" s="42" t="str">
        <f>"(Lines "&amp;A97&amp;" - "&amp;A98&amp;" + "&amp;A99&amp;" + "&amp;A100&amp;")"</f>
        <v>(Lines 52 - 53 + 54 + 55)</v>
      </c>
      <c r="F101" s="56"/>
      <c r="G101" s="748">
        <f>+G97-G98+G99+G100</f>
        <v>12704293</v>
      </c>
      <c r="H101" s="53"/>
      <c r="J101" s="53"/>
      <c r="K101" s="53"/>
    </row>
    <row r="102" spans="1:11" ht="15.75">
      <c r="A102" s="71"/>
      <c r="B102" s="71"/>
      <c r="C102" s="21"/>
      <c r="D102" s="25"/>
      <c r="E102" s="52"/>
      <c r="F102" s="52"/>
      <c r="G102" s="216"/>
      <c r="H102" s="53"/>
      <c r="J102" s="53"/>
      <c r="K102" s="53"/>
    </row>
    <row r="103" spans="1:11" ht="15.75">
      <c r="A103" s="71"/>
      <c r="B103" s="21" t="s">
        <v>342</v>
      </c>
      <c r="C103" s="52"/>
      <c r="D103" s="25"/>
      <c r="E103" s="52"/>
      <c r="F103" s="52"/>
      <c r="G103" s="216"/>
      <c r="H103" s="53"/>
      <c r="J103" s="53"/>
      <c r="K103" s="53"/>
    </row>
    <row r="104" spans="1:11" ht="15">
      <c r="A104" s="71">
        <f>+A101+1</f>
        <v>57</v>
      </c>
      <c r="B104" s="71"/>
      <c r="C104" s="1095" t="s">
        <v>435</v>
      </c>
      <c r="D104" s="176" t="str">
        <f>"(Note "&amp;B$279&amp;")"</f>
        <v>(Note A)</v>
      </c>
      <c r="E104" s="5" t="s">
        <v>324</v>
      </c>
      <c r="F104" s="52"/>
      <c r="G104" s="1129">
        <v>0</v>
      </c>
      <c r="H104" s="53"/>
      <c r="J104" s="1219"/>
      <c r="K104" s="1219"/>
    </row>
    <row r="105" spans="1:11" ht="15">
      <c r="A105" s="71">
        <f aca="true" t="shared" si="1" ref="A105:A113">+A104+1</f>
        <v>58</v>
      </c>
      <c r="B105" s="71"/>
      <c r="C105" s="1095" t="s">
        <v>437</v>
      </c>
      <c r="D105" s="86"/>
      <c r="E105" s="5" t="s">
        <v>108</v>
      </c>
      <c r="F105" s="52"/>
      <c r="G105" s="1129">
        <v>114465189</v>
      </c>
      <c r="H105" s="53"/>
      <c r="J105" s="1208"/>
      <c r="K105" s="53"/>
    </row>
    <row r="106" spans="1:11" ht="15">
      <c r="A106" s="71">
        <f>A105+1</f>
        <v>59</v>
      </c>
      <c r="B106" s="71"/>
      <c r="C106" s="1095" t="s">
        <v>282</v>
      </c>
      <c r="D106" s="86"/>
      <c r="E106" s="5" t="s">
        <v>8</v>
      </c>
      <c r="F106" s="52"/>
      <c r="G106" s="1129">
        <f>'5 - Cost Support 1'!E185</f>
        <v>0</v>
      </c>
      <c r="H106" s="53"/>
      <c r="J106" s="53"/>
      <c r="K106" s="53"/>
    </row>
    <row r="107" spans="1:11" ht="15">
      <c r="A107" s="71">
        <f>A106+1</f>
        <v>60</v>
      </c>
      <c r="B107" s="71"/>
      <c r="C107" s="1095" t="s">
        <v>520</v>
      </c>
      <c r="D107" s="92"/>
      <c r="E107" s="5" t="s">
        <v>109</v>
      </c>
      <c r="F107" s="29"/>
      <c r="G107" s="1129">
        <v>5343577</v>
      </c>
      <c r="H107" s="53"/>
      <c r="J107" s="1208"/>
      <c r="K107" s="53"/>
    </row>
    <row r="108" spans="1:11" ht="15">
      <c r="A108" s="71">
        <f t="shared" si="1"/>
        <v>61</v>
      </c>
      <c r="B108" s="71"/>
      <c r="C108" s="1095" t="s">
        <v>474</v>
      </c>
      <c r="D108" s="176" t="str">
        <f>"(Note "&amp;B$283&amp;")"</f>
        <v>(Note E)</v>
      </c>
      <c r="E108" s="5" t="s">
        <v>264</v>
      </c>
      <c r="F108" s="29"/>
      <c r="G108" s="1129">
        <v>870027</v>
      </c>
      <c r="H108" s="53"/>
      <c r="I108" s="53"/>
      <c r="J108" s="1208"/>
      <c r="K108" s="53"/>
    </row>
    <row r="109" spans="1:11" ht="15">
      <c r="A109" s="71">
        <f t="shared" si="1"/>
        <v>62</v>
      </c>
      <c r="B109" s="71"/>
      <c r="C109" s="1095" t="s">
        <v>475</v>
      </c>
      <c r="D109" s="92"/>
      <c r="E109" s="5" t="s">
        <v>265</v>
      </c>
      <c r="F109" s="29"/>
      <c r="G109" s="1129">
        <v>1573959</v>
      </c>
      <c r="H109" s="53"/>
      <c r="J109" s="1208"/>
      <c r="K109" s="53"/>
    </row>
    <row r="110" spans="1:11" ht="15">
      <c r="A110" s="71">
        <f>+A109+1</f>
        <v>63</v>
      </c>
      <c r="B110" s="71"/>
      <c r="C110" s="1095" t="s">
        <v>510</v>
      </c>
      <c r="D110" s="176" t="str">
        <f>"(Note "&amp;B$282&amp;")"</f>
        <v>(Note D)</v>
      </c>
      <c r="E110" s="104" t="s">
        <v>446</v>
      </c>
      <c r="F110" s="52"/>
      <c r="G110" s="1129">
        <v>0</v>
      </c>
      <c r="H110" s="53"/>
      <c r="I110" s="53"/>
      <c r="J110" s="1219"/>
      <c r="K110" s="1219"/>
    </row>
    <row r="111" spans="1:11" ht="15.75">
      <c r="A111" s="71">
        <f t="shared" si="1"/>
        <v>64</v>
      </c>
      <c r="B111" s="71"/>
      <c r="C111" s="38" t="s">
        <v>340</v>
      </c>
      <c r="D111" s="156"/>
      <c r="E111" s="22" t="str">
        <f>"(Lines "&amp;A104&amp;" thru "&amp;A105&amp;") -  Sum (Lines "&amp;A106&amp;" to "&amp;A110&amp;")"</f>
        <v>(Lines 57 thru 58) -  Sum (Lines 59 to 63)</v>
      </c>
      <c r="F111" s="57"/>
      <c r="G111" s="873">
        <f>G104+G105-SUM(G106:G110)</f>
        <v>106677626</v>
      </c>
      <c r="I111" s="53"/>
      <c r="J111" s="53"/>
      <c r="K111" s="53"/>
    </row>
    <row r="112" spans="1:11" ht="15.75">
      <c r="A112" s="71">
        <f t="shared" si="1"/>
        <v>65</v>
      </c>
      <c r="B112" s="71"/>
      <c r="C112" s="51" t="s">
        <v>448</v>
      </c>
      <c r="E112" s="175" t="str">
        <f>"(Line "&amp;A$12&amp;")"</f>
        <v>(Line 5)</v>
      </c>
      <c r="F112" s="59"/>
      <c r="G112" s="61">
        <f>+G12</f>
        <v>0.18446314069920292</v>
      </c>
      <c r="I112" s="53"/>
      <c r="J112" s="53"/>
      <c r="K112" s="53"/>
    </row>
    <row r="113" spans="1:11" ht="15.75">
      <c r="A113" s="71">
        <f t="shared" si="1"/>
        <v>66</v>
      </c>
      <c r="B113" s="71"/>
      <c r="C113" s="38" t="s">
        <v>349</v>
      </c>
      <c r="D113" s="151"/>
      <c r="E113" s="22" t="str">
        <f>"(Line "&amp;A111&amp;" * Line "&amp;A112&amp;")"</f>
        <v>(Line 64 * Line 65)</v>
      </c>
      <c r="F113" s="57"/>
      <c r="G113" s="749">
        <f>+G112*G111</f>
        <v>19678089.934294946</v>
      </c>
      <c r="I113" s="53"/>
      <c r="J113" s="53"/>
      <c r="K113" s="53"/>
    </row>
    <row r="114" spans="1:11" ht="15.75">
      <c r="A114" s="71"/>
      <c r="B114" s="71"/>
      <c r="C114" s="46"/>
      <c r="D114" s="19"/>
      <c r="E114" s="60"/>
      <c r="F114" s="60"/>
      <c r="G114" s="882"/>
      <c r="I114" s="53"/>
      <c r="J114" s="53"/>
      <c r="K114" s="53"/>
    </row>
    <row r="115" spans="1:11" ht="15.75">
      <c r="A115" s="71"/>
      <c r="B115" s="21" t="s">
        <v>341</v>
      </c>
      <c r="C115" s="53"/>
      <c r="D115" s="19"/>
      <c r="E115" s="60"/>
      <c r="F115" s="60"/>
      <c r="G115" s="882"/>
      <c r="I115" s="53"/>
      <c r="J115" s="53"/>
      <c r="K115" s="53"/>
    </row>
    <row r="116" spans="1:11" ht="15.75">
      <c r="A116" s="71">
        <f>+A113+1</f>
        <v>67</v>
      </c>
      <c r="B116" s="50"/>
      <c r="C116" s="51" t="s">
        <v>521</v>
      </c>
      <c r="D116" s="176" t="str">
        <f>"(Note "&amp;B$285&amp;")"</f>
        <v>(Note G)</v>
      </c>
      <c r="E116" s="9" t="s">
        <v>8</v>
      </c>
      <c r="F116" s="53"/>
      <c r="G116" s="744">
        <f>'5 - Cost Support 1'!H197</f>
        <v>0</v>
      </c>
      <c r="J116" s="53"/>
      <c r="K116" s="53"/>
    </row>
    <row r="117" spans="1:11" ht="15.75">
      <c r="A117" s="28">
        <f>+A116+1</f>
        <v>68</v>
      </c>
      <c r="B117" s="50"/>
      <c r="C117" s="138" t="s">
        <v>522</v>
      </c>
      <c r="D117" s="182" t="str">
        <f>"(Note "&amp;B$294&amp;")"</f>
        <v>(Note K)</v>
      </c>
      <c r="E117" s="138" t="s">
        <v>8</v>
      </c>
      <c r="F117" s="243"/>
      <c r="G117" s="745">
        <f>'5 - Cost Support 1'!H202</f>
        <v>0</v>
      </c>
      <c r="J117" s="53"/>
      <c r="K117" s="53"/>
    </row>
    <row r="118" spans="1:11" ht="15.75">
      <c r="A118" s="28">
        <f>+A117+1</f>
        <v>69</v>
      </c>
      <c r="B118" s="50"/>
      <c r="C118" s="51" t="s">
        <v>511</v>
      </c>
      <c r="D118" s="147"/>
      <c r="E118" s="22" t="str">
        <f>"(Line "&amp;A116&amp;" + Line "&amp;A117&amp;")"</f>
        <v>(Line 67 + Line 68)</v>
      </c>
      <c r="F118" s="53"/>
      <c r="G118" s="747">
        <f>+G117+G116</f>
        <v>0</v>
      </c>
      <c r="I118" s="53"/>
      <c r="J118" s="53"/>
      <c r="K118" s="53"/>
    </row>
    <row r="119" spans="1:11" ht="15.75">
      <c r="A119" s="71"/>
      <c r="B119" s="50"/>
      <c r="C119" s="51"/>
      <c r="D119" s="147"/>
      <c r="E119" s="51"/>
      <c r="F119" s="53"/>
      <c r="G119" s="750"/>
      <c r="I119" s="53"/>
      <c r="J119" s="53"/>
      <c r="K119" s="53"/>
    </row>
    <row r="120" spans="1:11" ht="15.75">
      <c r="A120" s="28">
        <f>+A118+1</f>
        <v>70</v>
      </c>
      <c r="B120" s="50"/>
      <c r="C120" s="51" t="s">
        <v>523</v>
      </c>
      <c r="E120" s="51" t="str">
        <f>"Line "&amp;A107&amp;""</f>
        <v>Line 60</v>
      </c>
      <c r="F120" s="53"/>
      <c r="G120" s="746">
        <f>G107</f>
        <v>5343577</v>
      </c>
      <c r="I120" s="53"/>
      <c r="J120" s="53"/>
      <c r="K120" s="53"/>
    </row>
    <row r="121" spans="1:11" ht="15.75">
      <c r="A121" s="28">
        <f>+A120+1</f>
        <v>71</v>
      </c>
      <c r="B121" s="50"/>
      <c r="C121" s="51" t="s">
        <v>522</v>
      </c>
      <c r="D121" s="176" t="str">
        <f>"(Note "&amp;B$284&amp;")"</f>
        <v>(Note F)</v>
      </c>
      <c r="E121" s="138" t="s">
        <v>8</v>
      </c>
      <c r="F121" s="243"/>
      <c r="G121" s="745">
        <f>G117</f>
        <v>0</v>
      </c>
      <c r="J121" s="53"/>
      <c r="K121" s="53"/>
    </row>
    <row r="122" spans="1:11" ht="15.75">
      <c r="A122" s="71">
        <f>+A121+1</f>
        <v>72</v>
      </c>
      <c r="B122" s="50"/>
      <c r="C122" s="54" t="s">
        <v>458</v>
      </c>
      <c r="D122" s="154"/>
      <c r="E122" s="22" t="str">
        <f>"(Line "&amp;A120&amp;" + Line "&amp;A121&amp;")"</f>
        <v>(Line 70 + Line 71)</v>
      </c>
      <c r="F122" s="99"/>
      <c r="G122" s="751">
        <f>+G120+G121</f>
        <v>5343577</v>
      </c>
      <c r="I122" s="53"/>
      <c r="J122" s="53"/>
      <c r="K122" s="53"/>
    </row>
    <row r="123" spans="1:11" ht="15.75">
      <c r="A123" s="28">
        <f>+A122+1</f>
        <v>73</v>
      </c>
      <c r="B123" s="71"/>
      <c r="C123" s="362" t="s">
        <v>408</v>
      </c>
      <c r="D123" s="28"/>
      <c r="E123" s="102" t="str">
        <f>"(Line "&amp;A$23&amp;")"</f>
        <v>(Line 12)</v>
      </c>
      <c r="F123" s="59"/>
      <c r="G123" s="61">
        <f>+G23</f>
        <v>0.2632866573880302</v>
      </c>
      <c r="I123" s="53"/>
      <c r="J123" s="53"/>
      <c r="K123" s="53"/>
    </row>
    <row r="124" spans="1:11" ht="15.75">
      <c r="A124" s="71">
        <f>+A123+1</f>
        <v>74</v>
      </c>
      <c r="B124" s="71"/>
      <c r="C124" s="38" t="s">
        <v>343</v>
      </c>
      <c r="D124" s="151"/>
      <c r="E124" s="22" t="str">
        <f>"(Line "&amp;A122&amp;" * Line "&amp;A123&amp;")"</f>
        <v>(Line 72 * Line 73)</v>
      </c>
      <c r="F124" s="57"/>
      <c r="G124" s="733">
        <f>+G123*G122</f>
        <v>1406892.5268255582</v>
      </c>
      <c r="I124" s="53"/>
      <c r="J124" s="53"/>
      <c r="K124" s="53"/>
    </row>
    <row r="125" spans="1:11" ht="15.75">
      <c r="A125" s="28"/>
      <c r="B125" s="28"/>
      <c r="C125" s="21"/>
      <c r="D125" s="18"/>
      <c r="E125" s="29"/>
      <c r="F125" s="29"/>
      <c r="G125" s="882"/>
      <c r="I125" s="53"/>
      <c r="J125" s="53"/>
      <c r="K125" s="53"/>
    </row>
    <row r="126" spans="1:11" ht="16.5" thickBot="1">
      <c r="A126" s="28">
        <f>+A124+1</f>
        <v>75</v>
      </c>
      <c r="B126" s="28"/>
      <c r="C126" s="39" t="s">
        <v>436</v>
      </c>
      <c r="D126" s="165"/>
      <c r="E126" s="41" t="str">
        <f>"(Lines "&amp;A101&amp;" + "&amp;A113&amp;" + "&amp;A118&amp;" + "&amp;A124&amp;")"</f>
        <v>(Lines 56 + 66 + 69 + 74)</v>
      </c>
      <c r="F126" s="110"/>
      <c r="G126" s="737">
        <f>+G101+G113+G118+G124</f>
        <v>33789275.4611205</v>
      </c>
      <c r="I126" s="53"/>
      <c r="J126" s="53"/>
      <c r="K126" s="53"/>
    </row>
    <row r="127" spans="1:11" ht="16.5" thickTop="1">
      <c r="A127" s="49"/>
      <c r="B127" s="28"/>
      <c r="C127" s="21"/>
      <c r="D127" s="18"/>
      <c r="E127" s="29"/>
      <c r="F127" s="29"/>
      <c r="G127" s="37"/>
      <c r="I127" s="53"/>
      <c r="J127" s="53"/>
      <c r="K127" s="53"/>
    </row>
    <row r="128" spans="1:11" ht="15.75">
      <c r="A128" s="1099" t="s">
        <v>430</v>
      </c>
      <c r="B128" s="1090"/>
      <c r="C128" s="1100"/>
      <c r="D128" s="162"/>
      <c r="E128" s="116"/>
      <c r="F128" s="116"/>
      <c r="G128" s="117"/>
      <c r="I128" s="53"/>
      <c r="J128" s="53"/>
      <c r="K128" s="53"/>
    </row>
    <row r="129" spans="1:11" ht="15.75">
      <c r="A129" s="21"/>
      <c r="B129" s="28"/>
      <c r="C129" s="21"/>
      <c r="D129" s="18"/>
      <c r="E129" s="29"/>
      <c r="F129" s="29"/>
      <c r="G129" s="806"/>
      <c r="I129" s="53"/>
      <c r="J129" s="53"/>
      <c r="K129" s="53"/>
    </row>
    <row r="130" spans="1:11" ht="15.75">
      <c r="A130" s="84"/>
      <c r="B130" s="96" t="s">
        <v>320</v>
      </c>
      <c r="C130" s="47"/>
      <c r="E130" s="68"/>
      <c r="F130" s="68"/>
      <c r="G130" s="69"/>
      <c r="I130" s="53"/>
      <c r="J130" s="53"/>
      <c r="K130" s="53"/>
    </row>
    <row r="131" spans="1:11" ht="15.75">
      <c r="A131" s="28">
        <f>+A126+1</f>
        <v>76</v>
      </c>
      <c r="B131" s="48"/>
      <c r="C131" s="362" t="s">
        <v>321</v>
      </c>
      <c r="D131" s="72"/>
      <c r="E131" s="144" t="s">
        <v>363</v>
      </c>
      <c r="F131" s="76"/>
      <c r="G131" s="888">
        <f>+'8 - Depreciation Exp'!D14</f>
        <v>23264733.705631</v>
      </c>
      <c r="I131" s="53"/>
      <c r="J131" s="53"/>
      <c r="K131" s="53"/>
    </row>
    <row r="132" spans="1:11" ht="15.75">
      <c r="A132" s="28">
        <f>A131+1</f>
        <v>77</v>
      </c>
      <c r="B132" s="48"/>
      <c r="C132" s="138" t="s">
        <v>379</v>
      </c>
      <c r="D132" s="182" t="str">
        <f>"(Note "&amp;B$280&amp;")"</f>
        <v>(Note B)</v>
      </c>
      <c r="E132" s="138" t="s">
        <v>119</v>
      </c>
      <c r="F132" s="243"/>
      <c r="G132" s="745">
        <f>IF(I1=1,0,'6- Est &amp; Reconcile WS'!H218)</f>
        <v>0</v>
      </c>
      <c r="I132" s="1218"/>
      <c r="J132" s="53"/>
      <c r="K132" s="53"/>
    </row>
    <row r="133" spans="1:11" ht="15.75">
      <c r="A133" s="28">
        <f>A132+1</f>
        <v>78</v>
      </c>
      <c r="B133" s="48"/>
      <c r="C133" s="12" t="s">
        <v>131</v>
      </c>
      <c r="D133" s="28"/>
      <c r="E133" s="239" t="str">
        <f>"(Line "&amp;A131&amp;" + Line "&amp;A132&amp;")"</f>
        <v>(Line 76 + Line 77)</v>
      </c>
      <c r="G133" s="747">
        <f>G131+G132</f>
        <v>23264733.705631</v>
      </c>
      <c r="I133" s="53"/>
      <c r="J133" s="53"/>
      <c r="K133" s="53"/>
    </row>
    <row r="134" spans="1:11" ht="15.75">
      <c r="A134" s="28"/>
      <c r="B134" s="48"/>
      <c r="C134" s="49"/>
      <c r="D134" s="28"/>
      <c r="E134" s="49"/>
      <c r="F134" s="59"/>
      <c r="G134" s="740"/>
      <c r="I134" s="53"/>
      <c r="J134" s="53"/>
      <c r="K134" s="53"/>
    </row>
    <row r="135" spans="1:11" ht="15.75">
      <c r="A135" s="28">
        <f>+A133+1</f>
        <v>79</v>
      </c>
      <c r="B135" s="48"/>
      <c r="C135" s="362" t="s">
        <v>457</v>
      </c>
      <c r="D135" s="72"/>
      <c r="E135" s="73" t="str">
        <f>+E131</f>
        <v>Attachment 8, Col. (D)</v>
      </c>
      <c r="G135" s="744">
        <f>+'8 - Depreciation Exp'!D27</f>
        <v>20163259.795300003</v>
      </c>
      <c r="I135" s="53"/>
      <c r="J135" s="53"/>
      <c r="K135" s="53"/>
    </row>
    <row r="136" spans="1:11" ht="15">
      <c r="A136" s="28">
        <f>+A135+1</f>
        <v>80</v>
      </c>
      <c r="B136" s="48"/>
      <c r="C136" s="138" t="s">
        <v>409</v>
      </c>
      <c r="D136" s="182" t="str">
        <f>"(Note "&amp;B$279&amp;")"</f>
        <v>(Note A)</v>
      </c>
      <c r="E136" s="138" t="s">
        <v>738</v>
      </c>
      <c r="F136" s="222"/>
      <c r="G136" s="1132">
        <v>34446889</v>
      </c>
      <c r="H136" s="53"/>
      <c r="I136" s="53"/>
      <c r="J136" s="1208"/>
      <c r="K136" s="53"/>
    </row>
    <row r="137" spans="1:11" ht="15.75">
      <c r="A137" s="28">
        <f>+A136+1</f>
        <v>81</v>
      </c>
      <c r="B137" s="48"/>
      <c r="C137" s="73" t="s">
        <v>458</v>
      </c>
      <c r="D137" s="72"/>
      <c r="E137" s="22" t="str">
        <f>"(Line "&amp;A135&amp;" + Line "&amp;A136&amp;")"</f>
        <v>(Line 79 + Line 80)</v>
      </c>
      <c r="G137" s="746">
        <f>SUM(G135:G136)</f>
        <v>54610148.79530001</v>
      </c>
      <c r="H137" s="53"/>
      <c r="I137" s="53"/>
      <c r="J137" s="53"/>
      <c r="K137" s="53"/>
    </row>
    <row r="138" spans="1:11" ht="15.75">
      <c r="A138" s="28">
        <f>+A137+1</f>
        <v>82</v>
      </c>
      <c r="B138" s="48"/>
      <c r="C138" s="138" t="s">
        <v>448</v>
      </c>
      <c r="D138" s="166"/>
      <c r="E138" s="175" t="str">
        <f>"(Line "&amp;A$12&amp;")"</f>
        <v>(Line 5)</v>
      </c>
      <c r="F138" s="90"/>
      <c r="G138" s="94">
        <f>+G12</f>
        <v>0.18446314069920292</v>
      </c>
      <c r="H138" s="53"/>
      <c r="I138" s="53"/>
      <c r="J138" s="53"/>
      <c r="K138" s="53"/>
    </row>
    <row r="139" spans="1:11" ht="15.75">
      <c r="A139" s="28">
        <f>+A138+1</f>
        <v>83</v>
      </c>
      <c r="B139" s="48"/>
      <c r="C139" s="96" t="s">
        <v>412</v>
      </c>
      <c r="D139" s="28"/>
      <c r="E139" s="22" t="str">
        <f>"(Line "&amp;A137&amp;" * Line "&amp;A138&amp;")"</f>
        <v>(Line 81 * Line 82)</v>
      </c>
      <c r="F139" s="59"/>
      <c r="G139" s="727">
        <f>+G137*G138</f>
        <v>10073559.560831832</v>
      </c>
      <c r="H139" s="53"/>
      <c r="I139" s="53"/>
      <c r="J139" s="53"/>
      <c r="K139" s="53"/>
    </row>
    <row r="140" spans="1:11" ht="15.75">
      <c r="A140" s="71"/>
      <c r="B140" s="50"/>
      <c r="C140" s="51"/>
      <c r="D140" s="71"/>
      <c r="E140" s="51"/>
      <c r="F140" s="59"/>
      <c r="G140" s="743"/>
      <c r="H140" s="53"/>
      <c r="I140" s="53"/>
      <c r="J140" s="53"/>
      <c r="K140" s="53"/>
    </row>
    <row r="141" spans="1:11" ht="15.75">
      <c r="A141" s="28">
        <f>+A139+1</f>
        <v>84</v>
      </c>
      <c r="B141" s="50"/>
      <c r="C141" s="51" t="s">
        <v>309</v>
      </c>
      <c r="D141" s="176" t="str">
        <f>"(Note "&amp;B$279&amp;")"</f>
        <v>(Note A)</v>
      </c>
      <c r="E141" s="51" t="s">
        <v>477</v>
      </c>
      <c r="G141" s="1131">
        <v>0</v>
      </c>
      <c r="H141" s="191"/>
      <c r="I141" s="191"/>
      <c r="J141" s="53"/>
      <c r="K141" s="53"/>
    </row>
    <row r="142" spans="1:11" ht="15.75">
      <c r="A142" s="71">
        <f>+A141+1</f>
        <v>85</v>
      </c>
      <c r="B142" s="50"/>
      <c r="C142" s="138" t="s">
        <v>411</v>
      </c>
      <c r="D142" s="182" t="str">
        <f>"(Note "&amp;B$279&amp;")"</f>
        <v>(Note A)</v>
      </c>
      <c r="E142" s="138" t="s">
        <v>476</v>
      </c>
      <c r="F142" s="222"/>
      <c r="G142" s="1132">
        <v>0</v>
      </c>
      <c r="H142" s="191"/>
      <c r="I142" s="191"/>
      <c r="J142" s="53"/>
      <c r="K142" s="53"/>
    </row>
    <row r="143" spans="1:11" ht="15.75">
      <c r="A143" s="71">
        <f>+A142+1</f>
        <v>86</v>
      </c>
      <c r="B143" s="50"/>
      <c r="C143" s="51" t="s">
        <v>458</v>
      </c>
      <c r="D143" s="71"/>
      <c r="E143" s="22" t="str">
        <f>"(Line "&amp;A141&amp;" + Line "&amp;A142&amp;")"</f>
        <v>(Line 84 + Line 85)</v>
      </c>
      <c r="G143" s="746">
        <f>+G142+G141</f>
        <v>0</v>
      </c>
      <c r="H143" s="53"/>
      <c r="I143" s="53"/>
      <c r="J143" s="53"/>
      <c r="K143" s="53"/>
    </row>
    <row r="144" spans="1:11" ht="15.75">
      <c r="A144" s="28">
        <f>+A143+1</f>
        <v>87</v>
      </c>
      <c r="B144" s="50"/>
      <c r="C144" s="138" t="s">
        <v>448</v>
      </c>
      <c r="D144" s="166"/>
      <c r="E144" s="175" t="str">
        <f>"(Line "&amp;A$12&amp;")"</f>
        <v>(Line 5)</v>
      </c>
      <c r="F144" s="90"/>
      <c r="G144" s="94">
        <f>+G12</f>
        <v>0.18446314069920292</v>
      </c>
      <c r="H144" s="53"/>
      <c r="I144" s="53"/>
      <c r="J144" s="53"/>
      <c r="K144" s="53"/>
    </row>
    <row r="145" spans="1:11" ht="15.75">
      <c r="A145" s="28">
        <f>+A144+1</f>
        <v>88</v>
      </c>
      <c r="B145" s="50"/>
      <c r="C145" s="96" t="s">
        <v>413</v>
      </c>
      <c r="D145" s="71"/>
      <c r="E145" s="22" t="str">
        <f>"(Line "&amp;A143&amp;" * Line "&amp;A144&amp;")"</f>
        <v>(Line 86 * Line 87)</v>
      </c>
      <c r="F145" s="59"/>
      <c r="G145" s="727">
        <f>+G144*G143</f>
        <v>0</v>
      </c>
      <c r="H145" s="53"/>
      <c r="I145" s="53"/>
      <c r="J145" s="53"/>
      <c r="K145" s="53"/>
    </row>
    <row r="146" spans="1:11" ht="15.75">
      <c r="A146" s="71"/>
      <c r="B146" s="50"/>
      <c r="C146" s="47"/>
      <c r="D146" s="71"/>
      <c r="E146" s="51"/>
      <c r="F146" s="59"/>
      <c r="G146" s="739"/>
      <c r="H146" s="53"/>
      <c r="I146" s="53"/>
      <c r="J146" s="53"/>
      <c r="K146" s="53"/>
    </row>
    <row r="147" spans="1:11" ht="15.75">
      <c r="A147" s="97"/>
      <c r="B147" s="31"/>
      <c r="C147" s="51"/>
      <c r="D147" s="71"/>
      <c r="E147" s="51"/>
      <c r="F147" s="59"/>
      <c r="G147" s="740"/>
      <c r="H147" s="53"/>
      <c r="I147" s="53"/>
      <c r="J147" s="53"/>
      <c r="K147" s="53"/>
    </row>
    <row r="148" spans="1:11" s="67" customFormat="1" ht="16.5" thickBot="1">
      <c r="A148" s="28">
        <f>+A145+1</f>
        <v>89</v>
      </c>
      <c r="B148" s="1091" t="s">
        <v>431</v>
      </c>
      <c r="C148" s="1091"/>
      <c r="D148" s="167"/>
      <c r="E148" s="41" t="str">
        <f>"(Lines "&amp;A133&amp;" + "&amp;A139&amp;" + "&amp;A145&amp;")"</f>
        <v>(Lines 78 + 83 + 88)</v>
      </c>
      <c r="F148" s="95"/>
      <c r="G148" s="889">
        <f>+G133+G139+G145</f>
        <v>33338293.266462833</v>
      </c>
      <c r="H148" s="53"/>
      <c r="I148" s="221"/>
      <c r="J148" s="221"/>
      <c r="K148" s="221"/>
    </row>
    <row r="149" spans="7:11" ht="15.75" thickTop="1">
      <c r="G149" s="136"/>
      <c r="H149" s="53"/>
      <c r="I149" s="53"/>
      <c r="J149" s="53"/>
      <c r="K149" s="53"/>
    </row>
    <row r="150" spans="1:11" ht="15.75">
      <c r="A150" s="1099" t="s">
        <v>751</v>
      </c>
      <c r="B150" s="1090"/>
      <c r="C150" s="1100"/>
      <c r="D150" s="237"/>
      <c r="E150" s="116"/>
      <c r="F150" s="116"/>
      <c r="G150" s="741"/>
      <c r="H150" s="53"/>
      <c r="I150" s="53"/>
      <c r="J150" s="53"/>
      <c r="K150" s="53"/>
    </row>
    <row r="151" spans="1:11" ht="15.75">
      <c r="A151" s="206"/>
      <c r="B151" s="28"/>
      <c r="C151" s="21"/>
      <c r="D151" s="18"/>
      <c r="E151" s="29"/>
      <c r="F151" s="29"/>
      <c r="G151" s="216"/>
      <c r="H151" s="53"/>
      <c r="I151" s="53"/>
      <c r="J151" s="53"/>
      <c r="K151" s="53"/>
    </row>
    <row r="152" spans="1:11" ht="15.75">
      <c r="A152" s="71">
        <f>+A148+1</f>
        <v>90</v>
      </c>
      <c r="B152" s="1087" t="s">
        <v>305</v>
      </c>
      <c r="C152" s="1088"/>
      <c r="D152" s="176"/>
      <c r="E152" s="53" t="s">
        <v>704</v>
      </c>
      <c r="F152" s="53"/>
      <c r="G152" s="318">
        <f>+'2 - Other Tax'!G39</f>
        <v>1456843.4621748086</v>
      </c>
      <c r="H152" s="53"/>
      <c r="I152" s="53"/>
      <c r="J152" s="53"/>
      <c r="K152" s="53"/>
    </row>
    <row r="153" spans="1:11" ht="15">
      <c r="A153" s="86"/>
      <c r="B153" s="52"/>
      <c r="D153" s="28"/>
      <c r="E153" s="49"/>
      <c r="F153" s="53"/>
      <c r="G153" s="136"/>
      <c r="H153" s="53"/>
      <c r="I153" s="53"/>
      <c r="J153" s="53"/>
      <c r="K153" s="53"/>
    </row>
    <row r="154" spans="1:11" ht="16.5" thickBot="1">
      <c r="A154" s="71">
        <f>+A152+1</f>
        <v>91</v>
      </c>
      <c r="B154" s="39" t="s">
        <v>316</v>
      </c>
      <c r="C154" s="39"/>
      <c r="D154" s="157"/>
      <c r="E154" s="41" t="str">
        <f>"(Line "&amp;A152&amp;")"</f>
        <v>(Line 90)</v>
      </c>
      <c r="F154" s="43"/>
      <c r="G154" s="742">
        <f>+G152</f>
        <v>1456843.4621748086</v>
      </c>
      <c r="H154" s="53"/>
      <c r="I154" s="53"/>
      <c r="J154" s="53"/>
      <c r="K154" s="53"/>
    </row>
    <row r="155" spans="1:10" ht="15.75" thickTop="1">
      <c r="A155" s="84"/>
      <c r="H155" s="53"/>
      <c r="I155" s="99"/>
      <c r="J155" s="99"/>
    </row>
    <row r="156" spans="1:10" ht="15.75">
      <c r="A156" s="1099" t="s">
        <v>414</v>
      </c>
      <c r="B156" s="1090"/>
      <c r="C156" s="1100"/>
      <c r="D156" s="162"/>
      <c r="E156" s="116"/>
      <c r="F156" s="116"/>
      <c r="G156" s="117"/>
      <c r="H156" s="53"/>
      <c r="I156" s="99"/>
      <c r="J156" s="99"/>
    </row>
    <row r="157" spans="1:10" ht="15.75">
      <c r="A157" s="49"/>
      <c r="B157" s="28"/>
      <c r="C157" s="21"/>
      <c r="D157" s="18"/>
      <c r="E157" s="29"/>
      <c r="F157" s="29"/>
      <c r="G157" s="37"/>
      <c r="H157" s="53"/>
      <c r="I157" s="99"/>
      <c r="J157" s="99"/>
    </row>
    <row r="158" spans="1:10" ht="15.75">
      <c r="A158" s="71"/>
      <c r="B158" s="79" t="s">
        <v>318</v>
      </c>
      <c r="D158" s="19"/>
      <c r="F158" s="22"/>
      <c r="H158" s="53"/>
      <c r="I158" s="99"/>
      <c r="J158" s="99"/>
    </row>
    <row r="159" spans="1:13" ht="15.75">
      <c r="A159" s="71">
        <f>+A154+1</f>
        <v>92</v>
      </c>
      <c r="B159" s="79"/>
      <c r="C159" s="29" t="s">
        <v>318</v>
      </c>
      <c r="D159" s="176" t="str">
        <f>"(Note "&amp;B301&amp;")"</f>
        <v>(Note Q)</v>
      </c>
      <c r="E159" s="47" t="s">
        <v>8</v>
      </c>
      <c r="F159" s="22"/>
      <c r="G159" s="796">
        <f>+'5 - Cost Support 1'!F303</f>
        <v>47729482</v>
      </c>
      <c r="H159" s="191"/>
      <c r="I159" s="53"/>
      <c r="J159" s="42"/>
      <c r="M159" s="53"/>
    </row>
    <row r="160" spans="1:13" ht="15.75">
      <c r="A160" s="71">
        <f aca="true" t="shared" si="2" ref="A160:A165">A159+1</f>
        <v>93</v>
      </c>
      <c r="B160" s="79"/>
      <c r="C160" s="29" t="s">
        <v>480</v>
      </c>
      <c r="D160" s="47"/>
      <c r="E160" s="76" t="s">
        <v>729</v>
      </c>
      <c r="F160" s="22"/>
      <c r="G160" s="1131">
        <v>225018</v>
      </c>
      <c r="H160" s="53"/>
      <c r="I160" s="99"/>
      <c r="J160" s="1208"/>
      <c r="K160" s="53"/>
      <c r="L160" s="53"/>
      <c r="M160" s="53"/>
    </row>
    <row r="161" spans="1:13" ht="15.75">
      <c r="A161" s="71">
        <f t="shared" si="2"/>
        <v>94</v>
      </c>
      <c r="B161" s="79"/>
      <c r="C161" s="29" t="s">
        <v>481</v>
      </c>
      <c r="D161" s="19"/>
      <c r="E161" s="76" t="s">
        <v>730</v>
      </c>
      <c r="F161" s="22"/>
      <c r="G161" s="1131">
        <v>2328800</v>
      </c>
      <c r="H161" s="53"/>
      <c r="I161" s="99"/>
      <c r="J161" s="1208"/>
      <c r="K161" s="53"/>
      <c r="L161" s="53"/>
      <c r="M161" s="53"/>
    </row>
    <row r="162" spans="1:15" ht="15.75">
      <c r="A162" s="71">
        <f t="shared" si="2"/>
        <v>95</v>
      </c>
      <c r="B162" s="79"/>
      <c r="C162" s="60" t="s">
        <v>482</v>
      </c>
      <c r="D162" s="19"/>
      <c r="E162" s="76" t="s">
        <v>731</v>
      </c>
      <c r="F162" s="22"/>
      <c r="G162" s="1131">
        <v>0</v>
      </c>
      <c r="H162" s="53"/>
      <c r="I162" s="99"/>
      <c r="J162" s="53"/>
      <c r="K162" s="53"/>
      <c r="L162" s="42"/>
      <c r="M162" s="53"/>
      <c r="N162" s="53"/>
      <c r="O162" s="53"/>
    </row>
    <row r="163" spans="1:15" ht="15.75">
      <c r="A163" s="71">
        <f t="shared" si="2"/>
        <v>96</v>
      </c>
      <c r="B163" s="79"/>
      <c r="C163" s="29" t="s">
        <v>478</v>
      </c>
      <c r="D163" s="19"/>
      <c r="E163" s="76" t="s">
        <v>732</v>
      </c>
      <c r="F163" s="22"/>
      <c r="G163" s="1131">
        <v>0</v>
      </c>
      <c r="H163" s="53"/>
      <c r="I163" s="99"/>
      <c r="J163" s="53"/>
      <c r="K163" s="53"/>
      <c r="L163" s="42"/>
      <c r="M163" s="910"/>
      <c r="N163" s="53"/>
      <c r="O163" s="53"/>
    </row>
    <row r="164" spans="1:15" ht="15.75">
      <c r="A164" s="71">
        <f t="shared" si="2"/>
        <v>97</v>
      </c>
      <c r="B164" s="456"/>
      <c r="C164" s="222" t="s">
        <v>479</v>
      </c>
      <c r="D164" s="182"/>
      <c r="E164" s="138" t="s">
        <v>298</v>
      </c>
      <c r="F164" s="222"/>
      <c r="G164" s="1132">
        <v>127697</v>
      </c>
      <c r="H164" s="53"/>
      <c r="I164" s="99"/>
      <c r="J164" s="1208"/>
      <c r="K164" s="53"/>
      <c r="L164" s="1020"/>
      <c r="M164" s="53"/>
      <c r="N164" s="53"/>
      <c r="O164" s="53"/>
    </row>
    <row r="165" spans="1:13" ht="15.75">
      <c r="A165" s="71">
        <f t="shared" si="2"/>
        <v>98</v>
      </c>
      <c r="B165" s="47"/>
      <c r="C165" s="1" t="s">
        <v>158</v>
      </c>
      <c r="D165" s="19"/>
      <c r="E165" s="19" t="str">
        <f>"(Sum lines "&amp;A159&amp;" to "&amp;A161&amp;") - Line "&amp;A162&amp;" - Line "&amp;A163&amp;" + Line "&amp;A164&amp;""</f>
        <v>(Sum lines 92 to 94) - Line 95 - Line 96 + Line 97</v>
      </c>
      <c r="F165" s="22"/>
      <c r="G165" s="880">
        <f>SUM(G159:G161)-G163-G162+G164</f>
        <v>50410997</v>
      </c>
      <c r="H165" s="318"/>
      <c r="I165" s="847"/>
      <c r="J165" s="42"/>
      <c r="K165" s="455"/>
      <c r="L165" s="53"/>
      <c r="M165" s="53"/>
    </row>
    <row r="166" spans="1:13" ht="15">
      <c r="A166" s="28"/>
      <c r="B166" s="28"/>
      <c r="C166" s="874"/>
      <c r="D166" s="85"/>
      <c r="E166" s="8"/>
      <c r="F166" s="5"/>
      <c r="G166" s="882"/>
      <c r="H166" s="53"/>
      <c r="I166" s="34"/>
      <c r="J166" s="42"/>
      <c r="K166" s="455"/>
      <c r="L166" s="53"/>
      <c r="M166" s="53"/>
    </row>
    <row r="167" spans="1:13" ht="15.75">
      <c r="A167" s="28">
        <f>A165+1</f>
        <v>99</v>
      </c>
      <c r="B167" s="11" t="s">
        <v>424</v>
      </c>
      <c r="D167" s="803" t="s">
        <v>726</v>
      </c>
      <c r="E167" s="5" t="s">
        <v>733</v>
      </c>
      <c r="F167" s="5"/>
      <c r="G167" s="1131">
        <v>1152560</v>
      </c>
      <c r="H167" s="53"/>
      <c r="I167" s="42"/>
      <c r="J167" s="1208"/>
      <c r="K167" s="53"/>
      <c r="L167" s="53"/>
      <c r="M167" s="53"/>
    </row>
    <row r="168" spans="1:17" ht="15.75">
      <c r="A168" s="28"/>
      <c r="B168" s="28"/>
      <c r="C168" s="1094"/>
      <c r="D168" s="18"/>
      <c r="E168" s="5"/>
      <c r="F168" s="5"/>
      <c r="G168" s="890"/>
      <c r="H168" s="53"/>
      <c r="I168" s="1027"/>
      <c r="J168" s="910" t="s">
        <v>852</v>
      </c>
      <c r="K168" s="1028"/>
      <c r="L168" s="1029"/>
      <c r="M168" s="1029"/>
      <c r="N168" s="1030"/>
      <c r="O168" s="1030"/>
      <c r="P168" s="1030"/>
      <c r="Q168" s="1030"/>
    </row>
    <row r="169" spans="1:13" ht="15.75">
      <c r="A169" s="28"/>
      <c r="B169" s="12" t="s">
        <v>306</v>
      </c>
      <c r="D169" s="18"/>
      <c r="E169" s="9"/>
      <c r="F169" s="5"/>
      <c r="G169" s="890"/>
      <c r="H169" s="53"/>
      <c r="I169" s="909"/>
      <c r="K169" s="910"/>
      <c r="L169" s="53"/>
      <c r="M169" s="53"/>
    </row>
    <row r="170" spans="1:14" ht="18">
      <c r="A170" s="28">
        <f>+A167+1</f>
        <v>100</v>
      </c>
      <c r="B170" s="28"/>
      <c r="C170" s="874" t="s">
        <v>460</v>
      </c>
      <c r="D170" s="18"/>
      <c r="E170" s="5" t="s">
        <v>734</v>
      </c>
      <c r="F170" s="53"/>
      <c r="G170" s="796">
        <f>IF(J188&gt;0.59,((G181+G182)*0.59/0.41+SUM(G171:G173)),J170)</f>
        <v>1212062192</v>
      </c>
      <c r="H170" s="53"/>
      <c r="I170" s="1166"/>
      <c r="J170" s="1061">
        <v>1212062192</v>
      </c>
      <c r="K170" s="910" t="s">
        <v>854</v>
      </c>
      <c r="L170" s="455"/>
      <c r="M170" s="1208"/>
      <c r="N170" s="53"/>
    </row>
    <row r="171" spans="1:14" ht="15">
      <c r="A171" s="28">
        <f>+A170+1</f>
        <v>101</v>
      </c>
      <c r="B171" s="71"/>
      <c r="C171" s="874" t="s">
        <v>694</v>
      </c>
      <c r="D171" s="18"/>
      <c r="E171" s="5" t="s">
        <v>735</v>
      </c>
      <c r="F171" s="5"/>
      <c r="G171" s="1130">
        <v>266274</v>
      </c>
      <c r="H171" s="53"/>
      <c r="I171" s="908"/>
      <c r="J171" s="318">
        <f>G171</f>
        <v>266274</v>
      </c>
      <c r="K171" s="910"/>
      <c r="L171" s="53"/>
      <c r="M171" s="1208"/>
      <c r="N171" s="53"/>
    </row>
    <row r="172" spans="1:14" ht="15">
      <c r="A172" s="28">
        <f>+A171+1</f>
        <v>102</v>
      </c>
      <c r="B172" s="71"/>
      <c r="C172" s="881" t="s">
        <v>416</v>
      </c>
      <c r="D172" s="25"/>
      <c r="E172" s="74" t="str">
        <f>"(Line "&amp;A182&amp;")"</f>
        <v>(Line 110)</v>
      </c>
      <c r="F172" s="5"/>
      <c r="G172" s="760">
        <f>G182</f>
        <v>0</v>
      </c>
      <c r="H172" s="53"/>
      <c r="I172" s="74"/>
      <c r="J172" s="760">
        <f>G172</f>
        <v>0</v>
      </c>
      <c r="K172" s="910"/>
      <c r="L172" s="735"/>
      <c r="M172" s="53"/>
      <c r="N172" s="53"/>
    </row>
    <row r="173" spans="1:14" ht="15">
      <c r="A173" s="28">
        <f>+A172+1</f>
        <v>103</v>
      </c>
      <c r="B173" s="71"/>
      <c r="C173" s="1101" t="s">
        <v>415</v>
      </c>
      <c r="D173" s="183"/>
      <c r="E173" s="138" t="s">
        <v>736</v>
      </c>
      <c r="F173" s="102"/>
      <c r="G173" s="1133">
        <v>0</v>
      </c>
      <c r="H173" s="53"/>
      <c r="I173" s="909"/>
      <c r="J173" s="1067">
        <f>G173</f>
        <v>0</v>
      </c>
      <c r="K173" s="910"/>
      <c r="L173" s="455"/>
      <c r="M173" s="1208"/>
      <c r="N173" s="53"/>
    </row>
    <row r="174" spans="1:12" ht="15.75">
      <c r="A174" s="28">
        <f>+A173+1</f>
        <v>104</v>
      </c>
      <c r="B174" s="71"/>
      <c r="C174" s="120" t="s">
        <v>306</v>
      </c>
      <c r="D174" s="153"/>
      <c r="E174" s="22" t="str">
        <f>"(Line "&amp;A170&amp;"  -  (Sum Lines "&amp;A171&amp;"  to "&amp;A173&amp;"))"</f>
        <v>(Line 100  -  (Sum Lines 101  to 103))</v>
      </c>
      <c r="F174" s="118"/>
      <c r="G174" s="890">
        <f>G170-G171-G172-G173</f>
        <v>1211795918</v>
      </c>
      <c r="H174" s="911"/>
      <c r="I174" s="42"/>
      <c r="J174" s="890">
        <f>J170-J171-J172-J173</f>
        <v>1211795918</v>
      </c>
      <c r="K174" s="910"/>
      <c r="L174" s="735"/>
    </row>
    <row r="175" spans="1:12" ht="15">
      <c r="A175" s="28"/>
      <c r="B175" s="28"/>
      <c r="C175" s="1094"/>
      <c r="D175" s="18"/>
      <c r="E175" s="5"/>
      <c r="F175" s="29"/>
      <c r="G175" s="890"/>
      <c r="H175" s="53"/>
      <c r="I175" s="42"/>
      <c r="J175" s="74"/>
      <c r="K175" s="455"/>
      <c r="L175" s="455"/>
    </row>
    <row r="176" spans="1:15" ht="15.75">
      <c r="A176" s="28"/>
      <c r="B176" s="12" t="s">
        <v>417</v>
      </c>
      <c r="D176" s="18"/>
      <c r="E176" s="5"/>
      <c r="F176" s="29"/>
      <c r="G176" s="890"/>
      <c r="H176" s="53"/>
      <c r="I176" s="42"/>
      <c r="J176" s="74"/>
      <c r="K176" s="455"/>
      <c r="L176" s="1153"/>
      <c r="M176" s="1153"/>
      <c r="N176" s="99"/>
      <c r="O176" s="99"/>
    </row>
    <row r="177" spans="1:15" ht="15">
      <c r="A177" s="28">
        <f>+A174+1</f>
        <v>105</v>
      </c>
      <c r="B177" s="28"/>
      <c r="C177" s="1094" t="s">
        <v>319</v>
      </c>
      <c r="D177" s="6"/>
      <c r="E177" s="3"/>
      <c r="F177" s="29"/>
      <c r="G177" s="760"/>
      <c r="H177" s="53"/>
      <c r="I177" s="45"/>
      <c r="J177" s="74"/>
      <c r="L177" s="1153"/>
      <c r="M177" s="1153"/>
      <c r="N177" s="99"/>
      <c r="O177" s="99"/>
    </row>
    <row r="178" spans="1:15" ht="15.75">
      <c r="A178" s="71">
        <f>A177+1</f>
        <v>106</v>
      </c>
      <c r="B178" s="71"/>
      <c r="C178" s="1095" t="s">
        <v>148</v>
      </c>
      <c r="D178" s="26"/>
      <c r="E178" s="23" t="s">
        <v>8</v>
      </c>
      <c r="F178" s="52"/>
      <c r="G178" s="876">
        <f>'5 - Cost Support 1'!F304</f>
        <v>1074905000</v>
      </c>
      <c r="H178" s="191"/>
      <c r="I178" s="45"/>
      <c r="J178" s="74"/>
      <c r="K178" s="300"/>
      <c r="L178" s="1153"/>
      <c r="M178" s="1153"/>
      <c r="N178" s="99"/>
      <c r="O178" s="99"/>
    </row>
    <row r="179" spans="1:15" ht="15">
      <c r="A179" s="28">
        <f>+A178+1</f>
        <v>107</v>
      </c>
      <c r="B179" s="28"/>
      <c r="C179" s="1094" t="s">
        <v>483</v>
      </c>
      <c r="D179" s="804" t="s">
        <v>28</v>
      </c>
      <c r="E179" s="74" t="s">
        <v>299</v>
      </c>
      <c r="F179" s="60"/>
      <c r="G179" s="1129">
        <v>-23022703</v>
      </c>
      <c r="H179" s="53"/>
      <c r="I179" s="45"/>
      <c r="J179" s="1006"/>
      <c r="K179" s="910"/>
      <c r="L179" s="1153"/>
      <c r="M179" s="1208"/>
      <c r="N179" s="53"/>
      <c r="O179" s="99"/>
    </row>
    <row r="180" spans="1:15" ht="15">
      <c r="A180" s="28">
        <f>A179+1</f>
        <v>108</v>
      </c>
      <c r="B180" s="28"/>
      <c r="C180" s="1097" t="s">
        <v>585</v>
      </c>
      <c r="D180" s="569"/>
      <c r="E180" s="138" t="s">
        <v>300</v>
      </c>
      <c r="F180" s="93"/>
      <c r="G180" s="1133">
        <v>0</v>
      </c>
      <c r="H180" s="53"/>
      <c r="I180" s="45"/>
      <c r="J180" s="910"/>
      <c r="K180" s="910"/>
      <c r="L180" s="1167"/>
      <c r="M180" s="1153"/>
      <c r="N180" s="99"/>
      <c r="O180" s="99"/>
    </row>
    <row r="181" spans="1:14" ht="15">
      <c r="A181" s="28">
        <f>A180+1</f>
        <v>109</v>
      </c>
      <c r="B181" s="71"/>
      <c r="C181" s="1102" t="s">
        <v>312</v>
      </c>
      <c r="D181" s="153"/>
      <c r="E181" s="22" t="str">
        <f>"Sum (Lines "&amp;A177&amp;" to Line "&amp;A180&amp;")"</f>
        <v>Sum (Lines 105 to Line 108)</v>
      </c>
      <c r="F181" s="74"/>
      <c r="G181" s="880">
        <f>SUM(G178:G180)</f>
        <v>1051882297</v>
      </c>
      <c r="H181" s="53"/>
      <c r="I181" s="42"/>
      <c r="J181" s="1066">
        <f>G181</f>
        <v>1051882297</v>
      </c>
      <c r="M181" s="53"/>
      <c r="N181" s="53"/>
    </row>
    <row r="182" spans="1:14" ht="15">
      <c r="A182" s="28">
        <f>+A181+1</f>
        <v>110</v>
      </c>
      <c r="B182" s="28"/>
      <c r="C182" s="1094" t="s">
        <v>330</v>
      </c>
      <c r="D182" s="6"/>
      <c r="E182" s="74" t="s">
        <v>737</v>
      </c>
      <c r="F182" s="29"/>
      <c r="G182" s="1129">
        <v>0</v>
      </c>
      <c r="H182" s="53"/>
      <c r="I182" s="45"/>
      <c r="J182" s="910">
        <f>G182</f>
        <v>0</v>
      </c>
      <c r="K182" s="300"/>
      <c r="M182" s="1208"/>
      <c r="N182" s="53"/>
    </row>
    <row r="183" spans="1:10" ht="15">
      <c r="A183" s="28">
        <f>+A182+1</f>
        <v>111</v>
      </c>
      <c r="B183" s="28"/>
      <c r="C183" s="1094" t="s">
        <v>306</v>
      </c>
      <c r="E183" s="102" t="str">
        <f>"(Line "&amp;A174&amp;")"</f>
        <v>(Line 104)</v>
      </c>
      <c r="F183" s="29"/>
      <c r="G183" s="882">
        <f>G174</f>
        <v>1211795918</v>
      </c>
      <c r="H183" s="53"/>
      <c r="I183" s="42"/>
      <c r="J183" s="1066">
        <f>J174</f>
        <v>1211795918</v>
      </c>
    </row>
    <row r="184" spans="1:17" ht="15.75">
      <c r="A184" s="28">
        <f>+A183+1</f>
        <v>112</v>
      </c>
      <c r="B184" s="28"/>
      <c r="C184" s="38" t="s">
        <v>311</v>
      </c>
      <c r="D184" s="154"/>
      <c r="E184" s="22" t="str">
        <f>"(Sum Lines "&amp;A181&amp;" to "&amp;A183&amp;")"</f>
        <v>(Sum Lines 109 to 111)</v>
      </c>
      <c r="F184" s="32"/>
      <c r="G184" s="873">
        <f>G183+G182+G181</f>
        <v>2263678215</v>
      </c>
      <c r="I184" s="42"/>
      <c r="J184" s="873">
        <f>SUM(J181:J183)</f>
        <v>2263678215</v>
      </c>
      <c r="K184" s="1028"/>
      <c r="L184" s="1029"/>
      <c r="M184" s="1029"/>
      <c r="N184" s="1030"/>
      <c r="O184" s="1030"/>
      <c r="P184" s="1030"/>
      <c r="Q184" s="1030"/>
    </row>
    <row r="185" spans="1:10" ht="15">
      <c r="A185" s="28"/>
      <c r="B185" s="28"/>
      <c r="C185" s="1094"/>
      <c r="F185" s="5"/>
      <c r="G185" s="271"/>
      <c r="I185" s="99"/>
      <c r="J185" s="42"/>
    </row>
    <row r="186" spans="1:12" ht="15.75">
      <c r="A186" s="71">
        <f>+A184+1</f>
        <v>113</v>
      </c>
      <c r="B186" s="28"/>
      <c r="C186" s="73" t="s">
        <v>525</v>
      </c>
      <c r="D186" s="86"/>
      <c r="E186" s="22" t="str">
        <f>"(Line "&amp;A181&amp;" / Line "&amp;A184&amp;")"</f>
        <v>(Line 109 / Line 112)</v>
      </c>
      <c r="F186" s="5"/>
      <c r="G186" s="953">
        <f>IF(G184=0,0,G181/G184)</f>
        <v>0.4646783672828693</v>
      </c>
      <c r="H186" s="1"/>
      <c r="I186" s="42"/>
      <c r="J186" s="953">
        <f>J181/J184</f>
        <v>0.4646783672828693</v>
      </c>
      <c r="K186" s="1057"/>
      <c r="L186" s="953"/>
    </row>
    <row r="187" spans="1:12" ht="15.75">
      <c r="A187" s="71">
        <f>+A186+1</f>
        <v>114</v>
      </c>
      <c r="B187" s="28"/>
      <c r="C187" s="73" t="s">
        <v>532</v>
      </c>
      <c r="D187" s="86"/>
      <c r="E187" s="22" t="str">
        <f>"(Line "&amp;A182&amp;" / Line "&amp;A184&amp;")"</f>
        <v>(Line 110 / Line 112)</v>
      </c>
      <c r="F187" s="5"/>
      <c r="G187" s="954">
        <f>IF(G184=0,0,G182/G184)</f>
        <v>0</v>
      </c>
      <c r="H187" s="1"/>
      <c r="I187" s="42"/>
      <c r="J187" s="953">
        <f>J182/J184</f>
        <v>0</v>
      </c>
      <c r="L187" s="953"/>
    </row>
    <row r="188" spans="1:12" ht="15.75">
      <c r="A188" s="71">
        <f>+A187+1</f>
        <v>115</v>
      </c>
      <c r="B188" s="28"/>
      <c r="C188" s="73" t="s">
        <v>526</v>
      </c>
      <c r="D188" s="645" t="str">
        <f>"(Note "&amp;B298&amp;")"</f>
        <v>(Note O)</v>
      </c>
      <c r="E188" s="22" t="str">
        <f>"(Line "&amp;A183&amp;" / Line "&amp;A184&amp;")"</f>
        <v>(Line 111 / Line 112)</v>
      </c>
      <c r="F188" s="5"/>
      <c r="G188" s="953">
        <f>(IF(G183/G184&gt;0.59,0.59,IF(G184=0,0,G183/G184)))*0+G183/G184</f>
        <v>0.5353216327171307</v>
      </c>
      <c r="H188" s="1"/>
      <c r="I188" s="925"/>
      <c r="J188" s="1007">
        <f>J183/J184</f>
        <v>0.5353216327171307</v>
      </c>
      <c r="K188" s="47" t="s">
        <v>859</v>
      </c>
      <c r="L188" s="953"/>
    </row>
    <row r="189" spans="1:10" ht="15.75">
      <c r="A189" s="71"/>
      <c r="B189" s="28"/>
      <c r="C189" s="1103"/>
      <c r="E189" s="5"/>
      <c r="F189" s="5"/>
      <c r="G189" s="891"/>
      <c r="H189" s="1"/>
      <c r="I189" s="1"/>
      <c r="J189" s="953">
        <f>SUM(J186:J188)</f>
        <v>1</v>
      </c>
    </row>
    <row r="190" spans="1:9" ht="16.5" thickBot="1">
      <c r="A190" s="71">
        <f>+A188+1</f>
        <v>116</v>
      </c>
      <c r="B190" s="71"/>
      <c r="C190" s="1141" t="s">
        <v>527</v>
      </c>
      <c r="D190" s="86"/>
      <c r="E190" s="42" t="str">
        <f>"(Line "&amp;A165&amp;" / Line "&amp;A181&amp;")"</f>
        <v>(Line 98 / Line 109)</v>
      </c>
      <c r="F190" s="9"/>
      <c r="G190" s="1142">
        <f>IF(G181&gt;0,G165/G181,0)</f>
        <v>0.0479245607077652</v>
      </c>
      <c r="H190" s="1"/>
      <c r="I190" s="1"/>
    </row>
    <row r="191" spans="1:11" ht="16.5" thickBot="1">
      <c r="A191" s="71">
        <f>+A190+1</f>
        <v>117</v>
      </c>
      <c r="B191" s="28"/>
      <c r="C191" s="1103" t="s">
        <v>533</v>
      </c>
      <c r="E191" s="22" t="str">
        <f>"(Line "&amp;A167&amp;" / Line "&amp;A182&amp;")"</f>
        <v>(Line 99 / Line 110)</v>
      </c>
      <c r="F191" s="5"/>
      <c r="G191" s="735">
        <f>IF(G182&gt;0,G167/G182,0)</f>
        <v>0</v>
      </c>
      <c r="I191" s="1"/>
      <c r="J191" s="1003">
        <f>G186+G187+G188</f>
        <v>1</v>
      </c>
      <c r="K191" s="993" t="s">
        <v>853</v>
      </c>
    </row>
    <row r="192" spans="1:9" ht="15.75">
      <c r="A192" s="71">
        <f>+A191+1</f>
        <v>118</v>
      </c>
      <c r="B192" s="28"/>
      <c r="C192" s="1103" t="s">
        <v>528</v>
      </c>
      <c r="D192" s="176" t="str">
        <f>"(Note "&amp;B$293&amp;")"</f>
        <v>(Note J)</v>
      </c>
      <c r="E192" s="22" t="s">
        <v>123</v>
      </c>
      <c r="F192" s="5"/>
      <c r="G192" s="956">
        <v>0.114</v>
      </c>
      <c r="I192" s="1"/>
    </row>
    <row r="193" spans="1:11" ht="15.75">
      <c r="A193" s="71"/>
      <c r="B193" s="28"/>
      <c r="C193" s="1103"/>
      <c r="E193" s="5"/>
      <c r="F193" s="5"/>
      <c r="G193" s="735"/>
      <c r="I193" s="1"/>
      <c r="K193" s="300"/>
    </row>
    <row r="194" spans="1:11" ht="15.75">
      <c r="A194" s="71">
        <f>+A192+1</f>
        <v>119</v>
      </c>
      <c r="B194" s="28"/>
      <c r="C194" s="73" t="s">
        <v>529</v>
      </c>
      <c r="E194" s="22" t="str">
        <f>"(Line "&amp;A186&amp;" * Line "&amp;A190&amp;")"</f>
        <v>(Line 113 * Line 116)</v>
      </c>
      <c r="F194" s="27"/>
      <c r="G194" s="735">
        <f>G190*G186</f>
        <v>0.022269506622433086</v>
      </c>
      <c r="I194" s="1"/>
      <c r="K194" s="300"/>
    </row>
    <row r="195" spans="1:7" ht="15">
      <c r="A195" s="71">
        <f>+A194+1</f>
        <v>120</v>
      </c>
      <c r="B195" s="28"/>
      <c r="C195" s="73" t="s">
        <v>534</v>
      </c>
      <c r="E195" s="22" t="str">
        <f>"(Line "&amp;A187&amp;" * Line "&amp;A191&amp;")"</f>
        <v>(Line 114 * Line 117)</v>
      </c>
      <c r="F195" s="68"/>
      <c r="G195" s="735">
        <f>G191*G187</f>
        <v>0</v>
      </c>
    </row>
    <row r="196" spans="1:11" ht="15">
      <c r="A196" s="71">
        <f>+A195+1</f>
        <v>121</v>
      </c>
      <c r="B196" s="146"/>
      <c r="C196" s="89" t="s">
        <v>530</v>
      </c>
      <c r="D196" s="166"/>
      <c r="E196" s="102" t="str">
        <f>"(Line "&amp;A188&amp;" * Line "&amp;A192&amp;")"</f>
        <v>(Line 115 * Line 118)</v>
      </c>
      <c r="F196" s="103"/>
      <c r="G196" s="892">
        <f>G192*G188</f>
        <v>0.0610266661297529</v>
      </c>
      <c r="K196" s="971"/>
    </row>
    <row r="197" spans="1:11" ht="15.75">
      <c r="A197" s="28">
        <f>+A196+1</f>
        <v>122</v>
      </c>
      <c r="B197" s="78" t="s">
        <v>313</v>
      </c>
      <c r="C197" s="78"/>
      <c r="D197" s="168"/>
      <c r="E197" s="22" t="str">
        <f>"(Sum Lines "&amp;A194&amp;" to "&amp;A196&amp;")"</f>
        <v>(Sum Lines 119 to 121)</v>
      </c>
      <c r="F197" s="80"/>
      <c r="G197" s="736">
        <f>SUM(G194:G196)</f>
        <v>0.08329617275218598</v>
      </c>
      <c r="I197" s="794"/>
      <c r="K197" s="53"/>
    </row>
    <row r="198" spans="1:11" ht="15.75">
      <c r="A198" s="10"/>
      <c r="B198" s="10"/>
      <c r="C198" s="78"/>
      <c r="D198" s="168"/>
      <c r="E198" s="79"/>
      <c r="F198" s="80"/>
      <c r="G198" s="70"/>
      <c r="K198" s="53"/>
    </row>
    <row r="199" spans="1:11" ht="16.5" thickBot="1">
      <c r="A199" s="28">
        <f>+A197+1</f>
        <v>123</v>
      </c>
      <c r="B199" s="105" t="s">
        <v>422</v>
      </c>
      <c r="C199" s="101"/>
      <c r="D199" s="169"/>
      <c r="E199" s="41" t="str">
        <f>"(Line "&amp;A92&amp;" * Line "&amp;A197&amp;")"</f>
        <v>(Line 51 * Line 122)</v>
      </c>
      <c r="F199" s="106"/>
      <c r="G199" s="737">
        <f>+G92*G197</f>
        <v>46836148.131832846</v>
      </c>
      <c r="H199" s="136"/>
      <c r="K199" s="318"/>
    </row>
    <row r="200" spans="1:7" ht="15.75" thickTop="1">
      <c r="A200" s="28"/>
      <c r="B200" s="28"/>
      <c r="C200" s="1094"/>
      <c r="E200" s="5"/>
      <c r="F200" s="5"/>
      <c r="G200" s="893"/>
    </row>
    <row r="201" spans="1:7" ht="15.75">
      <c r="A201" s="1099" t="s">
        <v>621</v>
      </c>
      <c r="B201" s="1090"/>
      <c r="C201" s="1100"/>
      <c r="D201" s="237"/>
      <c r="E201" s="116"/>
      <c r="F201" s="116"/>
      <c r="G201" s="117"/>
    </row>
    <row r="202" spans="1:7" ht="15.75">
      <c r="A202" s="51"/>
      <c r="B202" s="28"/>
      <c r="C202" s="21"/>
      <c r="D202" s="18"/>
      <c r="E202" s="29"/>
      <c r="F202" s="29"/>
      <c r="G202" s="37"/>
    </row>
    <row r="203" spans="1:7" ht="15.75">
      <c r="A203" s="28" t="s">
        <v>325</v>
      </c>
      <c r="B203" s="122" t="s">
        <v>423</v>
      </c>
      <c r="D203" s="18"/>
      <c r="E203" s="5"/>
      <c r="F203" s="15"/>
      <c r="G203" s="29"/>
    </row>
    <row r="204" spans="1:7" ht="15">
      <c r="A204" s="28">
        <f>+A199+1</f>
        <v>124</v>
      </c>
      <c r="B204" s="28"/>
      <c r="C204" s="29" t="s">
        <v>421</v>
      </c>
      <c r="D204" s="176" t="str">
        <f>"(Note "&amp;B$287&amp;")"</f>
        <v>(Note I)</v>
      </c>
      <c r="E204" s="29"/>
      <c r="F204" s="30"/>
      <c r="G204" s="955">
        <v>0.35</v>
      </c>
    </row>
    <row r="205" spans="1:7" ht="15">
      <c r="A205" s="28">
        <f>+A204+1</f>
        <v>125</v>
      </c>
      <c r="B205" s="28"/>
      <c r="C205" s="1104" t="s">
        <v>420</v>
      </c>
      <c r="D205" s="176"/>
      <c r="E205" s="29"/>
      <c r="F205" s="30"/>
      <c r="G205" s="955">
        <v>0.0999</v>
      </c>
    </row>
    <row r="206" spans="1:7" ht="15">
      <c r="A206" s="28">
        <f>+A205+1</f>
        <v>126</v>
      </c>
      <c r="B206" s="28"/>
      <c r="C206" s="1104" t="s">
        <v>191</v>
      </c>
      <c r="E206" s="29" t="s">
        <v>596</v>
      </c>
      <c r="F206" s="30"/>
      <c r="G206" s="955">
        <v>0</v>
      </c>
    </row>
    <row r="207" spans="1:7" ht="15">
      <c r="A207" s="28">
        <f>+A206+1</f>
        <v>127</v>
      </c>
      <c r="B207" s="28"/>
      <c r="C207" s="1104" t="s">
        <v>192</v>
      </c>
      <c r="E207" s="29"/>
      <c r="F207" s="30"/>
      <c r="G207" s="885">
        <f>IF(G204&gt;0,1-(((1-G205)*(1-G204))/(1-G205*G204*G206)),0)</f>
        <v>0.41493499999999994</v>
      </c>
    </row>
    <row r="208" spans="1:7" ht="15">
      <c r="A208" s="28">
        <f>+A207+1</f>
        <v>128</v>
      </c>
      <c r="B208" s="28"/>
      <c r="C208" s="1104" t="s">
        <v>512</v>
      </c>
      <c r="E208" s="29"/>
      <c r="F208" s="30"/>
      <c r="G208" s="811">
        <f>+G207/(1-G207)</f>
        <v>0.7092117969798226</v>
      </c>
    </row>
    <row r="209" spans="1:11" ht="15">
      <c r="A209" s="28"/>
      <c r="B209" s="28"/>
      <c r="D209" s="13"/>
      <c r="E209" s="14"/>
      <c r="F209" s="15"/>
      <c r="G209" s="894"/>
      <c r="H209" s="53"/>
      <c r="I209" s="53"/>
      <c r="J209" s="53"/>
      <c r="K209" s="53"/>
    </row>
    <row r="210" spans="1:11" ht="15.75">
      <c r="A210" s="28"/>
      <c r="B210" s="122" t="s">
        <v>418</v>
      </c>
      <c r="C210" s="1094"/>
      <c r="D210" s="176" t="str">
        <f>"(Note "&amp;B$287&amp;")"</f>
        <v>(Note I)</v>
      </c>
      <c r="E210" s="5"/>
      <c r="F210" s="15"/>
      <c r="G210" s="895"/>
      <c r="H210" s="53"/>
      <c r="I210" s="53"/>
      <c r="J210" s="53"/>
      <c r="K210" s="53"/>
    </row>
    <row r="211" spans="1:11" ht="15">
      <c r="A211" s="28">
        <f>+A208+1</f>
        <v>129</v>
      </c>
      <c r="B211" s="28"/>
      <c r="C211" s="1095" t="s">
        <v>462</v>
      </c>
      <c r="D211" s="805" t="s">
        <v>28</v>
      </c>
      <c r="E211" s="4" t="s">
        <v>7</v>
      </c>
      <c r="F211" s="15"/>
      <c r="G211" s="876">
        <f>-'1 - ADIT'!D109</f>
        <v>0</v>
      </c>
      <c r="H211" s="53"/>
      <c r="I211" s="53"/>
      <c r="J211" s="53"/>
      <c r="K211" s="53"/>
    </row>
    <row r="212" spans="1:11" ht="15">
      <c r="A212" s="28">
        <f>+A211+1</f>
        <v>130</v>
      </c>
      <c r="B212" s="28"/>
      <c r="C212" s="1094" t="s">
        <v>794</v>
      </c>
      <c r="D212" s="6"/>
      <c r="E212" s="22" t="str">
        <f>"1 / (1 - Line "&amp;A207&amp;")"</f>
        <v>1 / (1 - Line 127)</v>
      </c>
      <c r="F212" s="15"/>
      <c r="G212" s="879">
        <f>1/(1-G207)</f>
        <v>1.7092117969798226</v>
      </c>
      <c r="H212" s="911"/>
      <c r="I212" s="53"/>
      <c r="J212" s="53"/>
      <c r="K212" s="53"/>
    </row>
    <row r="213" spans="1:7" s="76" customFormat="1" ht="15.75">
      <c r="A213" s="28">
        <f>+A212+1</f>
        <v>131</v>
      </c>
      <c r="B213" s="72"/>
      <c r="C213" s="138" t="s">
        <v>408</v>
      </c>
      <c r="D213" s="146"/>
      <c r="E213" s="102" t="str">
        <f>"(Line "&amp;A$23&amp;")"</f>
        <v>(Line 12)</v>
      </c>
      <c r="F213" s="75"/>
      <c r="G213" s="119">
        <f>+G23</f>
        <v>0.2632866573880302</v>
      </c>
    </row>
    <row r="214" spans="1:11" ht="15.75">
      <c r="A214" s="28">
        <f>+A213+1</f>
        <v>132</v>
      </c>
      <c r="B214" s="28"/>
      <c r="C214" s="126" t="s">
        <v>419</v>
      </c>
      <c r="D214" s="176"/>
      <c r="E214" s="22" t="str">
        <f>"(Line "&amp;A211&amp;" * (1 + Line "&amp;A212&amp;") * Line "&amp;A213&amp;")"</f>
        <v>(Line 129 * (1 + Line 130) * Line 131)</v>
      </c>
      <c r="F214" s="77"/>
      <c r="G214" s="733">
        <f>+G211*(1+G212)*G213</f>
        <v>0</v>
      </c>
      <c r="H214" s="1"/>
      <c r="I214" s="1"/>
      <c r="J214" s="1"/>
      <c r="K214" s="1"/>
    </row>
    <row r="215" spans="1:11" ht="15.75">
      <c r="A215" s="28"/>
      <c r="B215" s="28"/>
      <c r="C215" s="142"/>
      <c r="D215" s="198"/>
      <c r="E215" s="195"/>
      <c r="F215" s="75"/>
      <c r="G215" s="196"/>
      <c r="H215" s="1"/>
      <c r="I215" s="1"/>
      <c r="J215" s="1"/>
      <c r="K215" s="1"/>
    </row>
    <row r="216" spans="1:11" ht="15.75">
      <c r="A216" s="28"/>
      <c r="B216" s="28"/>
      <c r="C216" s="142"/>
      <c r="D216" s="198"/>
      <c r="E216" s="195"/>
      <c r="F216" s="75"/>
      <c r="G216" s="197"/>
      <c r="H216" s="1"/>
      <c r="I216" s="1"/>
      <c r="J216" s="1"/>
      <c r="K216" s="1"/>
    </row>
    <row r="217" spans="1:11" ht="15.75">
      <c r="A217" s="28"/>
      <c r="B217" s="28"/>
      <c r="D217" s="13"/>
      <c r="E217" s="14"/>
      <c r="F217" s="15"/>
      <c r="G217" s="194"/>
      <c r="H217" s="1"/>
      <c r="I217" s="1"/>
      <c r="J217" s="1"/>
      <c r="K217" s="1"/>
    </row>
    <row r="218" spans="1:11" ht="15.75">
      <c r="A218" s="28">
        <f>+A214+1</f>
        <v>133</v>
      </c>
      <c r="B218" s="1" t="s">
        <v>855</v>
      </c>
      <c r="C218" s="47"/>
      <c r="D218" s="18"/>
      <c r="E218" s="22" t="str">
        <f>"[Line "&amp;A208&amp;" * Line "&amp;+A199&amp;" * (1 - (Line "&amp;A194&amp;" / Line "&amp;A197&amp;"))]"</f>
        <v>[Line 128 * Line 123 * (1 - (Line 119 / Line 122))]</v>
      </c>
      <c r="F218" s="29"/>
      <c r="G218" s="225">
        <f>IF(G197=0,0,G208*G199*(1-(G194/G197)))</f>
        <v>24336141.394579906</v>
      </c>
      <c r="H218" s="1"/>
      <c r="I218" s="1"/>
      <c r="J218" s="1"/>
      <c r="K218" s="1"/>
    </row>
    <row r="219" spans="1:11" ht="15.75">
      <c r="A219" s="28"/>
      <c r="B219" s="28"/>
      <c r="C219" s="73"/>
      <c r="D219" s="170"/>
      <c r="E219" s="75"/>
      <c r="F219" s="75"/>
      <c r="G219" s="62"/>
      <c r="H219" s="1"/>
      <c r="I219" s="1"/>
      <c r="J219" s="1"/>
      <c r="K219" s="1"/>
    </row>
    <row r="220" spans="1:8" ht="16.5" thickBot="1">
      <c r="A220" s="28">
        <f>+A218+1</f>
        <v>134</v>
      </c>
      <c r="B220" s="105" t="s">
        <v>302</v>
      </c>
      <c r="C220" s="105"/>
      <c r="D220" s="157"/>
      <c r="E220" s="41" t="str">
        <f>"(Line "&amp;A214&amp;" + Line "&amp;A218&amp;")"</f>
        <v>(Line 132 + Line 133)</v>
      </c>
      <c r="F220" s="121"/>
      <c r="G220" s="145">
        <f>+G218+G214</f>
        <v>24336141.394579906</v>
      </c>
      <c r="H220" s="136"/>
    </row>
    <row r="221" spans="1:7" ht="15.75" thickTop="1">
      <c r="A221" s="28"/>
      <c r="B221" s="28"/>
      <c r="C221" s="1105"/>
      <c r="E221" s="17"/>
      <c r="F221" s="7"/>
      <c r="G221" s="896"/>
    </row>
    <row r="222" spans="1:7" ht="15.75">
      <c r="A222" s="1099" t="s">
        <v>314</v>
      </c>
      <c r="B222" s="1090"/>
      <c r="C222" s="1100"/>
      <c r="D222" s="162"/>
      <c r="E222" s="116"/>
      <c r="F222" s="116"/>
      <c r="G222" s="117"/>
    </row>
    <row r="223" spans="1:3" ht="15">
      <c r="A223" s="84"/>
      <c r="B223" s="47"/>
      <c r="C223" s="47"/>
    </row>
    <row r="224" spans="1:3" ht="15.75">
      <c r="A224" s="84"/>
      <c r="B224" s="1" t="s">
        <v>303</v>
      </c>
      <c r="C224" s="76"/>
    </row>
    <row r="225" spans="1:7" ht="15">
      <c r="A225" s="84">
        <f>+A220+1</f>
        <v>135</v>
      </c>
      <c r="B225" s="47"/>
      <c r="C225" s="76" t="s">
        <v>304</v>
      </c>
      <c r="E225" s="22" t="str">
        <f>"(Line "&amp;A56&amp;")"</f>
        <v>(Line 33)</v>
      </c>
      <c r="G225" s="136">
        <f>+G56</f>
        <v>722637120.8188555</v>
      </c>
    </row>
    <row r="226" spans="1:11" ht="15">
      <c r="A226" s="28">
        <f>+A225+1</f>
        <v>136</v>
      </c>
      <c r="B226" s="47"/>
      <c r="C226" s="76" t="s">
        <v>441</v>
      </c>
      <c r="E226" s="102" t="str">
        <f>"(Line "&amp;A90&amp;")"</f>
        <v>(Line 50)</v>
      </c>
      <c r="G226" s="136">
        <f>+G90</f>
        <v>-160352605.40450594</v>
      </c>
      <c r="K226" s="53"/>
    </row>
    <row r="227" spans="1:11" ht="15.75">
      <c r="A227" s="28">
        <f>+A226+1</f>
        <v>137</v>
      </c>
      <c r="B227" s="28"/>
      <c r="C227" s="35" t="s">
        <v>445</v>
      </c>
      <c r="D227" s="171"/>
      <c r="E227" s="22" t="str">
        <f>"(Line "&amp;A92&amp;")"</f>
        <v>(Line 51)</v>
      </c>
      <c r="F227" s="127"/>
      <c r="G227" s="732">
        <f>+G92</f>
        <v>562284515.4143496</v>
      </c>
      <c r="K227" s="318"/>
    </row>
    <row r="228" spans="1:11" ht="15">
      <c r="A228" s="28"/>
      <c r="B228" s="28"/>
      <c r="C228" s="1102"/>
      <c r="D228" s="18"/>
      <c r="E228" s="29"/>
      <c r="F228" s="29"/>
      <c r="G228" s="136"/>
      <c r="K228" s="53"/>
    </row>
    <row r="229" spans="1:11" ht="15">
      <c r="A229" s="28">
        <f>+A227+1</f>
        <v>138</v>
      </c>
      <c r="C229" s="1102" t="s">
        <v>517</v>
      </c>
      <c r="E229" s="22" t="str">
        <f>"(Line "&amp;A126&amp;")"</f>
        <v>(Line 75)</v>
      </c>
      <c r="G229" s="136">
        <f>+G126</f>
        <v>33789275.4611205</v>
      </c>
      <c r="K229" s="318"/>
    </row>
    <row r="230" spans="1:11" ht="15">
      <c r="A230" s="28">
        <f>+A229+1</f>
        <v>139</v>
      </c>
      <c r="C230" s="73" t="s">
        <v>425</v>
      </c>
      <c r="E230" s="22" t="str">
        <f>"(Line "&amp;A148&amp;")"</f>
        <v>(Line 89)</v>
      </c>
      <c r="G230" s="136">
        <f>+G148</f>
        <v>33338293.266462833</v>
      </c>
      <c r="K230" s="318"/>
    </row>
    <row r="231" spans="1:11" ht="15">
      <c r="A231" s="28">
        <f>+A230+1</f>
        <v>140</v>
      </c>
      <c r="B231" s="28"/>
      <c r="C231" s="1102" t="s">
        <v>305</v>
      </c>
      <c r="D231" s="18"/>
      <c r="E231" s="22" t="str">
        <f>"(Line "&amp;A154&amp;")"</f>
        <v>(Line 91)</v>
      </c>
      <c r="F231" s="29"/>
      <c r="G231" s="136">
        <f>+G154</f>
        <v>1456843.4621748086</v>
      </c>
      <c r="K231" s="318"/>
    </row>
    <row r="232" spans="1:13" ht="15">
      <c r="A232" s="28">
        <f>+A231+1</f>
        <v>141</v>
      </c>
      <c r="B232" s="28"/>
      <c r="C232" s="1106" t="s">
        <v>507</v>
      </c>
      <c r="D232" s="18"/>
      <c r="E232" s="22" t="str">
        <f>"(Line "&amp;A199&amp;")"</f>
        <v>(Line 123)</v>
      </c>
      <c r="F232" s="29"/>
      <c r="G232" s="136">
        <f>+G199</f>
        <v>46836148.131832846</v>
      </c>
      <c r="K232" s="318"/>
      <c r="M232" s="136"/>
    </row>
    <row r="233" spans="1:13" ht="15">
      <c r="A233" s="28">
        <f>+A232+1</f>
        <v>142</v>
      </c>
      <c r="B233" s="28"/>
      <c r="C233" s="1106" t="s">
        <v>508</v>
      </c>
      <c r="D233" s="18"/>
      <c r="E233" s="22" t="str">
        <f>"(Line "&amp;A220&amp;")"</f>
        <v>(Line 134)</v>
      </c>
      <c r="F233" s="29"/>
      <c r="G233" s="136">
        <f>+G220</f>
        <v>24336141.394579906</v>
      </c>
      <c r="K233" s="318"/>
      <c r="M233" s="136"/>
    </row>
    <row r="234" spans="1:11" ht="15.75" thickBot="1">
      <c r="A234" s="28"/>
      <c r="B234" s="28"/>
      <c r="C234" s="1106"/>
      <c r="D234" s="18"/>
      <c r="E234" s="29"/>
      <c r="F234" s="29"/>
      <c r="G234" s="136"/>
      <c r="K234" s="53"/>
    </row>
    <row r="235" spans="1:11" ht="18.75" thickBot="1">
      <c r="A235" s="134">
        <f>+A233+1</f>
        <v>143</v>
      </c>
      <c r="B235" s="132"/>
      <c r="C235" s="1107" t="s">
        <v>509</v>
      </c>
      <c r="D235" s="172"/>
      <c r="E235" s="226" t="str">
        <f>"(Sum Lines "&amp;A229&amp;" to "&amp;A233&amp;")"</f>
        <v>(Sum Lines 138 to 142)</v>
      </c>
      <c r="F235" s="133"/>
      <c r="G235" s="731">
        <f>SUM(G233,G232,G231,G230,G229)</f>
        <v>139756701.7161709</v>
      </c>
      <c r="H235" s="300"/>
      <c r="K235" s="318"/>
    </row>
    <row r="236" spans="1:11" ht="18">
      <c r="A236" s="140"/>
      <c r="B236" s="186"/>
      <c r="C236" s="1108"/>
      <c r="D236" s="187"/>
      <c r="E236" s="79"/>
      <c r="F236" s="188"/>
      <c r="G236" s="897"/>
      <c r="K236" s="136"/>
    </row>
    <row r="237" spans="1:11" ht="18">
      <c r="A237" s="140"/>
      <c r="B237" s="142" t="s">
        <v>344</v>
      </c>
      <c r="C237" s="1108"/>
      <c r="D237" s="187"/>
      <c r="E237" s="79"/>
      <c r="F237" s="188"/>
      <c r="G237" s="897"/>
      <c r="K237" s="136"/>
    </row>
    <row r="238" spans="1:11" ht="18">
      <c r="A238" s="170">
        <f>+A235+1</f>
        <v>144</v>
      </c>
      <c r="B238" s="170"/>
      <c r="C238" s="1102" t="str">
        <f>+C28</f>
        <v>Transmission Plant In Service</v>
      </c>
      <c r="D238" s="187"/>
      <c r="E238" s="22" t="str">
        <f>"(Line "&amp;A28&amp;")"</f>
        <v>(Line 13)</v>
      </c>
      <c r="F238" s="188"/>
      <c r="G238" s="846">
        <f>+G28</f>
        <v>888526684.8578815</v>
      </c>
      <c r="K238" s="136"/>
    </row>
    <row r="239" spans="1:11" ht="18">
      <c r="A239" s="170">
        <f>+A238+1</f>
        <v>145</v>
      </c>
      <c r="B239" s="170"/>
      <c r="C239" s="1096" t="s">
        <v>345</v>
      </c>
      <c r="D239" s="182" t="str">
        <f>"(Note "&amp;B$296&amp;")"</f>
        <v>(Note M)</v>
      </c>
      <c r="E239" s="104" t="s">
        <v>8</v>
      </c>
      <c r="F239" s="848"/>
      <c r="G239" s="797">
        <f>'5 - Cost Support 1'!G218</f>
        <v>0</v>
      </c>
      <c r="K239" s="300"/>
    </row>
    <row r="240" spans="1:7" ht="18">
      <c r="A240" s="170">
        <f>+A239+1</f>
        <v>146</v>
      </c>
      <c r="B240" s="170"/>
      <c r="C240" s="1102" t="s">
        <v>346</v>
      </c>
      <c r="D240" s="190"/>
      <c r="E240" s="42" t="str">
        <f>"(Line "&amp;A238&amp;" - Line "&amp;A239&amp;")"</f>
        <v>(Line 144 - Line 145)</v>
      </c>
      <c r="F240" s="188"/>
      <c r="G240" s="846">
        <f>+G238-G239</f>
        <v>888526684.8578815</v>
      </c>
    </row>
    <row r="241" spans="1:7" ht="18">
      <c r="A241" s="170">
        <f>+A240+1</f>
        <v>147</v>
      </c>
      <c r="B241" s="170"/>
      <c r="C241" s="1102" t="s">
        <v>347</v>
      </c>
      <c r="D241" s="187"/>
      <c r="E241" s="42" t="str">
        <f>"(Line "&amp;A240&amp;" / Line "&amp;A238&amp;")"</f>
        <v>(Line 146 / Line 144)</v>
      </c>
      <c r="F241" s="188"/>
      <c r="G241" s="898">
        <f>IF(G238=0,0,G240/G238)</f>
        <v>1</v>
      </c>
    </row>
    <row r="242" spans="1:7" ht="18">
      <c r="A242" s="170">
        <f>+A241+1</f>
        <v>148</v>
      </c>
      <c r="B242" s="170"/>
      <c r="C242" s="1096" t="s">
        <v>509</v>
      </c>
      <c r="D242" s="189"/>
      <c r="E242" s="104" t="str">
        <f>"(Line "&amp;A235&amp;")"</f>
        <v>(Line 143)</v>
      </c>
      <c r="F242" s="848"/>
      <c r="G242" s="899">
        <f>+G235</f>
        <v>139756701.7161709</v>
      </c>
    </row>
    <row r="243" spans="1:7" ht="18">
      <c r="A243" s="170">
        <f>+A242+1</f>
        <v>149</v>
      </c>
      <c r="B243" s="170"/>
      <c r="C243" s="46" t="s">
        <v>348</v>
      </c>
      <c r="D243" s="187"/>
      <c r="E243" s="42" t="str">
        <f>"(Line "&amp;A241&amp;" * Line "&amp;A242&amp;")"</f>
        <v>(Line 147 * Line 148)</v>
      </c>
      <c r="F243" s="188"/>
      <c r="G243" s="730">
        <f>+G242*G241</f>
        <v>139756701.7161709</v>
      </c>
    </row>
    <row r="244" spans="1:7" ht="15.75">
      <c r="A244" s="71"/>
      <c r="B244" s="71"/>
      <c r="C244" s="99"/>
      <c r="D244" s="86"/>
      <c r="E244" s="52"/>
      <c r="F244" s="52"/>
      <c r="G244" s="225"/>
    </row>
    <row r="245" spans="1:7" ht="15.75">
      <c r="A245" s="71">
        <f>A243+1</f>
        <v>150</v>
      </c>
      <c r="B245" s="71"/>
      <c r="C245" s="192" t="s">
        <v>280</v>
      </c>
      <c r="D245" s="92"/>
      <c r="E245" s="24" t="s">
        <v>281</v>
      </c>
      <c r="F245" s="24"/>
      <c r="G245" s="225">
        <f>'3 - Revenue Credits'!D21</f>
        <v>1795843</v>
      </c>
    </row>
    <row r="246" spans="1:7" ht="16.5" thickBot="1">
      <c r="A246" s="71"/>
      <c r="B246" s="71"/>
      <c r="C246" s="99"/>
      <c r="D246" s="86"/>
      <c r="E246" s="52"/>
      <c r="F246" s="52"/>
      <c r="G246" s="225"/>
    </row>
    <row r="247" spans="1:8" s="1" customFormat="1" ht="18.75" thickBot="1">
      <c r="A247" s="340">
        <f>+A245+1</f>
        <v>151</v>
      </c>
      <c r="B247" s="1143"/>
      <c r="C247" s="1144" t="s">
        <v>516</v>
      </c>
      <c r="D247" s="1145"/>
      <c r="E247" s="1146" t="str">
        <f>"(Line "&amp;A243&amp;" - Line "&amp;A245&amp;")"</f>
        <v>(Line 149 - Line 150)</v>
      </c>
      <c r="F247" s="1147"/>
      <c r="G247" s="1148">
        <f>+G243-G245</f>
        <v>137960858.7161709</v>
      </c>
      <c r="H247" s="297"/>
    </row>
    <row r="248" spans="1:7" ht="15.75">
      <c r="A248" s="368"/>
      <c r="B248" s="71"/>
      <c r="C248" s="99"/>
      <c r="D248" s="86"/>
      <c r="E248" s="52"/>
      <c r="F248" s="52"/>
      <c r="G248" s="1149"/>
    </row>
    <row r="249" spans="1:7" ht="15.75">
      <c r="A249" s="71"/>
      <c r="B249" s="192" t="s">
        <v>450</v>
      </c>
      <c r="C249" s="53"/>
      <c r="D249" s="86"/>
      <c r="E249" s="52"/>
      <c r="F249" s="52"/>
      <c r="G249" s="1149"/>
    </row>
    <row r="250" spans="1:7" ht="15.75">
      <c r="A250" s="71">
        <f>+A247+1</f>
        <v>152</v>
      </c>
      <c r="B250" s="71"/>
      <c r="C250" s="99" t="str">
        <f>+C235</f>
        <v>Gross Revenue Requirement</v>
      </c>
      <c r="D250" s="86"/>
      <c r="E250" s="52" t="str">
        <f>"(Line "&amp;A235&amp;")"</f>
        <v>(Line 143)</v>
      </c>
      <c r="F250" s="52"/>
      <c r="G250" s="225">
        <f>+G235</f>
        <v>139756701.7161709</v>
      </c>
    </row>
    <row r="251" spans="1:7" ht="15.75">
      <c r="A251" s="71">
        <f>+A250+1</f>
        <v>153</v>
      </c>
      <c r="B251" s="71"/>
      <c r="C251" s="99" t="s">
        <v>575</v>
      </c>
      <c r="D251" s="86"/>
      <c r="E251" s="52" t="str">
        <f>"(Line "&amp;A28&amp;" - Line "&amp;A42&amp;")"</f>
        <v>(Line 13 - Line 22)</v>
      </c>
      <c r="F251" s="52"/>
      <c r="G251" s="225">
        <f>+G28-G42</f>
        <v>652995611.8818653</v>
      </c>
    </row>
    <row r="252" spans="1:7" ht="15.75">
      <c r="A252" s="71">
        <f>+A251+1</f>
        <v>154</v>
      </c>
      <c r="B252" s="71"/>
      <c r="C252" s="99" t="s">
        <v>452</v>
      </c>
      <c r="D252" s="86"/>
      <c r="E252" s="52" t="str">
        <f>"(Line "&amp;A250&amp;" / Line "&amp;A251&amp;")"</f>
        <v>(Line 152 / Line 153)</v>
      </c>
      <c r="F252" s="52"/>
      <c r="G252" s="1149">
        <f>IF(G251=0,0,G250/G251)</f>
        <v>0.21402395234082303</v>
      </c>
    </row>
    <row r="253" spans="1:7" ht="15.75">
      <c r="A253" s="71">
        <f>+A252+1</f>
        <v>155</v>
      </c>
      <c r="B253" s="71"/>
      <c r="C253" s="99" t="s">
        <v>453</v>
      </c>
      <c r="D253" s="86"/>
      <c r="E253" s="52" t="str">
        <f>"(Line "&amp;A250&amp;" - Line "&amp;A131&amp;") / Line "&amp;A251</f>
        <v>(Line 152 - Line 76) / Line 153</v>
      </c>
      <c r="F253" s="52"/>
      <c r="G253" s="1149">
        <f>IF(G251=0,0,(G250-G131)/G251)</f>
        <v>0.17839624936348683</v>
      </c>
    </row>
    <row r="254" spans="1:7" ht="15.75">
      <c r="A254" s="71">
        <f>+A253+1</f>
        <v>156</v>
      </c>
      <c r="B254" s="71"/>
      <c r="C254" s="99" t="s">
        <v>40</v>
      </c>
      <c r="D254" s="86"/>
      <c r="E254" s="63" t="str">
        <f>"(Line "&amp;A250&amp;" - Line "&amp;A131&amp;" - Line "&amp;A199&amp;" - Line "&amp;A220&amp;") / Line "&amp;A251</f>
        <v>(Line 152 - Line 76 - Line 123 - Line 134) / Line 153</v>
      </c>
      <c r="F254" s="52"/>
      <c r="G254" s="1149">
        <f>IF(G251=0,0,(G250-G131-G199-G220)/G251)</f>
        <v>0.06940273052298247</v>
      </c>
    </row>
    <row r="255" spans="1:7" ht="15.75">
      <c r="A255" s="71"/>
      <c r="B255" s="71"/>
      <c r="C255" s="99"/>
      <c r="D255" s="86"/>
      <c r="E255" s="52"/>
      <c r="F255" s="52"/>
      <c r="G255" s="1149"/>
    </row>
    <row r="256" spans="1:7" ht="15.75">
      <c r="A256" s="71"/>
      <c r="B256" s="71"/>
      <c r="C256" s="99"/>
      <c r="D256" s="86"/>
      <c r="E256" s="52"/>
      <c r="F256" s="52"/>
      <c r="G256" s="1149"/>
    </row>
    <row r="257" spans="1:7" ht="15.75">
      <c r="A257" s="71"/>
      <c r="B257" s="192" t="s">
        <v>451</v>
      </c>
      <c r="C257" s="99"/>
      <c r="D257" s="86"/>
      <c r="E257" s="52"/>
      <c r="F257" s="52"/>
      <c r="G257" s="1149"/>
    </row>
    <row r="258" spans="1:7" ht="15.75">
      <c r="A258" s="71">
        <f>+A254+1</f>
        <v>157</v>
      </c>
      <c r="B258" s="71"/>
      <c r="C258" s="99" t="s">
        <v>586</v>
      </c>
      <c r="D258" s="86"/>
      <c r="E258" s="52" t="str">
        <f>"(Line "&amp;A235&amp;" - Line "&amp;A232&amp;" - Line "&amp;A233&amp;")"</f>
        <v>(Line 143 - Line 141 - Line 142)</v>
      </c>
      <c r="F258" s="52"/>
      <c r="G258" s="225">
        <f>+G235-G232-G233</f>
        <v>68584412.18975817</v>
      </c>
    </row>
    <row r="259" spans="1:13" ht="15.75">
      <c r="A259" s="71">
        <f>+A258+1</f>
        <v>158</v>
      </c>
      <c r="B259" s="28"/>
      <c r="C259" s="99" t="s">
        <v>677</v>
      </c>
      <c r="E259" s="52" t="s">
        <v>41</v>
      </c>
      <c r="F259" s="29"/>
      <c r="G259" s="957">
        <f>+'4 - 100 Basis Pt ROE'!G1</f>
        <v>76317069.41998306</v>
      </c>
      <c r="L259" s="53"/>
      <c r="M259" s="53"/>
    </row>
    <row r="260" spans="1:13" ht="15.75">
      <c r="A260" s="71">
        <f>+A259+1</f>
        <v>159</v>
      </c>
      <c r="B260" s="28"/>
      <c r="C260" s="99" t="s">
        <v>42</v>
      </c>
      <c r="E260" s="52" t="str">
        <f>"(Line "&amp;A258&amp;" + Line "&amp;A259&amp;")"</f>
        <v>(Line 157 + Line 158)</v>
      </c>
      <c r="F260" s="29"/>
      <c r="G260" s="216">
        <f>+G259+G258</f>
        <v>144901481.6097412</v>
      </c>
      <c r="L260" s="53"/>
      <c r="M260" s="53"/>
    </row>
    <row r="261" spans="1:13" ht="15.75">
      <c r="A261" s="71">
        <f>+A260+1</f>
        <v>160</v>
      </c>
      <c r="B261" s="28"/>
      <c r="C261" s="99" t="str">
        <f>+C251</f>
        <v>Net Transmission Plant</v>
      </c>
      <c r="E261" s="29" t="str">
        <f>"(Line "&amp;A28&amp;" - Line "&amp;A42&amp;")"</f>
        <v>(Line 13 - Line 22)</v>
      </c>
      <c r="F261" s="29"/>
      <c r="G261" s="216">
        <f>+G251</f>
        <v>652995611.8818653</v>
      </c>
      <c r="L261" s="53"/>
      <c r="M261" s="53"/>
    </row>
    <row r="262" spans="1:13" ht="15.75">
      <c r="A262" s="71">
        <f>+A261+1</f>
        <v>161</v>
      </c>
      <c r="B262" s="28"/>
      <c r="C262" s="99" t="s">
        <v>454</v>
      </c>
      <c r="E262" s="29" t="str">
        <f>"(Line "&amp;A260&amp;" / Line "&amp;A261&amp;")"</f>
        <v>(Line 159 / Line 160)</v>
      </c>
      <c r="F262" s="29"/>
      <c r="G262" s="37">
        <f>IF(G261=0,0,G260/G261)</f>
        <v>0.22190268812396802</v>
      </c>
      <c r="H262" s="567"/>
      <c r="L262" s="53"/>
      <c r="M262" s="53"/>
    </row>
    <row r="263" spans="1:13" ht="15.75">
      <c r="A263" s="71">
        <f>+A262+1</f>
        <v>162</v>
      </c>
      <c r="B263" s="71"/>
      <c r="C263" s="99" t="s">
        <v>455</v>
      </c>
      <c r="D263" s="86"/>
      <c r="E263" s="52" t="str">
        <f>"(Line "&amp;A260&amp;" - Line "&amp;A131&amp;") / Line "&amp;A261</f>
        <v>(Line 159 - Line 76) / Line 160</v>
      </c>
      <c r="F263" s="52"/>
      <c r="G263" s="1149">
        <f>IF(G261=0,0,(G260-G131)/G261)</f>
        <v>0.18627498514663182</v>
      </c>
      <c r="H263" s="567"/>
      <c r="L263" s="53"/>
      <c r="M263" s="53"/>
    </row>
    <row r="264" spans="1:13" ht="15.75">
      <c r="A264" s="71"/>
      <c r="B264" s="28"/>
      <c r="C264" s="99"/>
      <c r="E264" s="29"/>
      <c r="F264" s="29"/>
      <c r="G264" s="37"/>
      <c r="L264" s="53"/>
      <c r="M264" s="53"/>
    </row>
    <row r="265" spans="1:13" ht="15.75">
      <c r="A265" s="71">
        <f>+A263+1</f>
        <v>163</v>
      </c>
      <c r="B265" s="28"/>
      <c r="C265" s="192" t="s">
        <v>516</v>
      </c>
      <c r="D265" s="86"/>
      <c r="E265" s="29" t="str">
        <f>"(Line "&amp;A247&amp;")"</f>
        <v>(Line 151)</v>
      </c>
      <c r="F265" s="29"/>
      <c r="G265" s="225">
        <f>+G247</f>
        <v>137960858.7161709</v>
      </c>
      <c r="K265" s="423"/>
      <c r="L265" s="53"/>
      <c r="M265" s="53"/>
    </row>
    <row r="266" spans="1:13" ht="15.75">
      <c r="A266" s="71">
        <f>+A265+1</f>
        <v>164</v>
      </c>
      <c r="B266" s="28"/>
      <c r="C266" s="99" t="s">
        <v>43</v>
      </c>
      <c r="D266" s="86"/>
      <c r="E266" s="52" t="s">
        <v>6</v>
      </c>
      <c r="F266" s="29"/>
      <c r="G266" s="900">
        <f>IF(I1=1,0,K266)</f>
        <v>0</v>
      </c>
      <c r="I266" s="668" t="s">
        <v>234</v>
      </c>
      <c r="K266" s="1085">
        <v>7530318.175133129</v>
      </c>
      <c r="M266" s="1085"/>
    </row>
    <row r="267" spans="1:9" ht="15.75">
      <c r="A267" s="71">
        <f>+A266+1</f>
        <v>165</v>
      </c>
      <c r="B267" s="28"/>
      <c r="C267" s="99" t="s">
        <v>678</v>
      </c>
      <c r="D267" s="271"/>
      <c r="E267" s="285" t="s">
        <v>25</v>
      </c>
      <c r="F267" s="29"/>
      <c r="G267" s="900">
        <f>'7 - Cap Add WS'!K2</f>
        <v>3631195.719030246</v>
      </c>
      <c r="I267" s="300"/>
    </row>
    <row r="268" spans="1:7" ht="15.75">
      <c r="A268" s="71">
        <f>+A267+1</f>
        <v>166</v>
      </c>
      <c r="B268" s="28"/>
      <c r="C268" s="74" t="s">
        <v>293</v>
      </c>
      <c r="D268" s="176"/>
      <c r="E268" s="74" t="s">
        <v>48</v>
      </c>
      <c r="F268" s="29"/>
      <c r="G268" s="900">
        <f>+'5 - Cost Support 1'!G293</f>
        <v>0</v>
      </c>
    </row>
    <row r="269" spans="1:8" ht="15">
      <c r="A269" s="71"/>
      <c r="B269" s="71"/>
      <c r="H269" s="300"/>
    </row>
    <row r="270" spans="1:10" ht="15.75">
      <c r="A270" s="71">
        <f>+A268+1</f>
        <v>167</v>
      </c>
      <c r="B270" s="28"/>
      <c r="C270" s="192" t="s">
        <v>599</v>
      </c>
      <c r="D270" s="86"/>
      <c r="E270" s="339" t="str">
        <f>"Sum (Lines "&amp;A265&amp;" to "&amp;A268&amp;")"</f>
        <v>Sum (Lines 163 to 166)</v>
      </c>
      <c r="F270" s="29"/>
      <c r="G270" s="225">
        <f>+SUM(G265:G268)</f>
        <v>141592054.43520117</v>
      </c>
      <c r="H270" s="225"/>
      <c r="J270" s="300"/>
    </row>
    <row r="271" spans="1:7" ht="15.75">
      <c r="A271" s="71"/>
      <c r="B271" s="28"/>
      <c r="C271" s="99"/>
      <c r="E271" s="29"/>
      <c r="F271" s="29"/>
      <c r="G271" s="37"/>
    </row>
    <row r="272" spans="1:7" ht="15.75">
      <c r="A272" s="71"/>
      <c r="B272" s="96" t="s">
        <v>598</v>
      </c>
      <c r="C272" s="99"/>
      <c r="E272" s="29"/>
      <c r="F272" s="29"/>
      <c r="G272" s="37"/>
    </row>
    <row r="273" spans="1:7" ht="15.75">
      <c r="A273" s="71">
        <f>+A270+1</f>
        <v>168</v>
      </c>
      <c r="B273" s="28"/>
      <c r="C273" s="29" t="s">
        <v>427</v>
      </c>
      <c r="D273" s="176" t="str">
        <f>"(Note "&amp;B$295&amp;")"</f>
        <v>(Note L)</v>
      </c>
      <c r="E273" s="58" t="s">
        <v>8</v>
      </c>
      <c r="F273" s="58"/>
      <c r="G273" s="901">
        <f>+'5 - Cost Support 1'!G298</f>
        <v>2682</v>
      </c>
    </row>
    <row r="274" spans="1:7" ht="15.75">
      <c r="A274" s="71">
        <f>+A273+1</f>
        <v>169</v>
      </c>
      <c r="B274" s="28"/>
      <c r="C274" s="29" t="s">
        <v>426</v>
      </c>
      <c r="D274" s="242"/>
      <c r="E274" s="42" t="str">
        <f>"(Line "&amp;A270&amp;" / Line "&amp;A273&amp;")"</f>
        <v>(Line 167 / Line 168)</v>
      </c>
      <c r="F274" s="128"/>
      <c r="G274" s="728">
        <f>IF(G273=0,0,G270/G273)</f>
        <v>52793.45802953064</v>
      </c>
    </row>
    <row r="275" spans="1:7" ht="16.5" thickBot="1">
      <c r="A275" s="71"/>
      <c r="B275" s="28"/>
      <c r="D275" s="173"/>
      <c r="E275" s="128"/>
      <c r="F275" s="128"/>
      <c r="G275" s="728"/>
    </row>
    <row r="276" spans="1:8" s="76" customFormat="1" ht="18.75" thickBot="1">
      <c r="A276" s="340">
        <f>+A274+1</f>
        <v>170</v>
      </c>
      <c r="B276" s="141"/>
      <c r="C276" s="135" t="s">
        <v>524</v>
      </c>
      <c r="D276" s="141"/>
      <c r="E276" s="141" t="str">
        <f>"(Line "&amp;A274&amp;")"</f>
        <v>(Line 169)</v>
      </c>
      <c r="F276" s="141"/>
      <c r="G276" s="729">
        <f>+G274</f>
        <v>52793.45802953064</v>
      </c>
      <c r="H276" s="301"/>
    </row>
    <row r="277" spans="1:8" s="76" customFormat="1" ht="15.75">
      <c r="A277" s="368"/>
      <c r="B277" s="72"/>
      <c r="C277" s="139"/>
      <c r="D277" s="173"/>
      <c r="E277" s="864"/>
      <c r="F277" s="864"/>
      <c r="G277" s="865"/>
      <c r="H277" s="302"/>
    </row>
    <row r="278" spans="1:8" s="76" customFormat="1" ht="18">
      <c r="A278" s="369"/>
      <c r="B278" s="142" t="s">
        <v>513</v>
      </c>
      <c r="C278" s="139"/>
      <c r="D278" s="173"/>
      <c r="E278" s="864"/>
      <c r="F278" s="864"/>
      <c r="G278" s="866"/>
      <c r="H278" s="301"/>
    </row>
    <row r="279" spans="1:8" s="76" customFormat="1" ht="15.75">
      <c r="A279" s="328"/>
      <c r="B279" s="674" t="s">
        <v>327</v>
      </c>
      <c r="C279" s="231" t="s">
        <v>469</v>
      </c>
      <c r="D279" s="177"/>
      <c r="E279" s="178"/>
      <c r="F279" s="178"/>
      <c r="G279" s="869"/>
      <c r="H279" s="303"/>
    </row>
    <row r="280" spans="1:7" s="76" customFormat="1" ht="114" customHeight="1">
      <c r="A280" s="328"/>
      <c r="B280" s="674" t="s">
        <v>459</v>
      </c>
      <c r="C280" s="1220" t="s">
        <v>235</v>
      </c>
      <c r="D280" s="1220"/>
      <c r="E280" s="1220"/>
      <c r="F280" s="178"/>
      <c r="G280" s="764"/>
    </row>
    <row r="281" spans="1:8" s="76" customFormat="1" ht="15.75">
      <c r="A281" s="328"/>
      <c r="B281" s="674" t="s">
        <v>308</v>
      </c>
      <c r="C281" s="179" t="s">
        <v>470</v>
      </c>
      <c r="D281" s="240"/>
      <c r="E281" s="241"/>
      <c r="F281" s="241"/>
      <c r="G281" s="765"/>
      <c r="H281" s="302"/>
    </row>
    <row r="282" spans="1:8" s="76" customFormat="1" ht="15.75">
      <c r="A282" s="328"/>
      <c r="B282" s="674" t="s">
        <v>328</v>
      </c>
      <c r="C282" s="180" t="s">
        <v>354</v>
      </c>
      <c r="D282" s="240"/>
      <c r="E282" s="241"/>
      <c r="F282" s="241"/>
      <c r="G282" s="765"/>
      <c r="H282" s="302"/>
    </row>
    <row r="283" spans="1:8" s="76" customFormat="1" ht="15.75">
      <c r="A283" s="328"/>
      <c r="B283" s="674" t="s">
        <v>326</v>
      </c>
      <c r="C283" s="181" t="s">
        <v>355</v>
      </c>
      <c r="D283" s="240"/>
      <c r="E283" s="241"/>
      <c r="F283" s="241"/>
      <c r="G283" s="765"/>
      <c r="H283" s="302"/>
    </row>
    <row r="284" spans="1:8" s="76" customFormat="1" ht="15.75">
      <c r="A284" s="328"/>
      <c r="B284" s="674" t="s">
        <v>619</v>
      </c>
      <c r="C284" s="180" t="s">
        <v>356</v>
      </c>
      <c r="D284" s="240"/>
      <c r="E284" s="241"/>
      <c r="F284" s="241"/>
      <c r="G284" s="765"/>
      <c r="H284" s="302"/>
    </row>
    <row r="285" spans="1:8" s="76" customFormat="1" ht="15.75">
      <c r="A285" s="328"/>
      <c r="B285" s="674" t="s">
        <v>329</v>
      </c>
      <c r="C285" s="180" t="s">
        <v>468</v>
      </c>
      <c r="D285" s="240"/>
      <c r="E285" s="241"/>
      <c r="F285" s="241"/>
      <c r="G285" s="765"/>
      <c r="H285" s="302"/>
    </row>
    <row r="286" spans="1:8" s="76" customFormat="1" ht="15.75">
      <c r="A286" s="328"/>
      <c r="B286" s="674" t="s">
        <v>84</v>
      </c>
      <c r="C286" s="180" t="s">
        <v>357</v>
      </c>
      <c r="D286" s="240"/>
      <c r="E286" s="241"/>
      <c r="F286" s="241"/>
      <c r="G286" s="765"/>
      <c r="H286" s="302"/>
    </row>
    <row r="287" spans="1:8" s="76" customFormat="1" ht="15.75">
      <c r="A287" s="328"/>
      <c r="B287" s="674" t="s">
        <v>315</v>
      </c>
      <c r="C287" s="180" t="s">
        <v>332</v>
      </c>
      <c r="D287" s="240"/>
      <c r="E287" s="241"/>
      <c r="F287" s="241"/>
      <c r="G287" s="765"/>
      <c r="H287" s="302"/>
    </row>
    <row r="288" spans="1:8" s="76" customFormat="1" ht="15.75">
      <c r="A288" s="328"/>
      <c r="B288" s="674"/>
      <c r="C288" s="180" t="s">
        <v>86</v>
      </c>
      <c r="D288" s="240"/>
      <c r="E288" s="241"/>
      <c r="F288" s="241"/>
      <c r="G288" s="765"/>
      <c r="H288" s="302"/>
    </row>
    <row r="289" spans="1:8" s="76" customFormat="1" ht="15.75">
      <c r="A289" s="328"/>
      <c r="B289" s="674"/>
      <c r="C289" s="180" t="s">
        <v>713</v>
      </c>
      <c r="D289" s="240"/>
      <c r="E289" s="241"/>
      <c r="F289" s="241"/>
      <c r="G289" s="765"/>
      <c r="H289" s="302"/>
    </row>
    <row r="290" spans="1:8" s="76" customFormat="1" ht="15.75">
      <c r="A290" s="328"/>
      <c r="B290" s="674"/>
      <c r="C290" s="180" t="s">
        <v>714</v>
      </c>
      <c r="D290" s="240"/>
      <c r="E290" s="241"/>
      <c r="F290" s="241"/>
      <c r="G290" s="765"/>
      <c r="H290" s="302"/>
    </row>
    <row r="291" spans="1:9" s="76" customFormat="1" ht="15.75">
      <c r="A291" s="328"/>
      <c r="B291" s="674"/>
      <c r="C291" s="180" t="s">
        <v>715</v>
      </c>
      <c r="D291" s="240"/>
      <c r="E291" s="241"/>
      <c r="F291" s="241"/>
      <c r="G291" s="765"/>
      <c r="H291" s="302"/>
      <c r="I291" s="99"/>
    </row>
    <row r="292" spans="1:8" s="76" customFormat="1" ht="15.75">
      <c r="A292" s="328"/>
      <c r="B292" s="674"/>
      <c r="C292" s="180" t="s">
        <v>716</v>
      </c>
      <c r="D292" s="240"/>
      <c r="E292" s="241"/>
      <c r="F292" s="241"/>
      <c r="G292" s="765"/>
      <c r="H292" s="302"/>
    </row>
    <row r="293" spans="1:8" s="76" customFormat="1" ht="15.75">
      <c r="A293" s="328"/>
      <c r="B293" s="674" t="s">
        <v>317</v>
      </c>
      <c r="C293" s="180" t="s">
        <v>467</v>
      </c>
      <c r="D293" s="240"/>
      <c r="E293" s="241"/>
      <c r="F293" s="241"/>
      <c r="G293" s="765"/>
      <c r="H293" s="302"/>
    </row>
    <row r="294" spans="1:8" s="76" customFormat="1" ht="15.75">
      <c r="A294" s="328"/>
      <c r="B294" s="674" t="s">
        <v>331</v>
      </c>
      <c r="C294" s="231" t="s">
        <v>466</v>
      </c>
      <c r="D294" s="240"/>
      <c r="E294" s="241"/>
      <c r="F294" s="241"/>
      <c r="G294" s="765"/>
      <c r="H294" s="302"/>
    </row>
    <row r="295" spans="1:8" s="76" customFormat="1" ht="15.75">
      <c r="A295" s="328"/>
      <c r="B295" s="674" t="s">
        <v>432</v>
      </c>
      <c r="C295" s="231" t="s">
        <v>358</v>
      </c>
      <c r="D295" s="240"/>
      <c r="E295" s="241"/>
      <c r="F295" s="241"/>
      <c r="G295" s="765"/>
      <c r="H295" s="302"/>
    </row>
    <row r="296" spans="1:8" ht="15.75">
      <c r="A296" s="329"/>
      <c r="B296" s="647" t="s">
        <v>433</v>
      </c>
      <c r="C296" s="181" t="s">
        <v>583</v>
      </c>
      <c r="D296" s="240"/>
      <c r="E296" s="241"/>
      <c r="F296" s="241"/>
      <c r="G296" s="765"/>
      <c r="H296" s="302"/>
    </row>
    <row r="297" spans="1:8" ht="30.75" customHeight="1">
      <c r="A297" s="329"/>
      <c r="B297" s="647" t="s">
        <v>620</v>
      </c>
      <c r="C297" s="1221"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7" s="1224"/>
      <c r="E297" s="1224"/>
      <c r="F297" s="1221"/>
      <c r="G297" s="1224"/>
      <c r="H297" s="302"/>
    </row>
    <row r="298" spans="1:8" ht="30.75" customHeight="1">
      <c r="A298" s="329"/>
      <c r="B298" s="647" t="s">
        <v>675</v>
      </c>
      <c r="C298" s="1221" t="s">
        <v>380</v>
      </c>
      <c r="D298" s="1222"/>
      <c r="E298" s="1222"/>
      <c r="F298" s="1222"/>
      <c r="G298" s="655"/>
      <c r="H298" s="302"/>
    </row>
    <row r="299" spans="1:7" s="76" customFormat="1" ht="34.5" customHeight="1">
      <c r="A299" s="329"/>
      <c r="C299" s="1221"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299" s="1223"/>
      <c r="E299" s="1223"/>
      <c r="F299" s="328"/>
      <c r="G299" s="328"/>
    </row>
    <row r="300" spans="1:7" s="76" customFormat="1" ht="18.75" customHeight="1">
      <c r="A300" s="329"/>
      <c r="B300" s="647" t="s">
        <v>352</v>
      </c>
      <c r="C300" s="1225" t="s">
        <v>490</v>
      </c>
      <c r="D300" s="1225"/>
      <c r="E300" s="1225"/>
      <c r="F300" s="1226"/>
      <c r="G300" s="1226"/>
    </row>
    <row r="301" spans="1:7" s="76" customFormat="1" ht="50.25" customHeight="1">
      <c r="A301" s="329"/>
      <c r="B301" s="647" t="s">
        <v>301</v>
      </c>
      <c r="C301" s="1221" t="s">
        <v>381</v>
      </c>
      <c r="D301" s="1223"/>
      <c r="E301" s="1223"/>
      <c r="F301" s="328"/>
      <c r="G301" s="328"/>
    </row>
    <row r="302" spans="1:7" ht="15.75">
      <c r="A302" s="130" t="s">
        <v>307</v>
      </c>
      <c r="B302" s="129"/>
      <c r="C302" s="116"/>
      <c r="D302" s="174"/>
      <c r="E302" s="115"/>
      <c r="F302" s="115"/>
      <c r="G302" s="116"/>
    </row>
    <row r="303" spans="1:3" ht="15">
      <c r="A303" s="49"/>
      <c r="B303" s="28"/>
      <c r="C303" s="47"/>
    </row>
    <row r="304" ht="15">
      <c r="G304" s="125"/>
    </row>
    <row r="305" spans="3:7" ht="16.5">
      <c r="C305" s="681"/>
      <c r="G305" s="124"/>
    </row>
    <row r="306" ht="15">
      <c r="G306" s="123"/>
    </row>
  </sheetData>
  <sheetProtection/>
  <mergeCells count="9">
    <mergeCell ref="J104:K104"/>
    <mergeCell ref="J110:K110"/>
    <mergeCell ref="C280:E280"/>
    <mergeCell ref="C298:F298"/>
    <mergeCell ref="C301:E301"/>
    <mergeCell ref="C299:E299"/>
    <mergeCell ref="C297:E297"/>
    <mergeCell ref="F297:G297"/>
    <mergeCell ref="C300:G300"/>
  </mergeCells>
  <printOptions/>
  <pageMargins left="0.5" right="0.25" top="1" bottom="0.75" header="0.5" footer="0.5"/>
  <pageSetup fitToHeight="0" fitToWidth="1" horizontalDpi="600" verticalDpi="600" orientation="portrait" scale="50" r:id="rId1"/>
  <headerFooter alignWithMargins="0">
    <oddHeader>&amp;CDuquesne Light Company
Attachment H -17A&amp;RPage &amp;P of &amp;N</oddHeader>
  </headerFooter>
  <rowBreaks count="5" manualBreakCount="5">
    <brk id="57" max="6" man="1"/>
    <brk id="93" max="6" man="1"/>
    <brk id="154" max="6" man="1"/>
    <brk id="220" max="6" man="1"/>
    <brk id="276" max="6" man="1"/>
  </rowBreaks>
</worksheet>
</file>

<file path=xl/worksheets/sheet3.xml><?xml version="1.0" encoding="utf-8"?>
<worksheet xmlns="http://schemas.openxmlformats.org/spreadsheetml/2006/main" xmlns:r="http://schemas.openxmlformats.org/officeDocument/2006/relationships">
  <dimension ref="A1:FB302"/>
  <sheetViews>
    <sheetView zoomScale="80" zoomScaleNormal="80" zoomScaleSheetLayoutView="75" zoomScalePageLayoutView="0" workbookViewId="0" topLeftCell="A97">
      <selection activeCell="G270" sqref="G270"/>
    </sheetView>
  </sheetViews>
  <sheetFormatPr defaultColWidth="9.140625" defaultRowHeight="12.75"/>
  <cols>
    <col min="1" max="1" width="6.00390625" style="381" bestFit="1" customWidth="1"/>
    <col min="2" max="2" width="54.28125" style="381" customWidth="1"/>
    <col min="3" max="3" width="17.7109375" style="381" bestFit="1" customWidth="1"/>
    <col min="4" max="4" width="13.8515625" style="381" customWidth="1"/>
    <col min="5" max="5" width="16.57421875" style="381" customWidth="1"/>
    <col min="6" max="6" width="13.8515625" style="381" customWidth="1"/>
    <col min="7" max="7" width="13.57421875" style="381" bestFit="1" customWidth="1"/>
    <col min="8" max="8" width="14.00390625" style="381" bestFit="1" customWidth="1"/>
    <col min="9" max="9" width="14.140625" style="381" bestFit="1" customWidth="1"/>
    <col min="10" max="10" width="83.8515625" style="381" customWidth="1"/>
    <col min="11" max="16384" width="9.140625" style="381" customWidth="1"/>
  </cols>
  <sheetData>
    <row r="1" spans="1:157" s="384" customFormat="1" ht="12.75">
      <c r="A1" s="399"/>
      <c r="B1" s="309" t="s">
        <v>327</v>
      </c>
      <c r="C1" s="309" t="s">
        <v>459</v>
      </c>
      <c r="D1" s="309" t="s">
        <v>308</v>
      </c>
      <c r="E1" s="309" t="s">
        <v>328</v>
      </c>
      <c r="F1" s="309" t="s">
        <v>326</v>
      </c>
      <c r="G1" s="309" t="s">
        <v>619</v>
      </c>
      <c r="H1" s="309" t="s">
        <v>329</v>
      </c>
      <c r="I1" s="309" t="s">
        <v>84</v>
      </c>
      <c r="J1" s="309" t="s">
        <v>329</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row>
    <row r="2" spans="2:158" s="384" customFormat="1" ht="12.75">
      <c r="B2" s="381"/>
      <c r="C2" s="310" t="s">
        <v>753</v>
      </c>
      <c r="D2" s="310" t="s">
        <v>3</v>
      </c>
      <c r="E2" s="310" t="s">
        <v>755</v>
      </c>
      <c r="F2" s="310" t="s">
        <v>564</v>
      </c>
      <c r="G2" s="310" t="s">
        <v>565</v>
      </c>
      <c r="H2" s="310"/>
      <c r="I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row>
    <row r="3" spans="2:158" s="384" customFormat="1" ht="12.75">
      <c r="B3" s="381"/>
      <c r="C3" s="310" t="s">
        <v>458</v>
      </c>
      <c r="D3" s="310" t="s">
        <v>458</v>
      </c>
      <c r="E3" s="310"/>
      <c r="F3" s="310" t="s">
        <v>51</v>
      </c>
      <c r="G3" s="310" t="s">
        <v>535</v>
      </c>
      <c r="H3" s="310" t="s">
        <v>561</v>
      </c>
      <c r="I3" s="310" t="s">
        <v>563</v>
      </c>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row>
    <row r="4" spans="2:158" s="384" customFormat="1" ht="12.75">
      <c r="B4" s="381"/>
      <c r="C4" s="310"/>
      <c r="D4" s="310"/>
      <c r="E4" s="310"/>
      <c r="F4" s="310" t="s">
        <v>562</v>
      </c>
      <c r="G4" s="310" t="s">
        <v>562</v>
      </c>
      <c r="H4" s="310" t="s">
        <v>562</v>
      </c>
      <c r="I4" s="310" t="s">
        <v>562</v>
      </c>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row>
    <row r="5" spans="2:158" s="384" customFormat="1" ht="12.7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row>
    <row r="6" spans="1:158" s="384" customFormat="1" ht="12.75">
      <c r="A6" s="384" t="s">
        <v>576</v>
      </c>
      <c r="B6" s="381"/>
      <c r="C6" s="381"/>
      <c r="D6" s="381"/>
      <c r="E6" s="381"/>
      <c r="F6" s="381"/>
      <c r="G6" s="381"/>
      <c r="H6" s="381"/>
      <c r="I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row>
    <row r="7" spans="1:158" s="384" customFormat="1" ht="12.75">
      <c r="A7" s="384">
        <v>1</v>
      </c>
      <c r="B7" s="400" t="str">
        <f>"ADIT-190 (enter negative) - line "&amp;A69&amp;""</f>
        <v>ADIT-190 (enter negative) - line 38</v>
      </c>
      <c r="C7" s="405">
        <f aca="true" t="shared" si="0" ref="C7:I7">-C69</f>
        <v>-81059277</v>
      </c>
      <c r="D7" s="405">
        <f t="shared" si="0"/>
        <v>-161128465</v>
      </c>
      <c r="E7" s="405">
        <f t="shared" si="0"/>
        <v>-121093871</v>
      </c>
      <c r="F7" s="405">
        <f t="shared" si="0"/>
        <v>-18490925</v>
      </c>
      <c r="G7" s="405">
        <f t="shared" si="0"/>
        <v>0</v>
      </c>
      <c r="H7" s="405">
        <f t="shared" si="0"/>
        <v>0</v>
      </c>
      <c r="I7" s="405">
        <f t="shared" si="0"/>
        <v>-102602946</v>
      </c>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row>
    <row r="8" spans="1:158" s="384" customFormat="1" ht="12.75">
      <c r="A8" s="384">
        <f>A7+1</f>
        <v>2</v>
      </c>
      <c r="B8" s="400" t="str">
        <f>"ADIT- 282  -- line "&amp;A80&amp;""</f>
        <v>ADIT- 282  -- line 43</v>
      </c>
      <c r="C8" s="405">
        <f aca="true" t="shared" si="1" ref="C8:I8">C80</f>
        <v>655838501</v>
      </c>
      <c r="D8" s="405">
        <f t="shared" si="1"/>
        <v>622528773</v>
      </c>
      <c r="E8" s="405">
        <f t="shared" si="1"/>
        <v>639183637</v>
      </c>
      <c r="F8" s="405">
        <f t="shared" si="1"/>
        <v>0</v>
      </c>
      <c r="G8" s="405">
        <f t="shared" si="1"/>
        <v>0</v>
      </c>
      <c r="H8" s="405">
        <f t="shared" si="1"/>
        <v>639183637</v>
      </c>
      <c r="I8" s="405">
        <f t="shared" si="1"/>
        <v>0</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row>
    <row r="9" spans="1:158" s="384" customFormat="1" ht="12.75">
      <c r="A9" s="384">
        <f aca="true" t="shared" si="2" ref="A9:A15">A8+1</f>
        <v>3</v>
      </c>
      <c r="B9" s="849" t="str">
        <f>"ADIT- 283  -- line "&amp;A101&amp;""</f>
        <v>ADIT- 283  -- line 58</v>
      </c>
      <c r="C9" s="853">
        <f aca="true" t="shared" si="3" ref="C9:I9">C101</f>
        <v>106475504</v>
      </c>
      <c r="D9" s="853">
        <f t="shared" si="3"/>
        <v>166827734</v>
      </c>
      <c r="E9" s="853">
        <f t="shared" si="3"/>
        <v>136651619</v>
      </c>
      <c r="F9" s="853">
        <f t="shared" si="3"/>
        <v>5649279</v>
      </c>
      <c r="G9" s="853">
        <f t="shared" si="3"/>
        <v>0</v>
      </c>
      <c r="H9" s="853">
        <f t="shared" si="3"/>
        <v>8141561</v>
      </c>
      <c r="I9" s="853">
        <f t="shared" si="3"/>
        <v>122860779</v>
      </c>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row>
    <row r="10" spans="1:158" s="384" customFormat="1" ht="12.75">
      <c r="A10" s="384">
        <f t="shared" si="2"/>
        <v>4</v>
      </c>
      <c r="B10" s="400" t="str">
        <f>"Subtotal -- Sum (line 1 + line 2 + line 3)"</f>
        <v>Subtotal -- Sum (line 1 + line 2 + line 3)</v>
      </c>
      <c r="C10" s="444">
        <f aca="true" t="shared" si="4" ref="C10:I10">SUM(C7:C9)</f>
        <v>681254728</v>
      </c>
      <c r="D10" s="444">
        <f t="shared" si="4"/>
        <v>628228042</v>
      </c>
      <c r="E10" s="444">
        <f t="shared" si="4"/>
        <v>654741385</v>
      </c>
      <c r="F10" s="444">
        <f t="shared" si="4"/>
        <v>-12841646</v>
      </c>
      <c r="G10" s="444">
        <f t="shared" si="4"/>
        <v>0</v>
      </c>
      <c r="H10" s="444">
        <f t="shared" si="4"/>
        <v>647325198</v>
      </c>
      <c r="I10" s="444">
        <f t="shared" si="4"/>
        <v>20257833</v>
      </c>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row>
    <row r="11" spans="1:158" s="384" customFormat="1" ht="12.75">
      <c r="A11" s="384">
        <f t="shared" si="2"/>
        <v>5</v>
      </c>
      <c r="B11" s="400" t="str">
        <f>"Wages &amp; Salary Allocator -- Appendix A line "&amp;'Appendix A'!A12&amp;""</f>
        <v>Wages &amp; Salary Allocator -- Appendix A line 5</v>
      </c>
      <c r="C11" s="381"/>
      <c r="D11" s="381"/>
      <c r="E11" s="381"/>
      <c r="F11" s="381"/>
      <c r="G11" s="381"/>
      <c r="I11" s="401">
        <f>+'Appendix A'!G12</f>
        <v>0.18446314069920292</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row>
    <row r="12" spans="1:158" s="384" customFormat="1" ht="12.75">
      <c r="A12" s="384">
        <f t="shared" si="2"/>
        <v>6</v>
      </c>
      <c r="B12" s="400" t="str">
        <f>"Gross Plant Allocator -- Appendix A line "&amp;'Appendix A'!A20&amp;""</f>
        <v>Gross Plant Allocator -- Appendix A line 10</v>
      </c>
      <c r="C12" s="381"/>
      <c r="D12" s="381"/>
      <c r="E12" s="381"/>
      <c r="F12" s="381"/>
      <c r="G12" s="381"/>
      <c r="H12" s="401">
        <f>+'Appendix A'!G20</f>
        <v>0.24827850353615957</v>
      </c>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row>
    <row r="13" spans="1:158" s="384" customFormat="1" ht="12.75">
      <c r="A13" s="384">
        <f t="shared" si="2"/>
        <v>7</v>
      </c>
      <c r="B13" s="400" t="s">
        <v>245</v>
      </c>
      <c r="C13" s="381"/>
      <c r="D13" s="381"/>
      <c r="E13" s="381"/>
      <c r="F13" s="854"/>
      <c r="G13" s="856">
        <v>1</v>
      </c>
      <c r="H13" s="40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row>
    <row r="14" spans="1:158" s="384" customFormat="1" ht="12.75">
      <c r="A14" s="384">
        <f t="shared" si="2"/>
        <v>8</v>
      </c>
      <c r="B14" s="849" t="s">
        <v>246</v>
      </c>
      <c r="C14" s="850"/>
      <c r="D14" s="850"/>
      <c r="E14" s="850"/>
      <c r="F14" s="855">
        <v>0</v>
      </c>
      <c r="G14" s="850"/>
      <c r="H14" s="851"/>
      <c r="I14" s="852"/>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row>
    <row r="15" spans="1:158" s="384" customFormat="1" ht="12.75">
      <c r="A15" s="384">
        <f t="shared" si="2"/>
        <v>9</v>
      </c>
      <c r="B15" s="400" t="s">
        <v>566</v>
      </c>
      <c r="C15" s="759">
        <f>SUM(G15:I15)</f>
        <v>164453754.95962816</v>
      </c>
      <c r="D15" s="402"/>
      <c r="E15" s="402"/>
      <c r="F15" s="405">
        <f>F10*F14</f>
        <v>0</v>
      </c>
      <c r="G15" s="405">
        <f>+G10*G13</f>
        <v>0</v>
      </c>
      <c r="H15" s="405">
        <f>+H12*H10</f>
        <v>160716931.4606882</v>
      </c>
      <c r="I15" s="405">
        <f>+I11*I10</f>
        <v>3736823.498939956</v>
      </c>
      <c r="J15" s="384" t="str">
        <f>"Enter Column B as a negative on Appendix A, line "&amp;'Appendix A'!A61&amp;".  (Column B = Sum of Columns F through H)"</f>
        <v>Enter Column B as a negative on Appendix A, line 34.  (Column B = Sum of Columns F through H)</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row>
    <row r="16" spans="2:157" s="384" customFormat="1" ht="12.75">
      <c r="B16" s="381"/>
      <c r="C16" s="405"/>
      <c r="D16" s="381"/>
      <c r="E16" s="381"/>
      <c r="F16" s="381" t="s">
        <v>247</v>
      </c>
      <c r="G16" s="381" t="s">
        <v>248</v>
      </c>
      <c r="H16" s="381" t="s">
        <v>249</v>
      </c>
      <c r="I16" s="381" t="s">
        <v>87</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row>
    <row r="17" spans="2:157" s="384" customFormat="1" ht="12.75">
      <c r="B17" s="381"/>
      <c r="C17" s="405"/>
      <c r="D17" s="381"/>
      <c r="E17" s="381"/>
      <c r="F17" s="381"/>
      <c r="G17" s="381"/>
      <c r="H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row>
    <row r="18" spans="3:157" s="384" customFormat="1" ht="12.75">
      <c r="C18" s="444"/>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row>
    <row r="19" spans="3:157" s="384" customFormat="1" ht="12.75">
      <c r="C19" s="444">
        <f>H88</f>
        <v>8141561</v>
      </c>
      <c r="D19" s="384" t="s">
        <v>88</v>
      </c>
      <c r="E19" s="392"/>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row>
    <row r="20" spans="11:157" s="384" customFormat="1" ht="12.7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row>
    <row r="21" spans="2:10" ht="12.75">
      <c r="B21" s="502" t="s">
        <v>89</v>
      </c>
      <c r="C21" s="403"/>
      <c r="D21" s="403"/>
      <c r="E21" s="403"/>
      <c r="F21" s="384"/>
      <c r="G21" s="384"/>
      <c r="H21" s="384"/>
      <c r="I21" s="384"/>
      <c r="J21" s="384"/>
    </row>
    <row r="22" spans="2:10" ht="12.75">
      <c r="B22" s="502" t="s">
        <v>90</v>
      </c>
      <c r="C22" s="403"/>
      <c r="D22" s="403"/>
      <c r="E22" s="403"/>
      <c r="F22" s="384"/>
      <c r="G22" s="384"/>
      <c r="H22" s="384"/>
      <c r="I22" s="384"/>
      <c r="J22" s="384"/>
    </row>
    <row r="23" spans="2:10" ht="12.75">
      <c r="B23" s="403"/>
      <c r="C23" s="403"/>
      <c r="D23" s="403"/>
      <c r="E23" s="403"/>
      <c r="F23" s="384"/>
      <c r="G23" s="384"/>
      <c r="H23" s="384"/>
      <c r="I23" s="384"/>
      <c r="J23" s="384"/>
    </row>
    <row r="24" spans="2:10" ht="12.75">
      <c r="B24" s="379" t="s">
        <v>244</v>
      </c>
      <c r="C24" s="380"/>
      <c r="D24" s="380"/>
      <c r="E24" s="380"/>
      <c r="F24" s="710"/>
      <c r="G24" s="421"/>
      <c r="H24" s="421"/>
      <c r="I24" s="711"/>
      <c r="J24" s="712"/>
    </row>
    <row r="25" spans="2:10" ht="12.75" customHeight="1">
      <c r="B25" s="1227" t="s">
        <v>370</v>
      </c>
      <c r="C25" s="1228"/>
      <c r="D25" s="1228"/>
      <c r="E25" s="1228"/>
      <c r="F25" s="1228"/>
      <c r="G25" s="1228"/>
      <c r="H25" s="1228"/>
      <c r="I25" s="1228"/>
      <c r="J25" s="1229"/>
    </row>
    <row r="26" spans="2:10" ht="12.75">
      <c r="B26" s="382" t="s">
        <v>359</v>
      </c>
      <c r="C26" s="383"/>
      <c r="D26" s="383"/>
      <c r="E26" s="383"/>
      <c r="F26" s="299"/>
      <c r="G26" s="331"/>
      <c r="H26" s="331"/>
      <c r="I26" s="573"/>
      <c r="J26" s="713"/>
    </row>
    <row r="27" spans="2:10" ht="12.75">
      <c r="B27" s="382" t="s">
        <v>371</v>
      </c>
      <c r="C27" s="383"/>
      <c r="D27" s="383"/>
      <c r="E27" s="383"/>
      <c r="F27" s="299"/>
      <c r="G27" s="331"/>
      <c r="H27" s="331"/>
      <c r="I27" s="416"/>
      <c r="J27" s="713"/>
    </row>
    <row r="28" spans="2:10" ht="12.75">
      <c r="B28" s="382" t="s">
        <v>372</v>
      </c>
      <c r="C28" s="383"/>
      <c r="D28" s="383"/>
      <c r="E28" s="383"/>
      <c r="F28" s="299"/>
      <c r="G28" s="331"/>
      <c r="H28" s="331"/>
      <c r="I28" s="416"/>
      <c r="J28" s="713"/>
    </row>
    <row r="29" spans="2:10" ht="12.75" customHeight="1">
      <c r="B29" s="398" t="s">
        <v>373</v>
      </c>
      <c r="C29" s="463"/>
      <c r="D29" s="463"/>
      <c r="E29" s="463"/>
      <c r="F29" s="463"/>
      <c r="G29" s="463"/>
      <c r="H29" s="463"/>
      <c r="I29" s="463"/>
      <c r="J29" s="714"/>
    </row>
    <row r="30" spans="2:10" ht="12.75" customHeight="1">
      <c r="B30" s="386" t="s">
        <v>250</v>
      </c>
      <c r="C30" s="463"/>
      <c r="D30" s="463"/>
      <c r="E30" s="463"/>
      <c r="F30" s="463"/>
      <c r="G30" s="463"/>
      <c r="H30" s="463"/>
      <c r="I30" s="463"/>
      <c r="J30" s="714"/>
    </row>
    <row r="31" spans="2:10" ht="12.75" customHeight="1">
      <c r="B31" s="398" t="s">
        <v>374</v>
      </c>
      <c r="C31" s="463"/>
      <c r="D31" s="463"/>
      <c r="E31" s="463"/>
      <c r="F31" s="463"/>
      <c r="G31" s="463"/>
      <c r="H31" s="463"/>
      <c r="I31" s="463"/>
      <c r="J31" s="714"/>
    </row>
    <row r="32" spans="1:10" ht="12.75">
      <c r="A32" s="384"/>
      <c r="B32" s="958" t="s">
        <v>255</v>
      </c>
      <c r="C32" s="800"/>
      <c r="D32" s="800"/>
      <c r="E32" s="800"/>
      <c r="F32" s="800"/>
      <c r="G32" s="800"/>
      <c r="H32" s="715"/>
      <c r="I32" s="715"/>
      <c r="J32" s="716"/>
    </row>
    <row r="34" spans="2:10" ht="12.75">
      <c r="B34" s="309" t="s">
        <v>327</v>
      </c>
      <c r="C34" s="309" t="s">
        <v>459</v>
      </c>
      <c r="D34" s="309" t="s">
        <v>308</v>
      </c>
      <c r="E34" s="309" t="s">
        <v>328</v>
      </c>
      <c r="F34" s="309" t="s">
        <v>326</v>
      </c>
      <c r="G34" s="309" t="s">
        <v>619</v>
      </c>
      <c r="H34" s="309" t="s">
        <v>329</v>
      </c>
      <c r="I34" s="309" t="s">
        <v>84</v>
      </c>
      <c r="J34" s="309" t="s">
        <v>329</v>
      </c>
    </row>
    <row r="35" spans="1:9" ht="38.25">
      <c r="A35" s="384"/>
      <c r="B35" s="812" t="s">
        <v>860</v>
      </c>
      <c r="C35" s="310" t="s">
        <v>753</v>
      </c>
      <c r="D35" s="310" t="s">
        <v>3</v>
      </c>
      <c r="E35" s="641" t="s">
        <v>503</v>
      </c>
      <c r="F35" s="310" t="s">
        <v>564</v>
      </c>
      <c r="G35" s="310" t="s">
        <v>565</v>
      </c>
      <c r="H35" s="310"/>
      <c r="I35" s="310"/>
    </row>
    <row r="36" spans="2:9" ht="12.75">
      <c r="B36" s="331"/>
      <c r="C36" s="310" t="s">
        <v>458</v>
      </c>
      <c r="D36" s="310" t="s">
        <v>458</v>
      </c>
      <c r="E36" s="310" t="s">
        <v>458</v>
      </c>
      <c r="F36" s="310" t="s">
        <v>51</v>
      </c>
      <c r="G36" s="310" t="s">
        <v>535</v>
      </c>
      <c r="H36" s="310" t="s">
        <v>561</v>
      </c>
      <c r="I36" s="310" t="s">
        <v>563</v>
      </c>
    </row>
    <row r="37" spans="2:10" ht="12.75">
      <c r="B37" s="384"/>
      <c r="C37" s="310"/>
      <c r="D37" s="310"/>
      <c r="E37" s="310"/>
      <c r="F37" s="310" t="s">
        <v>562</v>
      </c>
      <c r="G37" s="310" t="s">
        <v>562</v>
      </c>
      <c r="H37" s="310" t="s">
        <v>562</v>
      </c>
      <c r="I37" s="310" t="s">
        <v>562</v>
      </c>
      <c r="J37" s="310" t="s">
        <v>52</v>
      </c>
    </row>
    <row r="38" spans="2:9" ht="18">
      <c r="B38" s="308" t="s">
        <v>536</v>
      </c>
      <c r="C38" s="1009"/>
      <c r="D38" s="1009"/>
      <c r="E38" s="210"/>
      <c r="G38" s="331"/>
      <c r="H38" s="404"/>
      <c r="I38" s="404"/>
    </row>
    <row r="39" spans="1:12" ht="13.5" customHeight="1">
      <c r="A39" s="202">
        <f>A15+1</f>
        <v>10</v>
      </c>
      <c r="B39" s="374" t="s">
        <v>484</v>
      </c>
      <c r="C39" s="1126">
        <v>335607</v>
      </c>
      <c r="D39" s="1126">
        <v>381667</v>
      </c>
      <c r="E39" s="870">
        <f>IF('Appendix A'!$I$1=1,('1 - ADIT'!C39+'1 - ADIT'!D39)/2,'1 - ADIT'!C39)</f>
        <v>358637</v>
      </c>
      <c r="F39" s="870"/>
      <c r="G39" s="870"/>
      <c r="H39" s="870"/>
      <c r="I39" s="870">
        <f>E39</f>
        <v>358637</v>
      </c>
      <c r="J39" s="389" t="s">
        <v>91</v>
      </c>
      <c r="L39" s="392"/>
    </row>
    <row r="40" spans="1:12" ht="12.75" customHeight="1">
      <c r="A40" s="384">
        <f aca="true" t="shared" si="5" ref="A40:A46">A39+1</f>
        <v>11</v>
      </c>
      <c r="B40" s="374" t="s">
        <v>545</v>
      </c>
      <c r="C40" s="1126">
        <v>754450</v>
      </c>
      <c r="D40" s="1126">
        <v>936826</v>
      </c>
      <c r="E40" s="870">
        <f>IF('Appendix A'!$I$1=1,('1 - ADIT'!C40+'1 - ADIT'!D40)/2,'1 - ADIT'!C40)</f>
        <v>845638</v>
      </c>
      <c r="F40" s="870"/>
      <c r="G40" s="870"/>
      <c r="H40" s="870"/>
      <c r="I40" s="870">
        <f>E40</f>
        <v>845638</v>
      </c>
      <c r="J40" s="389" t="s">
        <v>120</v>
      </c>
      <c r="L40" s="392"/>
    </row>
    <row r="41" spans="1:12" ht="12.75" customHeight="1">
      <c r="A41" s="384">
        <f t="shared" si="5"/>
        <v>12</v>
      </c>
      <c r="B41" s="374" t="s">
        <v>549</v>
      </c>
      <c r="C41" s="1126">
        <v>1209448</v>
      </c>
      <c r="D41" s="1126">
        <v>3349776</v>
      </c>
      <c r="E41" s="870">
        <f>IF('Appendix A'!$I$1=1,('1 - ADIT'!C41+'1 - ADIT'!D41)/2,'1 - ADIT'!C41)</f>
        <v>2279612</v>
      </c>
      <c r="F41" s="870"/>
      <c r="G41" s="870"/>
      <c r="H41" s="870"/>
      <c r="I41" s="870">
        <f>E41</f>
        <v>2279612</v>
      </c>
      <c r="J41" s="389" t="s">
        <v>121</v>
      </c>
      <c r="L41" s="392"/>
    </row>
    <row r="42" spans="1:12" ht="12.75" customHeight="1">
      <c r="A42" s="384">
        <f>A41+1</f>
        <v>13</v>
      </c>
      <c r="B42" s="959" t="s">
        <v>831</v>
      </c>
      <c r="C42" s="1126">
        <v>57776141</v>
      </c>
      <c r="D42" s="1126">
        <v>126404506</v>
      </c>
      <c r="E42" s="870">
        <f>IF('Appendix A'!$I$1=1,('1 - ADIT'!C42+'1 - ADIT'!D42)/2,'1 - ADIT'!C42)</f>
        <v>92090323.5</v>
      </c>
      <c r="F42" s="870"/>
      <c r="G42" s="870"/>
      <c r="H42" s="870"/>
      <c r="I42" s="870">
        <f>E42</f>
        <v>92090323.5</v>
      </c>
      <c r="J42" s="389" t="s">
        <v>791</v>
      </c>
      <c r="L42" s="392"/>
    </row>
    <row r="43" spans="1:12" ht="12.75" customHeight="1">
      <c r="A43" s="384">
        <f t="shared" si="5"/>
        <v>14</v>
      </c>
      <c r="B43" s="959" t="s">
        <v>841</v>
      </c>
      <c r="C43" s="1126">
        <v>9644309</v>
      </c>
      <c r="D43" s="1126">
        <v>14177957</v>
      </c>
      <c r="E43" s="870">
        <f>IF('Appendix A'!$I$1=1,('1 - ADIT'!C43+'1 - ADIT'!D43)/2,'1 - ADIT'!C43)</f>
        <v>11911133</v>
      </c>
      <c r="F43" s="870"/>
      <c r="G43" s="870"/>
      <c r="H43" s="870"/>
      <c r="I43" s="870">
        <f>E43</f>
        <v>11911133</v>
      </c>
      <c r="J43" s="389" t="s">
        <v>829</v>
      </c>
      <c r="L43" s="392"/>
    </row>
    <row r="44" spans="1:12" ht="25.5" customHeight="1">
      <c r="A44" s="384">
        <f t="shared" si="5"/>
        <v>15</v>
      </c>
      <c r="B44" s="959" t="s">
        <v>828</v>
      </c>
      <c r="C44" s="1126">
        <v>4212667</v>
      </c>
      <c r="D44" s="1126">
        <v>6832051</v>
      </c>
      <c r="E44" s="870">
        <f>IF('Appendix A'!$I$1=1,('1 - ADIT'!C44+'1 - ADIT'!D44)/2,'1 - ADIT'!C44)</f>
        <v>5522359</v>
      </c>
      <c r="F44" s="870">
        <f>E44</f>
        <v>5522359</v>
      </c>
      <c r="G44" s="870"/>
      <c r="H44" s="870"/>
      <c r="I44" s="870"/>
      <c r="J44" s="389" t="s">
        <v>830</v>
      </c>
      <c r="L44" s="392"/>
    </row>
    <row r="45" spans="1:12" ht="12.75" customHeight="1">
      <c r="A45" s="384">
        <f t="shared" si="5"/>
        <v>16</v>
      </c>
      <c r="B45" s="959" t="s">
        <v>832</v>
      </c>
      <c r="C45" s="1126">
        <v>486217</v>
      </c>
      <c r="D45" s="1126">
        <v>785552</v>
      </c>
      <c r="E45" s="870">
        <f>IF('Appendix A'!$I$1=1,('1 - ADIT'!C45+'1 - ADIT'!D45)/2,'1 - ADIT'!C45)</f>
        <v>635884.5</v>
      </c>
      <c r="F45" s="870">
        <f>E45</f>
        <v>635884.5</v>
      </c>
      <c r="G45" s="870"/>
      <c r="H45" s="870"/>
      <c r="I45" s="870"/>
      <c r="J45" s="389" t="s">
        <v>240</v>
      </c>
      <c r="L45" s="392"/>
    </row>
    <row r="46" spans="1:12" ht="25.5" customHeight="1">
      <c r="A46" s="384">
        <f t="shared" si="5"/>
        <v>17</v>
      </c>
      <c r="B46" s="959" t="s">
        <v>833</v>
      </c>
      <c r="C46" s="1126">
        <v>5464112</v>
      </c>
      <c r="D46" s="1126">
        <v>10658277</v>
      </c>
      <c r="E46" s="870">
        <f>IF('Appendix A'!$I$1=1,('1 - ADIT'!C46+'1 - ADIT'!D46)/2,'1 - ADIT'!C46)</f>
        <v>8061194.5</v>
      </c>
      <c r="F46" s="870">
        <f>E46</f>
        <v>8061194.5</v>
      </c>
      <c r="G46" s="870"/>
      <c r="H46" s="870"/>
      <c r="I46" s="870"/>
      <c r="J46" s="389" t="s">
        <v>239</v>
      </c>
      <c r="L46" s="392"/>
    </row>
    <row r="47" spans="1:12" ht="25.5" customHeight="1">
      <c r="A47" s="384">
        <f>A46+1</f>
        <v>18</v>
      </c>
      <c r="B47" s="374" t="s">
        <v>546</v>
      </c>
      <c r="C47" s="1126">
        <v>180575</v>
      </c>
      <c r="D47" s="1126">
        <v>207467</v>
      </c>
      <c r="E47" s="870">
        <f>IF('Appendix A'!$I$1=1,('1 - ADIT'!C47+'1 - ADIT'!D47)/2,'1 - ADIT'!C47)</f>
        <v>194021</v>
      </c>
      <c r="F47" s="870">
        <f>E47</f>
        <v>194021</v>
      </c>
      <c r="G47" s="870"/>
      <c r="H47" s="870"/>
      <c r="I47" s="870"/>
      <c r="J47" s="389" t="s">
        <v>215</v>
      </c>
      <c r="L47" s="392"/>
    </row>
    <row r="48" spans="1:12" ht="12.75">
      <c r="A48" s="384">
        <f>A47+1</f>
        <v>19</v>
      </c>
      <c r="B48" s="374" t="s">
        <v>547</v>
      </c>
      <c r="C48" s="1126">
        <v>1457339</v>
      </c>
      <c r="D48" s="1126">
        <v>2136575</v>
      </c>
      <c r="E48" s="870">
        <f>IF('Appendix A'!$I$1=1,('1 - ADIT'!C48+'1 - ADIT'!D48)/2,'1 - ADIT'!C48)</f>
        <v>1796957</v>
      </c>
      <c r="F48" s="870"/>
      <c r="G48" s="870"/>
      <c r="H48" s="870"/>
      <c r="I48" s="870">
        <f>E48</f>
        <v>1796957</v>
      </c>
      <c r="J48" s="389" t="s">
        <v>216</v>
      </c>
      <c r="L48" s="392"/>
    </row>
    <row r="49" spans="1:12" ht="15.75" customHeight="1">
      <c r="A49" s="384">
        <f aca="true" t="shared" si="6" ref="A49:A63">A48+1</f>
        <v>20</v>
      </c>
      <c r="B49" s="959" t="s">
        <v>870</v>
      </c>
      <c r="C49" s="1126">
        <v>0</v>
      </c>
      <c r="D49" s="1126">
        <v>0</v>
      </c>
      <c r="E49" s="870">
        <f>IF('Appendix A'!$I$1=1,('1 - ADIT'!C49+'1 - ADIT'!D49)/2,'1 - ADIT'!C49)</f>
        <v>0</v>
      </c>
      <c r="F49" s="870">
        <f>E49</f>
        <v>0</v>
      </c>
      <c r="G49" s="870"/>
      <c r="H49" s="870"/>
      <c r="I49" s="870"/>
      <c r="J49" s="389" t="s">
        <v>217</v>
      </c>
      <c r="L49" s="392"/>
    </row>
    <row r="50" spans="1:12" ht="15.75" customHeight="1">
      <c r="A50" s="384">
        <f t="shared" si="6"/>
        <v>21</v>
      </c>
      <c r="B50" s="374" t="s">
        <v>548</v>
      </c>
      <c r="C50" s="1126">
        <v>559929</v>
      </c>
      <c r="D50" s="1126">
        <v>758501</v>
      </c>
      <c r="E50" s="870">
        <f>IF('Appendix A'!$I$1=1,('1 - ADIT'!C50+'1 - ADIT'!D50)/2,'1 - ADIT'!C50)</f>
        <v>659215</v>
      </c>
      <c r="F50" s="870"/>
      <c r="G50" s="870"/>
      <c r="H50" s="870"/>
      <c r="I50" s="870">
        <f>E50</f>
        <v>659215</v>
      </c>
      <c r="J50" s="389" t="s">
        <v>237</v>
      </c>
      <c r="L50" s="392"/>
    </row>
    <row r="51" spans="1:12" ht="12.75">
      <c r="A51" s="384">
        <f t="shared" si="6"/>
        <v>22</v>
      </c>
      <c r="B51" s="374" t="s">
        <v>662</v>
      </c>
      <c r="C51" s="1126">
        <v>5116197</v>
      </c>
      <c r="D51" s="1126">
        <v>4028930</v>
      </c>
      <c r="E51" s="870">
        <f>IF('Appendix A'!$I$1=1,('1 - ADIT'!C51+'1 - ADIT'!D51)/2,'1 - ADIT'!C51)</f>
        <v>4572563.5</v>
      </c>
      <c r="F51" s="870"/>
      <c r="G51" s="1031"/>
      <c r="H51" s="870"/>
      <c r="I51" s="870">
        <f>E51-G51</f>
        <v>4572563.5</v>
      </c>
      <c r="J51" s="389" t="s">
        <v>144</v>
      </c>
      <c r="L51" s="392"/>
    </row>
    <row r="52" spans="1:12" ht="12.75" customHeight="1">
      <c r="A52" s="384">
        <f t="shared" si="6"/>
        <v>23</v>
      </c>
      <c r="B52" s="374" t="s">
        <v>92</v>
      </c>
      <c r="C52" s="1126">
        <v>0</v>
      </c>
      <c r="D52" s="1126">
        <v>0</v>
      </c>
      <c r="E52" s="870">
        <f>IF('Appendix A'!$I$1=1,('1 - ADIT'!C52+'1 - ADIT'!D52)/2,'1 - ADIT'!C52)</f>
        <v>0</v>
      </c>
      <c r="F52" s="870">
        <f>E52</f>
        <v>0</v>
      </c>
      <c r="G52" s="870"/>
      <c r="H52" s="870"/>
      <c r="I52" s="870"/>
      <c r="J52" s="389" t="s">
        <v>856</v>
      </c>
      <c r="L52" s="392"/>
    </row>
    <row r="53" spans="1:12" ht="24.75" customHeight="1">
      <c r="A53" s="384">
        <f t="shared" si="6"/>
        <v>24</v>
      </c>
      <c r="B53" s="959" t="s">
        <v>849</v>
      </c>
      <c r="C53" s="1126">
        <v>33266</v>
      </c>
      <c r="D53" s="1126">
        <v>385697</v>
      </c>
      <c r="E53" s="870">
        <f>IF('Appendix A'!$I$1=1,('1 - ADIT'!C53+'1 - ADIT'!D53)/2,'1 - ADIT'!C53)</f>
        <v>209481.5</v>
      </c>
      <c r="F53" s="870">
        <f>E53</f>
        <v>209481.5</v>
      </c>
      <c r="G53" s="870"/>
      <c r="H53" s="870"/>
      <c r="I53" s="870"/>
      <c r="J53" s="333" t="s">
        <v>851</v>
      </c>
      <c r="L53" s="392"/>
    </row>
    <row r="54" spans="1:12" ht="15.75" customHeight="1">
      <c r="A54" s="384">
        <f t="shared" si="6"/>
        <v>25</v>
      </c>
      <c r="B54" s="1125" t="s">
        <v>613</v>
      </c>
      <c r="C54" s="1126">
        <v>3473329</v>
      </c>
      <c r="D54" s="1126">
        <v>4262640</v>
      </c>
      <c r="E54" s="1126">
        <f>IF('Appendix A'!$I$1=1,('1 - ADIT'!C54+'1 - ADIT'!D54)/2,'1 - ADIT'!C54)</f>
        <v>3867984.5</v>
      </c>
      <c r="F54" s="1126">
        <f>E54</f>
        <v>3867984.5</v>
      </c>
      <c r="G54" s="1126"/>
      <c r="H54" s="1126"/>
      <c r="I54" s="1126"/>
      <c r="J54" s="1124" t="s">
        <v>857</v>
      </c>
      <c r="L54" s="392"/>
    </row>
    <row r="55" spans="1:12" ht="90.75" customHeight="1">
      <c r="A55" s="384">
        <f t="shared" si="6"/>
        <v>26</v>
      </c>
      <c r="B55" s="959" t="s">
        <v>871</v>
      </c>
      <c r="C55" s="870">
        <v>162016846</v>
      </c>
      <c r="D55" s="1126">
        <v>0</v>
      </c>
      <c r="E55" s="870">
        <f>IF('Appendix A'!$I$1=1,('1 - ADIT'!C55+'1 - ADIT'!D55)/2,'1 - ADIT'!C55)</f>
        <v>81008423</v>
      </c>
      <c r="F55" s="870"/>
      <c r="G55" s="870"/>
      <c r="H55" s="870"/>
      <c r="I55" s="870"/>
      <c r="J55" s="1124" t="s">
        <v>874</v>
      </c>
      <c r="L55" s="392"/>
    </row>
    <row r="56" spans="1:12" ht="12.75" customHeight="1">
      <c r="A56" s="384">
        <f t="shared" si="6"/>
        <v>27</v>
      </c>
      <c r="B56" s="374"/>
      <c r="C56" s="870"/>
      <c r="D56" s="870"/>
      <c r="E56" s="870"/>
      <c r="F56" s="870"/>
      <c r="G56" s="870"/>
      <c r="H56" s="870"/>
      <c r="I56" s="870"/>
      <c r="J56" s="389"/>
      <c r="L56" s="392"/>
    </row>
    <row r="57" spans="1:12" ht="12.75">
      <c r="A57" s="384">
        <f t="shared" si="6"/>
        <v>28</v>
      </c>
      <c r="B57" s="374"/>
      <c r="C57" s="870"/>
      <c r="D57" s="870"/>
      <c r="E57" s="870"/>
      <c r="F57" s="870"/>
      <c r="G57" s="870"/>
      <c r="H57" s="870"/>
      <c r="I57" s="870"/>
      <c r="J57" s="389"/>
      <c r="L57" s="392"/>
    </row>
    <row r="58" spans="1:12" ht="12.75" customHeight="1">
      <c r="A58" s="384">
        <f t="shared" si="6"/>
        <v>29</v>
      </c>
      <c r="B58" s="374"/>
      <c r="C58" s="870"/>
      <c r="D58" s="870"/>
      <c r="E58" s="870"/>
      <c r="F58" s="870"/>
      <c r="G58" s="870"/>
      <c r="H58" s="870"/>
      <c r="I58" s="870"/>
      <c r="J58" s="389"/>
      <c r="L58" s="392"/>
    </row>
    <row r="59" spans="1:12" ht="12.75">
      <c r="A59" s="384">
        <f t="shared" si="6"/>
        <v>30</v>
      </c>
      <c r="B59" s="374"/>
      <c r="C59" s="870"/>
      <c r="D59" s="870"/>
      <c r="E59" s="870"/>
      <c r="F59" s="870"/>
      <c r="G59" s="870"/>
      <c r="H59" s="870"/>
      <c r="I59" s="870"/>
      <c r="J59" s="389"/>
      <c r="L59" s="392"/>
    </row>
    <row r="60" spans="1:12" ht="12.75">
      <c r="A60" s="384">
        <f t="shared" si="6"/>
        <v>31</v>
      </c>
      <c r="B60" s="374"/>
      <c r="C60" s="870"/>
      <c r="D60" s="870"/>
      <c r="E60" s="870"/>
      <c r="F60" s="870"/>
      <c r="G60" s="870"/>
      <c r="H60" s="870"/>
      <c r="I60" s="870"/>
      <c r="J60" s="389"/>
      <c r="L60" s="392"/>
    </row>
    <row r="61" spans="1:12" ht="12.75">
      <c r="A61" s="384">
        <f t="shared" si="6"/>
        <v>32</v>
      </c>
      <c r="B61" s="374"/>
      <c r="C61" s="870"/>
      <c r="D61" s="870"/>
      <c r="E61" s="870"/>
      <c r="F61" s="870"/>
      <c r="G61" s="870"/>
      <c r="H61" s="870"/>
      <c r="I61" s="870"/>
      <c r="J61" s="389"/>
      <c r="L61" s="392"/>
    </row>
    <row r="62" spans="1:12" ht="12.75">
      <c r="A62" s="384">
        <f t="shared" si="6"/>
        <v>33</v>
      </c>
      <c r="B62" s="374"/>
      <c r="C62" s="870"/>
      <c r="D62" s="870"/>
      <c r="E62" s="870"/>
      <c r="F62" s="870"/>
      <c r="G62" s="870"/>
      <c r="H62" s="870"/>
      <c r="I62" s="870"/>
      <c r="J62" s="389"/>
      <c r="L62" s="392"/>
    </row>
    <row r="63" spans="1:12" ht="12.75">
      <c r="A63" s="384">
        <f t="shared" si="6"/>
        <v>34</v>
      </c>
      <c r="B63" s="374"/>
      <c r="C63" s="870"/>
      <c r="D63" s="870"/>
      <c r="E63" s="870"/>
      <c r="F63" s="870"/>
      <c r="G63" s="870"/>
      <c r="H63" s="870"/>
      <c r="I63" s="870"/>
      <c r="J63" s="389"/>
      <c r="L63" s="392"/>
    </row>
    <row r="64" spans="1:12" s="384" customFormat="1" ht="12.75">
      <c r="A64" s="991"/>
      <c r="B64" s="391"/>
      <c r="C64" s="391"/>
      <c r="D64" s="391"/>
      <c r="E64" s="391"/>
      <c r="G64" s="392"/>
      <c r="H64" s="392"/>
      <c r="I64" s="392"/>
      <c r="J64" s="1047"/>
      <c r="L64" s="392"/>
    </row>
    <row r="65" spans="1:6" ht="12.75">
      <c r="A65" s="384"/>
      <c r="C65" s="1012"/>
      <c r="D65" s="995"/>
      <c r="E65" s="995"/>
      <c r="F65" s="995"/>
    </row>
    <row r="66" spans="1:12" ht="12.75">
      <c r="A66" s="384">
        <f>A63+1</f>
        <v>35</v>
      </c>
      <c r="B66" s="370" t="str">
        <f>"Subtotal - p234 (Sum line "&amp;A39&amp;" through line "&amp;A59&amp;")"</f>
        <v>Subtotal - p234 (Sum line 10 through line 30)</v>
      </c>
      <c r="C66" s="396">
        <f>SUM(C39:C63)</f>
        <v>252720432</v>
      </c>
      <c r="D66" s="396">
        <f>SUM(D39:D63)</f>
        <v>175306422</v>
      </c>
      <c r="E66" s="717">
        <f>SUM(E39:E63)</f>
        <v>214013427</v>
      </c>
      <c r="F66" s="717">
        <f>SUM(F39:F64)</f>
        <v>18490925</v>
      </c>
      <c r="G66" s="717">
        <f>SUM(G39:G63)</f>
        <v>0</v>
      </c>
      <c r="H66" s="717">
        <f>SUM(H39:H63)</f>
        <v>0</v>
      </c>
      <c r="I66" s="717">
        <f>SUM(I39:I63)</f>
        <v>114514079</v>
      </c>
      <c r="J66" s="372"/>
      <c r="L66" s="392"/>
    </row>
    <row r="67" spans="1:12" ht="12.75">
      <c r="A67" s="384">
        <f>A66+1</f>
        <v>36</v>
      </c>
      <c r="B67" s="373" t="s">
        <v>10</v>
      </c>
      <c r="C67" s="396">
        <v>162016846</v>
      </c>
      <c r="D67" s="396"/>
      <c r="E67" s="870">
        <f>E55</f>
        <v>81008423</v>
      </c>
      <c r="F67" s="396"/>
      <c r="G67" s="396"/>
      <c r="H67" s="872"/>
      <c r="I67" s="922"/>
      <c r="J67" s="375"/>
      <c r="L67" s="392"/>
    </row>
    <row r="68" spans="1:12" ht="51.75" customHeight="1">
      <c r="A68" s="384">
        <f>A67+1</f>
        <v>37</v>
      </c>
      <c r="B68" s="373" t="s">
        <v>11</v>
      </c>
      <c r="C68" s="396">
        <f>C43</f>
        <v>9644309</v>
      </c>
      <c r="D68" s="396">
        <f>D43</f>
        <v>14177957</v>
      </c>
      <c r="E68" s="870">
        <f>E43</f>
        <v>11911133</v>
      </c>
      <c r="F68" s="396"/>
      <c r="G68" s="396"/>
      <c r="H68" s="396"/>
      <c r="I68" s="396">
        <f>E68</f>
        <v>11911133</v>
      </c>
      <c r="J68" s="390"/>
      <c r="L68" s="392"/>
    </row>
    <row r="69" spans="1:12" ht="12.75">
      <c r="A69" s="384">
        <f>A68+1</f>
        <v>38</v>
      </c>
      <c r="B69" s="373" t="str">
        <f>"Total = Line line "&amp;A66&amp;" - (Line "&amp;A68&amp;" + line "&amp;A67&amp;")"</f>
        <v>Total = Line line 35 - (Line 37 + line 36)</v>
      </c>
      <c r="C69" s="717">
        <f>C66-(C67+C68)</f>
        <v>81059277</v>
      </c>
      <c r="D69" s="717">
        <f>D66-(D67+D68)</f>
        <v>161128465</v>
      </c>
      <c r="E69" s="717">
        <f>+E66-E67-E68</f>
        <v>121093871</v>
      </c>
      <c r="F69" s="717">
        <f>+F66-F67-F68</f>
        <v>18490925</v>
      </c>
      <c r="G69" s="717">
        <f>+G66-G67-G68</f>
        <v>0</v>
      </c>
      <c r="H69" s="717">
        <f>+H66-H67-H68</f>
        <v>0</v>
      </c>
      <c r="I69" s="717">
        <f>+I66-I67-I68</f>
        <v>102602946</v>
      </c>
      <c r="J69" s="371"/>
      <c r="L69" s="392"/>
    </row>
    <row r="70" spans="1:12" s="377" customFormat="1" ht="12.75">
      <c r="A70" s="384"/>
      <c r="B70" s="376"/>
      <c r="C70" s="718"/>
      <c r="D70" s="718"/>
      <c r="E70" s="718"/>
      <c r="F70" s="719"/>
      <c r="G70" s="720"/>
      <c r="H70" s="720"/>
      <c r="I70" s="721"/>
      <c r="J70" s="378"/>
      <c r="L70" s="392"/>
    </row>
    <row r="71" spans="1:12" ht="12.75">
      <c r="A71" s="1039"/>
      <c r="B71" s="309" t="s">
        <v>327</v>
      </c>
      <c r="C71" s="722" t="s">
        <v>459</v>
      </c>
      <c r="D71" s="722" t="s">
        <v>308</v>
      </c>
      <c r="E71" s="923" t="s">
        <v>328</v>
      </c>
      <c r="F71" s="722" t="s">
        <v>326</v>
      </c>
      <c r="G71" s="722" t="s">
        <v>619</v>
      </c>
      <c r="H71" s="722" t="s">
        <v>329</v>
      </c>
      <c r="I71" s="722" t="s">
        <v>84</v>
      </c>
      <c r="J71" s="309" t="s">
        <v>329</v>
      </c>
      <c r="L71" s="392"/>
    </row>
    <row r="72" spans="1:12" ht="38.25">
      <c r="A72" s="384"/>
      <c r="C72" s="723" t="s">
        <v>753</v>
      </c>
      <c r="D72" s="723" t="s">
        <v>3</v>
      </c>
      <c r="E72" s="724" t="s">
        <v>503</v>
      </c>
      <c r="F72" s="723" t="s">
        <v>564</v>
      </c>
      <c r="G72" s="723" t="s">
        <v>565</v>
      </c>
      <c r="H72" s="723"/>
      <c r="I72" s="723"/>
      <c r="L72" s="392"/>
    </row>
    <row r="73" spans="1:12" ht="12.75">
      <c r="A73" s="384"/>
      <c r="B73" s="994"/>
      <c r="C73" s="723" t="s">
        <v>458</v>
      </c>
      <c r="D73" s="723" t="s">
        <v>458</v>
      </c>
      <c r="E73" s="723"/>
      <c r="F73" s="723" t="s">
        <v>51</v>
      </c>
      <c r="G73" s="723" t="s">
        <v>535</v>
      </c>
      <c r="H73" s="723" t="s">
        <v>561</v>
      </c>
      <c r="I73" s="723" t="s">
        <v>563</v>
      </c>
      <c r="L73" s="392"/>
    </row>
    <row r="74" spans="1:12" ht="12.75">
      <c r="A74" s="384"/>
      <c r="B74" s="209"/>
      <c r="C74" s="385"/>
      <c r="D74" s="385"/>
      <c r="E74" s="266"/>
      <c r="F74" s="723" t="s">
        <v>562</v>
      </c>
      <c r="G74" s="723" t="s">
        <v>562</v>
      </c>
      <c r="H74" s="723" t="s">
        <v>562</v>
      </c>
      <c r="I74" s="723" t="s">
        <v>562</v>
      </c>
      <c r="J74" s="310" t="s">
        <v>52</v>
      </c>
      <c r="L74" s="392"/>
    </row>
    <row r="75" spans="1:12" ht="18">
      <c r="A75" s="384"/>
      <c r="B75" s="308" t="s">
        <v>537</v>
      </c>
      <c r="C75" s="1009"/>
      <c r="D75" s="1009"/>
      <c r="E75" s="293"/>
      <c r="F75" s="444"/>
      <c r="G75" s="444"/>
      <c r="H75" s="444"/>
      <c r="I75" s="444"/>
      <c r="J75" s="384"/>
      <c r="L75" s="392"/>
    </row>
    <row r="76" spans="1:12" ht="25.5">
      <c r="A76" s="384">
        <f>A69+1</f>
        <v>39</v>
      </c>
      <c r="B76" s="375" t="s">
        <v>550</v>
      </c>
      <c r="C76" s="1127">
        <v>655838501</v>
      </c>
      <c r="D76" s="1127">
        <v>622528773</v>
      </c>
      <c r="E76" s="871">
        <f>IF('Appendix A'!$I$1=1,('1 - ADIT'!C76+'1 - ADIT'!D76)/2,'1 - ADIT'!C76)</f>
        <v>639183637</v>
      </c>
      <c r="F76" s="870"/>
      <c r="G76" s="870"/>
      <c r="H76" s="870">
        <f>E76</f>
        <v>639183637</v>
      </c>
      <c r="I76" s="870"/>
      <c r="J76" s="390" t="s">
        <v>238</v>
      </c>
      <c r="L76" s="392"/>
    </row>
    <row r="77" spans="1:12" ht="12.75">
      <c r="A77" s="384">
        <f>A76+1</f>
        <v>40</v>
      </c>
      <c r="B77" s="370" t="s">
        <v>584</v>
      </c>
      <c r="C77" s="717">
        <f>SUM(C74:C76)</f>
        <v>655838501</v>
      </c>
      <c r="D77" s="717">
        <f>SUM(D74:D76)</f>
        <v>622528773</v>
      </c>
      <c r="E77" s="717">
        <f>SUM(E75:E76)</f>
        <v>639183637</v>
      </c>
      <c r="F77" s="717">
        <f>SUM(F75:F76)</f>
        <v>0</v>
      </c>
      <c r="G77" s="717">
        <f>SUM(G75:G76)</f>
        <v>0</v>
      </c>
      <c r="H77" s="717">
        <f>SUM(H75:H76)</f>
        <v>639183637</v>
      </c>
      <c r="I77" s="717">
        <f>SUM(I75:I76)</f>
        <v>0</v>
      </c>
      <c r="J77" s="393"/>
      <c r="L77" s="392"/>
    </row>
    <row r="78" spans="1:12" ht="12.75">
      <c r="A78" s="384">
        <f>A77+1</f>
        <v>41</v>
      </c>
      <c r="B78" s="373" t="s">
        <v>10</v>
      </c>
      <c r="C78" s="396">
        <f>SUM(F78:H78)</f>
        <v>0</v>
      </c>
      <c r="D78" s="396">
        <f>SUM(G78:I78)</f>
        <v>0</v>
      </c>
      <c r="E78" s="871">
        <f>+C78</f>
        <v>0</v>
      </c>
      <c r="F78" s="396"/>
      <c r="G78" s="396"/>
      <c r="H78" s="396">
        <v>0</v>
      </c>
      <c r="I78" s="396"/>
      <c r="J78" s="375"/>
      <c r="L78" s="392"/>
    </row>
    <row r="79" spans="1:12" ht="12.75">
      <c r="A79" s="384">
        <f>A78+1</f>
        <v>42</v>
      </c>
      <c r="B79" s="373" t="s">
        <v>11</v>
      </c>
      <c r="C79" s="396"/>
      <c r="D79" s="396"/>
      <c r="E79" s="871">
        <f>+C79</f>
        <v>0</v>
      </c>
      <c r="F79" s="396"/>
      <c r="G79" s="396"/>
      <c r="H79" s="396"/>
      <c r="I79" s="396"/>
      <c r="J79" s="375"/>
      <c r="L79" s="392"/>
    </row>
    <row r="80" spans="1:12" ht="12.75">
      <c r="A80" s="384">
        <f>A79+1</f>
        <v>43</v>
      </c>
      <c r="B80" s="373" t="str">
        <f>"Total = Line line "&amp;A77&amp;" - (Line "&amp;A79&amp;" + line "&amp;A78&amp;")"</f>
        <v>Total = Line line 40 - (Line 42 + line 41)</v>
      </c>
      <c r="C80" s="717">
        <f aca="true" t="shared" si="7" ref="C80:H80">C77-C78</f>
        <v>655838501</v>
      </c>
      <c r="D80" s="717">
        <f t="shared" si="7"/>
        <v>622528773</v>
      </c>
      <c r="E80" s="717">
        <f t="shared" si="7"/>
        <v>639183637</v>
      </c>
      <c r="F80" s="717">
        <f t="shared" si="7"/>
        <v>0</v>
      </c>
      <c r="G80" s="717">
        <f t="shared" si="7"/>
        <v>0</v>
      </c>
      <c r="H80" s="717">
        <f t="shared" si="7"/>
        <v>639183637</v>
      </c>
      <c r="I80" s="717">
        <f>+I77-I78-I79</f>
        <v>0</v>
      </c>
      <c r="J80" s="393"/>
      <c r="L80" s="392"/>
    </row>
    <row r="81" spans="1:12" ht="15">
      <c r="A81" s="384"/>
      <c r="B81" s="391"/>
      <c r="C81" s="416"/>
      <c r="D81" s="416"/>
      <c r="E81" s="726"/>
      <c r="F81" s="405"/>
      <c r="G81" s="444"/>
      <c r="H81" s="444"/>
      <c r="I81" s="444"/>
      <c r="J81" s="813"/>
      <c r="L81" s="392"/>
    </row>
    <row r="82" spans="1:12" ht="12.75">
      <c r="A82" s="1039"/>
      <c r="B82" s="309" t="s">
        <v>327</v>
      </c>
      <c r="C82" s="722" t="s">
        <v>459</v>
      </c>
      <c r="D82" s="722" t="s">
        <v>308</v>
      </c>
      <c r="E82" s="722" t="s">
        <v>328</v>
      </c>
      <c r="F82" s="722" t="s">
        <v>326</v>
      </c>
      <c r="G82" s="722" t="s">
        <v>619</v>
      </c>
      <c r="H82" s="722" t="s">
        <v>329</v>
      </c>
      <c r="I82" s="722" t="s">
        <v>84</v>
      </c>
      <c r="J82" s="309" t="s">
        <v>329</v>
      </c>
      <c r="L82" s="392"/>
    </row>
    <row r="83" spans="1:12" ht="38.25">
      <c r="A83" s="384"/>
      <c r="B83" s="812" t="s">
        <v>861</v>
      </c>
      <c r="C83" s="723" t="s">
        <v>753</v>
      </c>
      <c r="D83" s="723" t="s">
        <v>3</v>
      </c>
      <c r="E83" s="724" t="s">
        <v>503</v>
      </c>
      <c r="F83" s="723" t="s">
        <v>564</v>
      </c>
      <c r="G83" s="723" t="s">
        <v>565</v>
      </c>
      <c r="H83" s="723"/>
      <c r="I83" s="723"/>
      <c r="L83" s="392"/>
    </row>
    <row r="84" spans="1:12" ht="12.75">
      <c r="A84" s="384"/>
      <c r="C84" s="723" t="s">
        <v>458</v>
      </c>
      <c r="D84" s="723" t="s">
        <v>458</v>
      </c>
      <c r="E84" s="723"/>
      <c r="F84" s="723" t="s">
        <v>51</v>
      </c>
      <c r="G84" s="723" t="s">
        <v>535</v>
      </c>
      <c r="H84" s="723" t="s">
        <v>561</v>
      </c>
      <c r="I84" s="723" t="s">
        <v>563</v>
      </c>
      <c r="L84" s="392"/>
    </row>
    <row r="85" spans="1:12" ht="12.75">
      <c r="A85" s="384"/>
      <c r="B85" s="209"/>
      <c r="C85" s="385"/>
      <c r="D85" s="385"/>
      <c r="E85" s="725"/>
      <c r="F85" s="723" t="s">
        <v>562</v>
      </c>
      <c r="G85" s="723" t="s">
        <v>562</v>
      </c>
      <c r="H85" s="723" t="s">
        <v>562</v>
      </c>
      <c r="I85" s="723" t="s">
        <v>562</v>
      </c>
      <c r="J85" s="310" t="s">
        <v>52</v>
      </c>
      <c r="L85" s="392"/>
    </row>
    <row r="86" spans="1:12" ht="18">
      <c r="A86" s="384"/>
      <c r="B86" s="308" t="s">
        <v>538</v>
      </c>
      <c r="C86" s="1009"/>
      <c r="D86" s="1009"/>
      <c r="E86" s="266"/>
      <c r="F86" s="444"/>
      <c r="G86" s="444"/>
      <c r="H86" s="444"/>
      <c r="I86" s="444"/>
      <c r="L86" s="392"/>
    </row>
    <row r="87" spans="1:12" ht="26.25" customHeight="1">
      <c r="A87" s="384">
        <f>A80+1</f>
        <v>44</v>
      </c>
      <c r="B87" s="388" t="s">
        <v>485</v>
      </c>
      <c r="C87" s="1126">
        <v>0</v>
      </c>
      <c r="D87" s="1128">
        <v>146838283</v>
      </c>
      <c r="E87" s="870">
        <f>IF('Appendix A'!$I$1=1,('1 - ADIT'!C87+'1 - ADIT'!D87)/2,'1 - ADIT'!C87)</f>
        <v>73419141.5</v>
      </c>
      <c r="F87" s="870"/>
      <c r="G87" s="870"/>
      <c r="H87" s="870">
        <f>E87</f>
        <v>73419141.5</v>
      </c>
      <c r="I87" s="870"/>
      <c r="J87" s="307" t="s">
        <v>708</v>
      </c>
      <c r="L87" s="392"/>
    </row>
    <row r="88" spans="1:12" ht="25.5">
      <c r="A88" s="384">
        <f aca="true" t="shared" si="8" ref="A88:A93">A87+1</f>
        <v>45</v>
      </c>
      <c r="B88" s="959" t="s">
        <v>834</v>
      </c>
      <c r="C88" s="1128">
        <v>6352407</v>
      </c>
      <c r="D88" s="1128">
        <v>9930715</v>
      </c>
      <c r="E88" s="870">
        <f>IF('Appendix A'!$I$1=1,('1 - ADIT'!C88+'1 - ADIT'!D88)/2,'1 - ADIT'!C88)</f>
        <v>8141561</v>
      </c>
      <c r="F88" s="870"/>
      <c r="G88" s="870"/>
      <c r="H88" s="870">
        <f>E88</f>
        <v>8141561</v>
      </c>
      <c r="I88" s="870"/>
      <c r="J88" s="333" t="s">
        <v>709</v>
      </c>
      <c r="L88" s="392"/>
    </row>
    <row r="89" spans="1:12" ht="25.5">
      <c r="A89" s="384">
        <f t="shared" si="8"/>
        <v>46</v>
      </c>
      <c r="B89" s="959" t="s">
        <v>836</v>
      </c>
      <c r="C89" s="1126">
        <v>0</v>
      </c>
      <c r="D89" s="1128">
        <v>104235523</v>
      </c>
      <c r="E89" s="870">
        <f>IF('Appendix A'!$I$1=1,('1 - ADIT'!C89+'1 - ADIT'!D89)/2,'1 - ADIT'!C89)</f>
        <v>52117761.5</v>
      </c>
      <c r="F89" s="870"/>
      <c r="G89" s="870"/>
      <c r="H89" s="870">
        <f>E89</f>
        <v>52117761.5</v>
      </c>
      <c r="I89" s="870"/>
      <c r="J89" s="307" t="s">
        <v>835</v>
      </c>
      <c r="L89" s="392"/>
    </row>
    <row r="90" spans="1:12" ht="12.75" customHeight="1">
      <c r="A90" s="384">
        <f t="shared" si="8"/>
        <v>47</v>
      </c>
      <c r="B90" s="959" t="s">
        <v>837</v>
      </c>
      <c r="C90" s="1128">
        <v>752885</v>
      </c>
      <c r="D90" s="1128">
        <v>946955</v>
      </c>
      <c r="E90" s="870">
        <f>IF('Appendix A'!$I$1=1,('1 - ADIT'!C90+'1 - ADIT'!D90)/2,'1 - ADIT'!C90)</f>
        <v>849920</v>
      </c>
      <c r="F90" s="870">
        <f>E90</f>
        <v>849920</v>
      </c>
      <c r="G90" s="870"/>
      <c r="H90" s="870"/>
      <c r="I90" s="870"/>
      <c r="J90" s="333" t="s">
        <v>710</v>
      </c>
      <c r="L90" s="392"/>
    </row>
    <row r="91" spans="1:12" ht="12.75" customHeight="1">
      <c r="A91" s="384">
        <f t="shared" si="8"/>
        <v>48</v>
      </c>
      <c r="B91" s="374" t="s">
        <v>551</v>
      </c>
      <c r="C91" s="1128">
        <v>4110574</v>
      </c>
      <c r="D91" s="1128">
        <v>5488144</v>
      </c>
      <c r="E91" s="870">
        <f>IF('Appendix A'!$I$1=1,('1 - ADIT'!C91+'1 - ADIT'!D91)/2,'1 - ADIT'!C91)</f>
        <v>4799359</v>
      </c>
      <c r="F91" s="870">
        <f>E91</f>
        <v>4799359</v>
      </c>
      <c r="G91" s="870"/>
      <c r="H91" s="870"/>
      <c r="I91" s="870"/>
      <c r="J91" s="307" t="s">
        <v>711</v>
      </c>
      <c r="L91" s="392"/>
    </row>
    <row r="92" spans="1:12" ht="12.75" customHeight="1">
      <c r="A92" s="384">
        <f t="shared" si="8"/>
        <v>49</v>
      </c>
      <c r="B92" s="959" t="s">
        <v>838</v>
      </c>
      <c r="C92" s="1128">
        <v>94050190</v>
      </c>
      <c r="D92" s="1128">
        <v>147112144</v>
      </c>
      <c r="E92" s="870">
        <f>IF('Appendix A'!$I$1=1,('1 - ADIT'!C92+'1 - ADIT'!D92)/2,'1 - ADIT'!C92)</f>
        <v>120581167</v>
      </c>
      <c r="F92" s="870"/>
      <c r="G92" s="870"/>
      <c r="H92" s="870"/>
      <c r="I92" s="870">
        <f>E92</f>
        <v>120581167</v>
      </c>
      <c r="J92" s="333" t="s">
        <v>712</v>
      </c>
      <c r="L92" s="392"/>
    </row>
    <row r="93" spans="1:12" ht="12.75" customHeight="1">
      <c r="A93" s="384">
        <f t="shared" si="8"/>
        <v>50</v>
      </c>
      <c r="B93" s="959" t="s">
        <v>843</v>
      </c>
      <c r="C93" s="1128">
        <v>1209448</v>
      </c>
      <c r="D93" s="1128">
        <v>3349776</v>
      </c>
      <c r="E93" s="870">
        <f>IF('Appendix A'!$I$1=1,('1 - ADIT'!C93+'1 - ADIT'!D93)/2,'1 - ADIT'!C93)</f>
        <v>2279612</v>
      </c>
      <c r="F93" s="870"/>
      <c r="G93" s="870"/>
      <c r="H93" s="870"/>
      <c r="I93" s="870">
        <f>E93</f>
        <v>2279612</v>
      </c>
      <c r="J93" s="333" t="s">
        <v>845</v>
      </c>
      <c r="L93" s="392"/>
    </row>
    <row r="94" spans="1:12" ht="12.75" customHeight="1">
      <c r="A94" s="384">
        <f aca="true" t="shared" si="9" ref="A94:A101">A93+1</f>
        <v>51</v>
      </c>
      <c r="B94" s="959" t="s">
        <v>613</v>
      </c>
      <c r="C94" s="1128">
        <v>0</v>
      </c>
      <c r="D94" s="1128">
        <v>0</v>
      </c>
      <c r="E94" s="870">
        <f>IF('Appendix A'!$I$1=1,('1 - ADIT'!C94+'1 - ADIT'!D94)/2,'1 - ADIT'!C94)</f>
        <v>0</v>
      </c>
      <c r="F94" s="870">
        <f>E94</f>
        <v>0</v>
      </c>
      <c r="G94" s="870"/>
      <c r="H94" s="870"/>
      <c r="I94" s="870"/>
      <c r="J94" s="334" t="s">
        <v>707</v>
      </c>
      <c r="L94" s="392"/>
    </row>
    <row r="95" spans="1:12" ht="12.75" customHeight="1">
      <c r="A95" s="384">
        <f t="shared" si="9"/>
        <v>52</v>
      </c>
      <c r="B95" s="709"/>
      <c r="C95" s="1128">
        <v>0</v>
      </c>
      <c r="D95" s="1128"/>
      <c r="E95" s="870">
        <f>IF('Appendix A'!$I$1=1,('1 - ADIT'!C95+'1 - ADIT'!D95)/2,'1 - ADIT'!C95)</f>
        <v>0</v>
      </c>
      <c r="F95" s="870"/>
      <c r="G95" s="870"/>
      <c r="H95" s="870"/>
      <c r="I95" s="870">
        <f>E95</f>
        <v>0</v>
      </c>
      <c r="J95" s="334"/>
      <c r="L95" s="392"/>
    </row>
    <row r="96" spans="1:12" ht="12.75">
      <c r="A96" s="384">
        <f t="shared" si="9"/>
        <v>53</v>
      </c>
      <c r="B96" s="709"/>
      <c r="C96" s="396">
        <v>0</v>
      </c>
      <c r="D96" s="396">
        <v>0</v>
      </c>
      <c r="E96" s="870">
        <f>IF('Appendix A'!$I$1=1,('1 - ADIT'!C96+'1 - ADIT'!D96)/2,'1 - ADIT'!C96)</f>
        <v>0</v>
      </c>
      <c r="F96" s="870"/>
      <c r="G96" s="870"/>
      <c r="H96" s="870"/>
      <c r="I96" s="870"/>
      <c r="J96" s="334"/>
      <c r="L96" s="392"/>
    </row>
    <row r="97" spans="1:12" ht="12.75">
      <c r="A97" s="384">
        <f t="shared" si="9"/>
        <v>54</v>
      </c>
      <c r="B97" s="709"/>
      <c r="C97" s="396">
        <v>0</v>
      </c>
      <c r="D97" s="396">
        <v>0</v>
      </c>
      <c r="E97" s="870">
        <f>IF('Appendix A'!$I$1=1,('1 - ADIT'!C97+'1 - ADIT'!D97)/2,'1 - ADIT'!C97)</f>
        <v>0</v>
      </c>
      <c r="F97" s="870"/>
      <c r="G97" s="870"/>
      <c r="H97" s="870"/>
      <c r="I97" s="870"/>
      <c r="J97" s="334"/>
      <c r="L97" s="392"/>
    </row>
    <row r="98" spans="1:12" ht="12.75">
      <c r="A98" s="384">
        <f t="shared" si="9"/>
        <v>55</v>
      </c>
      <c r="B98" s="370" t="s">
        <v>13</v>
      </c>
      <c r="C98" s="396">
        <f>SUM(C87:C97)</f>
        <v>106475504</v>
      </c>
      <c r="D98" s="396">
        <f>SUM(D87:D97)</f>
        <v>417901540</v>
      </c>
      <c r="E98" s="394">
        <f>SUM(E87:E95)</f>
        <v>262188522</v>
      </c>
      <c r="F98" s="394">
        <f>SUM(F87:F95)</f>
        <v>5649279</v>
      </c>
      <c r="G98" s="394">
        <f>SUM(G87:G95)</f>
        <v>0</v>
      </c>
      <c r="H98" s="394">
        <f>SUM(H87:H95)</f>
        <v>133678464</v>
      </c>
      <c r="I98" s="394">
        <f>SUM(I87:I95)</f>
        <v>122860779</v>
      </c>
      <c r="J98" s="335"/>
      <c r="L98" s="392"/>
    </row>
    <row r="99" spans="1:12" ht="12.75">
      <c r="A99" s="384">
        <f t="shared" si="9"/>
        <v>56</v>
      </c>
      <c r="B99" s="373" t="s">
        <v>10</v>
      </c>
      <c r="C99" s="396">
        <f>C87+C89</f>
        <v>0</v>
      </c>
      <c r="D99" s="396">
        <f>D87+D89</f>
        <v>251073806</v>
      </c>
      <c r="E99" s="870">
        <f>IF('Appendix A'!$I$1=1,('1 - ADIT'!C99+'1 - ADIT'!D99)/2,'1 - ADIT'!C99)</f>
        <v>125536903</v>
      </c>
      <c r="F99" s="396">
        <f>F87+F89</f>
        <v>0</v>
      </c>
      <c r="G99" s="396">
        <f>G87+G89</f>
        <v>0</v>
      </c>
      <c r="H99" s="396">
        <f>H87+H89</f>
        <v>125536903</v>
      </c>
      <c r="I99" s="396">
        <f>I87+I89</f>
        <v>0</v>
      </c>
      <c r="J99" s="334"/>
      <c r="L99" s="392"/>
    </row>
    <row r="100" spans="1:12" ht="12.75">
      <c r="A100" s="384">
        <f t="shared" si="9"/>
        <v>57</v>
      </c>
      <c r="B100" s="373" t="s">
        <v>11</v>
      </c>
      <c r="C100" s="396">
        <f>SUM(F100:I100)</f>
        <v>0</v>
      </c>
      <c r="D100" s="396">
        <v>0</v>
      </c>
      <c r="E100" s="396">
        <f>+C100</f>
        <v>0</v>
      </c>
      <c r="F100" s="872"/>
      <c r="G100" s="872"/>
      <c r="H100" s="872"/>
      <c r="I100" s="872">
        <v>0</v>
      </c>
      <c r="J100" s="334"/>
      <c r="L100" s="392"/>
    </row>
    <row r="101" spans="1:12" ht="12.75">
      <c r="A101" s="384">
        <f t="shared" si="9"/>
        <v>58</v>
      </c>
      <c r="B101" s="373" t="str">
        <f>"Total = Line line "&amp;A98&amp;" - (Line "&amp;A100&amp;" + line "&amp;A99&amp;")"</f>
        <v>Total = Line line 55 - (Line 57 + line 56)</v>
      </c>
      <c r="C101" s="394">
        <f>C98-(C99+C100)</f>
        <v>106475504</v>
      </c>
      <c r="D101" s="394">
        <f>D98-(D99+D100)</f>
        <v>166827734</v>
      </c>
      <c r="E101" s="394">
        <f>E98-E99-E100</f>
        <v>136651619</v>
      </c>
      <c r="F101" s="394">
        <f>+F98-F99-F100</f>
        <v>5649279</v>
      </c>
      <c r="G101" s="394">
        <f>+G98-G99-G100</f>
        <v>0</v>
      </c>
      <c r="H101" s="394">
        <f>+H98-H99-H100</f>
        <v>8141561</v>
      </c>
      <c r="I101" s="394">
        <f>+I98-I99-I100</f>
        <v>122860779</v>
      </c>
      <c r="J101" s="335"/>
      <c r="L101" s="392"/>
    </row>
    <row r="102" spans="1:12" s="384" customFormat="1" ht="12.75">
      <c r="A102" s="991"/>
      <c r="B102" s="391"/>
      <c r="C102" s="391"/>
      <c r="D102" s="391"/>
      <c r="E102" s="391"/>
      <c r="G102" s="392"/>
      <c r="H102" s="392"/>
      <c r="I102" s="392"/>
      <c r="J102" s="1047"/>
      <c r="L102" s="392"/>
    </row>
    <row r="103" spans="1:12" ht="15">
      <c r="A103" s="384"/>
      <c r="B103" s="311" t="s">
        <v>30</v>
      </c>
      <c r="C103" s="995"/>
      <c r="D103" s="995"/>
      <c r="E103" s="926"/>
      <c r="I103" s="312"/>
      <c r="J103" s="813"/>
      <c r="K103" s="312"/>
      <c r="L103" s="392"/>
    </row>
    <row r="104" spans="1:12" ht="15">
      <c r="A104" s="384"/>
      <c r="B104" s="311"/>
      <c r="E104" s="995"/>
      <c r="F104" s="995"/>
      <c r="I104" s="313"/>
      <c r="J104" s="312"/>
      <c r="K104" s="312"/>
      <c r="L104" s="392"/>
    </row>
    <row r="105" spans="1:12" ht="15">
      <c r="A105" s="384"/>
      <c r="B105" s="395"/>
      <c r="C105" s="393" t="s">
        <v>31</v>
      </c>
      <c r="D105" s="393" t="s">
        <v>32</v>
      </c>
      <c r="E105"/>
      <c r="F105" s="1010"/>
      <c r="G105" s="813"/>
      <c r="H105" s="813"/>
      <c r="I105" s="384"/>
      <c r="L105" s="392"/>
    </row>
    <row r="106" spans="1:12" ht="15">
      <c r="A106" s="384"/>
      <c r="B106" s="395"/>
      <c r="C106" s="393"/>
      <c r="D106" s="393"/>
      <c r="E106"/>
      <c r="F106" s="1010"/>
      <c r="G106" s="813"/>
      <c r="H106" s="813"/>
      <c r="I106" s="384"/>
      <c r="L106" s="392"/>
    </row>
    <row r="107" spans="1:12" ht="12.75">
      <c r="A107" s="384"/>
      <c r="B107" s="393"/>
      <c r="C107" s="393"/>
      <c r="D107" s="397"/>
      <c r="E107" s="2"/>
      <c r="F107" s="1019"/>
      <c r="G107" s="2"/>
      <c r="H107" s="384"/>
      <c r="I107" s="384"/>
      <c r="L107" s="392"/>
    </row>
    <row r="108" spans="1:12" ht="12.75">
      <c r="A108" s="384"/>
      <c r="B108" s="393" t="s">
        <v>32</v>
      </c>
      <c r="C108" s="393"/>
      <c r="D108" s="397"/>
      <c r="E108" s="2"/>
      <c r="F108" s="1019"/>
      <c r="G108" s="2"/>
      <c r="H108" s="384"/>
      <c r="I108" s="384"/>
      <c r="L108" s="392"/>
    </row>
    <row r="109" spans="1:12" ht="12.75">
      <c r="A109" s="384"/>
      <c r="B109" s="393" t="str">
        <f>"Amortization to line "&amp;'Appendix A'!A211&amp;" of Appendix A"</f>
        <v>Amortization to line 129 of Appendix A</v>
      </c>
      <c r="C109" s="393" t="s">
        <v>458</v>
      </c>
      <c r="D109" s="396">
        <v>0</v>
      </c>
      <c r="E109" s="2"/>
      <c r="F109" s="202"/>
      <c r="G109" s="2"/>
      <c r="H109" s="384"/>
      <c r="I109" s="384"/>
      <c r="L109" s="392"/>
    </row>
    <row r="110" spans="1:12" ht="12.75">
      <c r="A110" s="384"/>
      <c r="B110" s="393"/>
      <c r="C110" s="393"/>
      <c r="D110" s="397"/>
      <c r="E110" s="2"/>
      <c r="F110" s="915"/>
      <c r="G110" s="2"/>
      <c r="H110" s="384"/>
      <c r="I110" s="384"/>
      <c r="L110" s="392"/>
    </row>
    <row r="111" spans="1:12" ht="12.75">
      <c r="A111" s="384"/>
      <c r="B111" s="393" t="s">
        <v>458</v>
      </c>
      <c r="C111" s="393"/>
      <c r="D111" s="397">
        <f>+D109</f>
        <v>0</v>
      </c>
      <c r="E111"/>
      <c r="F111"/>
      <c r="G111"/>
      <c r="L111" s="392"/>
    </row>
    <row r="112" spans="1:12" ht="12.75">
      <c r="A112" s="384"/>
      <c r="B112" s="393"/>
      <c r="C112" s="393"/>
      <c r="D112" s="397"/>
      <c r="E112" s="2"/>
      <c r="F112"/>
      <c r="G112"/>
      <c r="L112" s="392"/>
    </row>
    <row r="113" spans="1:12" ht="12.75">
      <c r="A113" s="384"/>
      <c r="B113" s="335" t="s">
        <v>266</v>
      </c>
      <c r="C113" s="393"/>
      <c r="D113" s="396">
        <f>+D111</f>
        <v>0</v>
      </c>
      <c r="E113" s="2"/>
      <c r="F113"/>
      <c r="G113"/>
      <c r="L113" s="392"/>
    </row>
    <row r="114" spans="1:12" ht="12.75">
      <c r="A114" s="384"/>
      <c r="B114" s="393"/>
      <c r="C114" s="393"/>
      <c r="D114" s="397"/>
      <c r="E114" s="2"/>
      <c r="F114"/>
      <c r="G114"/>
      <c r="L114" s="392"/>
    </row>
    <row r="115" spans="1:12" ht="12.75">
      <c r="A115" s="384"/>
      <c r="B115" s="393" t="s">
        <v>33</v>
      </c>
      <c r="C115" s="393"/>
      <c r="D115" s="397">
        <f>+D111-D113</f>
        <v>0</v>
      </c>
      <c r="E115"/>
      <c r="F115"/>
      <c r="G115"/>
      <c r="L115" s="392"/>
    </row>
    <row r="116" spans="1:12" ht="12.75">
      <c r="A116" s="384"/>
      <c r="L116" s="392"/>
    </row>
    <row r="117" spans="1:12" ht="12.75">
      <c r="A117" s="384"/>
      <c r="B117" s="381" t="s">
        <v>386</v>
      </c>
      <c r="L117" s="392"/>
    </row>
    <row r="118" spans="1:12" ht="12.75">
      <c r="A118" s="384"/>
      <c r="L118" s="392"/>
    </row>
    <row r="119" spans="1:12" ht="12.75">
      <c r="A119" s="384"/>
      <c r="L119" s="392"/>
    </row>
    <row r="120" spans="1:12" ht="12.75">
      <c r="A120" s="384"/>
      <c r="L120" s="392"/>
    </row>
    <row r="121" spans="1:12" ht="12.75">
      <c r="A121" s="384"/>
      <c r="L121" s="392"/>
    </row>
    <row r="122" spans="1:12" ht="12.75">
      <c r="A122" s="384"/>
      <c r="L122" s="392"/>
    </row>
    <row r="123" spans="1:12" ht="12.75">
      <c r="A123" s="384"/>
      <c r="L123" s="392"/>
    </row>
    <row r="124" spans="1:12" ht="12.75">
      <c r="A124" s="384"/>
      <c r="L124" s="392"/>
    </row>
    <row r="125" spans="1:12" ht="12.75">
      <c r="A125" s="384"/>
      <c r="L125" s="392"/>
    </row>
    <row r="126" spans="1:12" ht="12.75">
      <c r="A126" s="384"/>
      <c r="L126" s="392"/>
    </row>
    <row r="127" spans="1:12" ht="12.75">
      <c r="A127" s="384"/>
      <c r="L127" s="392"/>
    </row>
    <row r="128" spans="1:12" ht="12.75">
      <c r="A128" s="384"/>
      <c r="L128" s="392"/>
    </row>
    <row r="129" spans="1:12" ht="12.75">
      <c r="A129" s="384"/>
      <c r="L129" s="392"/>
    </row>
    <row r="130" spans="1:12" ht="12.75">
      <c r="A130" s="384"/>
      <c r="L130" s="392"/>
    </row>
    <row r="131" spans="1:12" ht="12.75">
      <c r="A131" s="384"/>
      <c r="L131" s="392"/>
    </row>
    <row r="132" spans="1:12" ht="12.75">
      <c r="A132" s="384"/>
      <c r="L132" s="392"/>
    </row>
    <row r="133" spans="1:12" ht="12.75">
      <c r="A133" s="384"/>
      <c r="L133" s="392"/>
    </row>
    <row r="134" spans="1:12" ht="12.75">
      <c r="A134" s="384"/>
      <c r="L134" s="392"/>
    </row>
    <row r="135" spans="1:12" ht="12.75">
      <c r="A135" s="384"/>
      <c r="L135" s="392"/>
    </row>
    <row r="136" spans="1:12" ht="12.75">
      <c r="A136" s="384"/>
      <c r="L136" s="392"/>
    </row>
    <row r="137" spans="1:12" ht="12.75">
      <c r="A137" s="384"/>
      <c r="L137" s="392"/>
    </row>
    <row r="138" spans="1:12" ht="12.75">
      <c r="A138" s="384"/>
      <c r="L138" s="392"/>
    </row>
    <row r="139" spans="1:12" ht="12.75">
      <c r="A139" s="384"/>
      <c r="L139" s="392"/>
    </row>
    <row r="140" spans="1:12" ht="12.75">
      <c r="A140" s="384"/>
      <c r="L140" s="392"/>
    </row>
    <row r="141" spans="1:12" ht="12.75">
      <c r="A141" s="384"/>
      <c r="L141" s="392"/>
    </row>
    <row r="142" spans="1:12" ht="12.75">
      <c r="A142" s="384"/>
      <c r="L142" s="392"/>
    </row>
    <row r="143" spans="1:12" ht="12.75">
      <c r="A143" s="384"/>
      <c r="L143" s="392"/>
    </row>
    <row r="144" spans="1:12" ht="12.75">
      <c r="A144" s="384"/>
      <c r="L144" s="392"/>
    </row>
    <row r="145" spans="1:12" ht="12.75">
      <c r="A145" s="384"/>
      <c r="L145" s="392"/>
    </row>
    <row r="146" spans="1:12" ht="12.75">
      <c r="A146" s="384"/>
      <c r="L146" s="392"/>
    </row>
    <row r="147" spans="1:12" ht="12.75">
      <c r="A147" s="384"/>
      <c r="L147" s="392"/>
    </row>
    <row r="148" ht="12.75">
      <c r="A148" s="384"/>
    </row>
    <row r="149" ht="12.75">
      <c r="A149" s="384"/>
    </row>
    <row r="150" ht="12.75">
      <c r="A150" s="384"/>
    </row>
    <row r="151" ht="12.75">
      <c r="A151" s="384"/>
    </row>
    <row r="152" ht="12.75">
      <c r="A152" s="384"/>
    </row>
    <row r="153" ht="12.75">
      <c r="A153" s="384"/>
    </row>
    <row r="154" ht="12.75">
      <c r="A154" s="384"/>
    </row>
    <row r="155" ht="12.75">
      <c r="A155" s="384"/>
    </row>
    <row r="156" ht="12.75">
      <c r="A156" s="384"/>
    </row>
    <row r="157" ht="12.75">
      <c r="A157" s="384"/>
    </row>
    <row r="158" ht="12.75">
      <c r="A158" s="384"/>
    </row>
    <row r="159" ht="12.75">
      <c r="A159" s="384"/>
    </row>
    <row r="160" ht="12.75">
      <c r="A160" s="384"/>
    </row>
    <row r="161" ht="12.75">
      <c r="A161" s="384"/>
    </row>
    <row r="162" ht="12.75">
      <c r="A162" s="384"/>
    </row>
    <row r="163" ht="12.75">
      <c r="A163" s="384"/>
    </row>
    <row r="164" ht="12.75">
      <c r="A164" s="384"/>
    </row>
    <row r="165" ht="12.75">
      <c r="A165" s="384"/>
    </row>
    <row r="166" ht="12.75">
      <c r="A166" s="384"/>
    </row>
    <row r="167" ht="12.75">
      <c r="A167" s="384"/>
    </row>
    <row r="168" ht="12.75">
      <c r="A168" s="384"/>
    </row>
    <row r="169" ht="12.75">
      <c r="A169" s="384"/>
    </row>
    <row r="170" ht="12.75">
      <c r="A170" s="384"/>
    </row>
    <row r="171" ht="12.75">
      <c r="A171" s="384"/>
    </row>
    <row r="172" ht="12.75">
      <c r="A172" s="384"/>
    </row>
    <row r="173" ht="12.75">
      <c r="A173" s="384"/>
    </row>
    <row r="174" ht="12.75">
      <c r="A174" s="384"/>
    </row>
    <row r="175" ht="12.75">
      <c r="A175" s="384"/>
    </row>
    <row r="176" ht="12.75">
      <c r="A176" s="384"/>
    </row>
    <row r="177" ht="12.75">
      <c r="A177" s="384"/>
    </row>
    <row r="178" ht="12.75">
      <c r="A178" s="384"/>
    </row>
    <row r="179" ht="12.75">
      <c r="A179" s="384"/>
    </row>
    <row r="180" ht="12.75">
      <c r="A180" s="384"/>
    </row>
    <row r="181" ht="12.75">
      <c r="A181" s="384"/>
    </row>
    <row r="182" ht="12.75">
      <c r="A182" s="384"/>
    </row>
    <row r="183" ht="12.75">
      <c r="A183" s="384"/>
    </row>
    <row r="184" ht="12.75">
      <c r="A184" s="384"/>
    </row>
    <row r="185" ht="12.75">
      <c r="A185" s="384"/>
    </row>
    <row r="186" ht="12.75">
      <c r="A186" s="384"/>
    </row>
    <row r="187" ht="12.75">
      <c r="A187" s="384"/>
    </row>
    <row r="188" ht="12.75">
      <c r="A188" s="384"/>
    </row>
    <row r="189" ht="12.75">
      <c r="A189" s="384"/>
    </row>
    <row r="190" ht="12.75">
      <c r="A190" s="384"/>
    </row>
    <row r="191" ht="12.75">
      <c r="A191" s="384"/>
    </row>
    <row r="192" ht="12.75">
      <c r="A192" s="384"/>
    </row>
    <row r="193" ht="12.75">
      <c r="A193" s="384"/>
    </row>
    <row r="194" ht="12.75">
      <c r="A194" s="384"/>
    </row>
    <row r="195" ht="12.75">
      <c r="A195" s="384"/>
    </row>
    <row r="196" ht="12.75">
      <c r="A196" s="384"/>
    </row>
    <row r="197" ht="12.75">
      <c r="A197" s="384"/>
    </row>
    <row r="198" ht="12.75">
      <c r="A198" s="384"/>
    </row>
    <row r="199" ht="12.75">
      <c r="A199" s="384"/>
    </row>
    <row r="200" ht="12.75">
      <c r="A200" s="384"/>
    </row>
    <row r="201" ht="12.75">
      <c r="A201" s="384"/>
    </row>
    <row r="202" ht="12.75">
      <c r="A202" s="384"/>
    </row>
    <row r="203" ht="12.75">
      <c r="A203" s="384"/>
    </row>
    <row r="204" ht="12.75">
      <c r="A204" s="384"/>
    </row>
    <row r="205" ht="12.75">
      <c r="A205" s="384"/>
    </row>
    <row r="206" ht="12.75">
      <c r="A206" s="384"/>
    </row>
    <row r="207" ht="12.75">
      <c r="A207" s="384"/>
    </row>
    <row r="208" ht="12.75">
      <c r="A208" s="384"/>
    </row>
    <row r="209" ht="12.75">
      <c r="A209" s="384"/>
    </row>
    <row r="210" ht="12.75">
      <c r="A210" s="384"/>
    </row>
    <row r="211" ht="12.75">
      <c r="A211" s="384"/>
    </row>
    <row r="212" ht="12.75">
      <c r="A212" s="384"/>
    </row>
    <row r="213" ht="12.75">
      <c r="A213" s="384"/>
    </row>
    <row r="214" ht="12.75">
      <c r="A214" s="384"/>
    </row>
    <row r="215" ht="12.75">
      <c r="A215" s="384"/>
    </row>
    <row r="216" ht="12.75">
      <c r="A216" s="384"/>
    </row>
    <row r="217" ht="12.75">
      <c r="A217" s="384"/>
    </row>
    <row r="218" ht="12.75">
      <c r="A218" s="384"/>
    </row>
    <row r="219" ht="12.75">
      <c r="A219" s="384"/>
    </row>
    <row r="220" ht="12.75">
      <c r="A220" s="384"/>
    </row>
    <row r="221" ht="12.75">
      <c r="A221" s="384"/>
    </row>
    <row r="222" ht="12.75">
      <c r="A222" s="384"/>
    </row>
    <row r="223" ht="12.75">
      <c r="A223" s="384"/>
    </row>
    <row r="224" ht="12.75">
      <c r="A224" s="384"/>
    </row>
    <row r="225" ht="12.75">
      <c r="A225" s="384"/>
    </row>
    <row r="226" ht="12.75">
      <c r="A226" s="384"/>
    </row>
    <row r="227" ht="12.75">
      <c r="A227" s="384"/>
    </row>
    <row r="228" ht="12.75">
      <c r="A228" s="384"/>
    </row>
    <row r="229" ht="12.75">
      <c r="A229" s="384"/>
    </row>
    <row r="230" ht="12.75">
      <c r="A230" s="384"/>
    </row>
    <row r="231" ht="12.75">
      <c r="A231" s="384"/>
    </row>
    <row r="232" ht="12.75">
      <c r="A232" s="384"/>
    </row>
    <row r="233" ht="12.75">
      <c r="A233" s="384"/>
    </row>
    <row r="234" ht="12.75">
      <c r="A234" s="384"/>
    </row>
    <row r="235" ht="12.75">
      <c r="A235" s="384"/>
    </row>
    <row r="236" ht="12.75">
      <c r="A236" s="384"/>
    </row>
    <row r="237" ht="12.75">
      <c r="A237" s="384"/>
    </row>
    <row r="238" ht="12.75">
      <c r="A238" s="384"/>
    </row>
    <row r="239" ht="12.75">
      <c r="A239" s="384"/>
    </row>
    <row r="240" ht="12.75">
      <c r="A240" s="384"/>
    </row>
    <row r="241" ht="12.75">
      <c r="A241" s="384"/>
    </row>
    <row r="242" ht="12.75">
      <c r="A242" s="384"/>
    </row>
    <row r="243" ht="12.75">
      <c r="A243" s="384"/>
    </row>
    <row r="244" ht="12.75">
      <c r="A244" s="384"/>
    </row>
    <row r="245" ht="12.75">
      <c r="A245" s="384"/>
    </row>
    <row r="246" ht="12.75">
      <c r="A246" s="384"/>
    </row>
    <row r="247" ht="12.75">
      <c r="A247" s="384"/>
    </row>
    <row r="248" ht="12.75">
      <c r="A248" s="384"/>
    </row>
    <row r="249" ht="12.75">
      <c r="A249" s="384"/>
    </row>
    <row r="250" ht="12.75">
      <c r="A250" s="384"/>
    </row>
    <row r="251" ht="12.75">
      <c r="A251" s="384"/>
    </row>
    <row r="252" ht="12.75">
      <c r="A252" s="384"/>
    </row>
    <row r="253" ht="12.75">
      <c r="A253" s="384"/>
    </row>
    <row r="254" ht="12.75">
      <c r="A254" s="384"/>
    </row>
    <row r="255" ht="12.75">
      <c r="A255" s="384"/>
    </row>
    <row r="256" ht="12.75">
      <c r="A256" s="384"/>
    </row>
    <row r="257" ht="12.75">
      <c r="A257" s="384"/>
    </row>
    <row r="258" ht="12.75">
      <c r="A258" s="384"/>
    </row>
    <row r="259" ht="12.75">
      <c r="A259" s="384"/>
    </row>
    <row r="260" ht="12.75">
      <c r="A260" s="384"/>
    </row>
    <row r="261" ht="12.75">
      <c r="A261" s="384"/>
    </row>
    <row r="262" ht="12.75">
      <c r="A262" s="384"/>
    </row>
    <row r="263" ht="12.75">
      <c r="A263" s="384"/>
    </row>
    <row r="264" ht="12.75">
      <c r="A264" s="384"/>
    </row>
    <row r="265" ht="12.75">
      <c r="A265" s="384"/>
    </row>
    <row r="266" ht="12.75">
      <c r="A266" s="384"/>
    </row>
    <row r="267" ht="12.75">
      <c r="A267" s="384"/>
    </row>
    <row r="268" ht="12.75">
      <c r="A268" s="384"/>
    </row>
    <row r="269" ht="12.75">
      <c r="A269" s="384"/>
    </row>
    <row r="270" ht="12.75">
      <c r="A270" s="384"/>
    </row>
    <row r="271" ht="12.75">
      <c r="A271" s="384"/>
    </row>
    <row r="272" ht="12.75">
      <c r="A272" s="384"/>
    </row>
    <row r="273" ht="12.75">
      <c r="A273" s="384"/>
    </row>
    <row r="274" ht="12.75">
      <c r="A274" s="384"/>
    </row>
    <row r="275" ht="12.75">
      <c r="A275" s="384"/>
    </row>
    <row r="276" ht="12.75">
      <c r="A276" s="384"/>
    </row>
    <row r="277" ht="12.75">
      <c r="A277" s="384"/>
    </row>
    <row r="278" ht="12.75">
      <c r="A278" s="384"/>
    </row>
    <row r="279" spans="1:7" ht="15.75">
      <c r="A279" s="384"/>
      <c r="C279" s="769"/>
      <c r="D279" s="769"/>
      <c r="E279" s="769"/>
      <c r="F279" s="769"/>
      <c r="G279" s="769"/>
    </row>
    <row r="280" spans="1:7" ht="99.75" customHeight="1">
      <c r="A280" s="384"/>
      <c r="C280" s="769"/>
      <c r="D280" s="769"/>
      <c r="E280" s="769"/>
      <c r="F280" s="769"/>
      <c r="G280" s="769"/>
    </row>
    <row r="281" spans="1:7" ht="15.75">
      <c r="A281" s="384"/>
      <c r="C281" s="769"/>
      <c r="D281" s="769"/>
      <c r="E281" s="769"/>
      <c r="F281" s="769"/>
      <c r="G281" s="769"/>
    </row>
    <row r="282" spans="1:7" ht="15.75">
      <c r="A282" s="384"/>
      <c r="C282" s="769"/>
      <c r="D282" s="769"/>
      <c r="E282" s="769"/>
      <c r="F282" s="769"/>
      <c r="G282" s="769"/>
    </row>
    <row r="283" spans="1:7" ht="15.75">
      <c r="A283" s="384"/>
      <c r="C283" s="769"/>
      <c r="D283" s="769"/>
      <c r="E283" s="769"/>
      <c r="F283" s="769"/>
      <c r="G283" s="769"/>
    </row>
    <row r="284" spans="1:7" ht="15.75">
      <c r="A284" s="384"/>
      <c r="C284" s="769"/>
      <c r="D284" s="769"/>
      <c r="E284" s="769"/>
      <c r="F284" s="769"/>
      <c r="G284" s="769"/>
    </row>
    <row r="285" spans="1:7" ht="15.75">
      <c r="A285" s="384"/>
      <c r="C285" s="769"/>
      <c r="D285" s="769"/>
      <c r="E285" s="769"/>
      <c r="F285" s="769"/>
      <c r="G285" s="769"/>
    </row>
    <row r="286" spans="3:7" ht="15.75">
      <c r="C286" s="769"/>
      <c r="D286" s="769"/>
      <c r="E286" s="769"/>
      <c r="F286" s="769"/>
      <c r="G286" s="769"/>
    </row>
    <row r="287" spans="3:7" ht="15.75">
      <c r="C287" s="769"/>
      <c r="D287" s="769"/>
      <c r="E287" s="769"/>
      <c r="F287" s="769"/>
      <c r="G287" s="769"/>
    </row>
    <row r="288" spans="3:7" ht="15.75">
      <c r="C288" s="769"/>
      <c r="D288" s="769"/>
      <c r="E288" s="769"/>
      <c r="F288" s="769"/>
      <c r="G288" s="769"/>
    </row>
    <row r="289" spans="3:7" ht="15.75">
      <c r="C289" s="769"/>
      <c r="D289" s="769"/>
      <c r="E289" s="769"/>
      <c r="F289" s="769"/>
      <c r="G289" s="769"/>
    </row>
    <row r="290" spans="3:7" ht="15.75">
      <c r="C290" s="769"/>
      <c r="D290" s="769"/>
      <c r="E290" s="769"/>
      <c r="F290" s="769"/>
      <c r="G290" s="769"/>
    </row>
    <row r="291" spans="3:7" ht="15.75">
      <c r="C291" s="769"/>
      <c r="D291" s="769"/>
      <c r="E291" s="769"/>
      <c r="F291" s="769"/>
      <c r="G291" s="769"/>
    </row>
    <row r="292" spans="3:7" ht="15.75">
      <c r="C292" s="769"/>
      <c r="D292" s="769"/>
      <c r="E292" s="769"/>
      <c r="F292" s="769"/>
      <c r="G292" s="769"/>
    </row>
    <row r="293" spans="3:7" ht="15.75">
      <c r="C293" s="769"/>
      <c r="D293" s="769"/>
      <c r="E293" s="769"/>
      <c r="F293" s="769"/>
      <c r="G293" s="769"/>
    </row>
    <row r="294" spans="3:7" ht="15.75">
      <c r="C294" s="769"/>
      <c r="D294" s="769"/>
      <c r="E294" s="769"/>
      <c r="F294" s="769"/>
      <c r="G294" s="769"/>
    </row>
    <row r="295" spans="3:7" ht="15.75">
      <c r="C295" s="769"/>
      <c r="D295" s="769"/>
      <c r="E295" s="769"/>
      <c r="F295" s="769"/>
      <c r="G295" s="769"/>
    </row>
    <row r="296" spans="3:7" ht="15.75">
      <c r="C296" s="769"/>
      <c r="D296" s="769"/>
      <c r="E296" s="769"/>
      <c r="F296" s="769"/>
      <c r="G296" s="769"/>
    </row>
    <row r="297" spans="3:7" ht="15.75">
      <c r="C297" s="769"/>
      <c r="D297" s="769"/>
      <c r="E297" s="769"/>
      <c r="F297" s="769"/>
      <c r="G297" s="769"/>
    </row>
    <row r="298" spans="3:7" ht="15.75">
      <c r="C298" s="769"/>
      <c r="D298" s="769"/>
      <c r="E298" s="769"/>
      <c r="F298" s="769"/>
      <c r="G298" s="769"/>
    </row>
    <row r="299" spans="3:7" ht="15.75">
      <c r="C299" s="769"/>
      <c r="D299" s="769"/>
      <c r="E299" s="769"/>
      <c r="F299" s="769"/>
      <c r="G299" s="769"/>
    </row>
    <row r="300" spans="3:7" ht="15.75">
      <c r="C300" s="769"/>
      <c r="D300" s="769"/>
      <c r="E300" s="769"/>
      <c r="F300" s="769"/>
      <c r="G300" s="769"/>
    </row>
    <row r="301" spans="3:7" ht="40.5" customHeight="1">
      <c r="C301" s="769"/>
      <c r="D301" s="769"/>
      <c r="E301" s="769"/>
      <c r="F301" s="769"/>
      <c r="G301" s="769"/>
    </row>
    <row r="302" spans="3:7" ht="15.75">
      <c r="C302" s="769"/>
      <c r="D302" s="769"/>
      <c r="E302" s="769"/>
      <c r="F302" s="769"/>
      <c r="G302" s="769"/>
    </row>
  </sheetData>
  <sheetProtection/>
  <mergeCells count="1">
    <mergeCell ref="B25:J25"/>
  </mergeCells>
  <printOptions/>
  <pageMargins left="0.5" right="0.5" top="1" bottom="1" header="0.5" footer="0.5"/>
  <pageSetup fitToHeight="2" horizontalDpi="600" verticalDpi="600" orientation="landscape" scale="48" r:id="rId1"/>
  <headerFooter alignWithMargins="0">
    <oddHeader>&amp;CDuquesne Light Company
Attachment H -17A
Attachment 1 - Accumulated Deferred Income Taxes (ADIT) Worksheet Tax Detail&amp;RPage &amp;P of &amp;N</oddHeader>
  </headerFooter>
  <rowBreaks count="1" manualBreakCount="1">
    <brk id="63" max="9" man="1"/>
  </rowBreaks>
</worksheet>
</file>

<file path=xl/worksheets/sheet4.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G270" sqref="G270"/>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2" bestFit="1" customWidth="1"/>
    <col min="6" max="6" width="9.8515625" style="0" customWidth="1"/>
    <col min="7" max="7" width="12.00390625" style="0" bestFit="1" customWidth="1"/>
    <col min="14" max="14" width="13.421875" style="0" bestFit="1" customWidth="1"/>
  </cols>
  <sheetData>
    <row r="1" spans="4:8" ht="12.75">
      <c r="D1" s="406" t="s">
        <v>504</v>
      </c>
      <c r="F1" s="205"/>
      <c r="G1" s="205" t="s">
        <v>571</v>
      </c>
      <c r="H1" s="205"/>
    </row>
    <row r="2" spans="1:8" ht="12.75">
      <c r="A2" s="199" t="s">
        <v>335</v>
      </c>
      <c r="B2" s="199"/>
      <c r="D2" s="205" t="s">
        <v>568</v>
      </c>
      <c r="F2" s="205" t="s">
        <v>514</v>
      </c>
      <c r="G2" s="205" t="s">
        <v>572</v>
      </c>
      <c r="H2" s="205"/>
    </row>
    <row r="3" spans="1:8" ht="12.75">
      <c r="A3" s="199"/>
      <c r="B3" s="199"/>
      <c r="D3" s="205" t="s">
        <v>569</v>
      </c>
      <c r="E3" s="228"/>
      <c r="F3" s="205"/>
      <c r="G3" s="205"/>
      <c r="H3" s="205"/>
    </row>
    <row r="4" spans="1:8" ht="12.75">
      <c r="A4" s="199"/>
      <c r="B4" s="199"/>
      <c r="D4" s="205"/>
      <c r="E4" s="228"/>
      <c r="F4" s="205"/>
      <c r="G4" s="205"/>
      <c r="H4" s="205"/>
    </row>
    <row r="5" spans="1:8" ht="12.75">
      <c r="A5" s="199"/>
      <c r="B5" s="199"/>
      <c r="D5" s="205"/>
      <c r="E5" s="228"/>
      <c r="F5" s="205"/>
      <c r="G5" s="205"/>
      <c r="H5" s="205"/>
    </row>
    <row r="6" spans="2:8" ht="12.75">
      <c r="B6" s="199" t="s">
        <v>567</v>
      </c>
      <c r="E6" s="945" t="s">
        <v>310</v>
      </c>
      <c r="G6" s="205"/>
      <c r="H6" s="211"/>
    </row>
    <row r="7" spans="2:8" ht="12.75">
      <c r="B7" s="199"/>
      <c r="F7" s="944"/>
      <c r="G7" s="205"/>
      <c r="H7" s="211"/>
    </row>
    <row r="8" spans="2:8" ht="12.75" customHeight="1">
      <c r="B8">
        <v>1</v>
      </c>
      <c r="C8" s="580" t="s">
        <v>552</v>
      </c>
      <c r="D8" t="s">
        <v>553</v>
      </c>
      <c r="E8" s="1134">
        <v>0</v>
      </c>
      <c r="F8" s="408"/>
      <c r="G8" s="409"/>
      <c r="H8" s="2"/>
    </row>
    <row r="9" spans="2:8" ht="12.75" customHeight="1">
      <c r="B9">
        <v>2</v>
      </c>
      <c r="C9" s="580" t="s">
        <v>554</v>
      </c>
      <c r="D9" t="s">
        <v>555</v>
      </c>
      <c r="E9" s="1134">
        <v>526737</v>
      </c>
      <c r="F9" s="408"/>
      <c r="G9" s="409"/>
      <c r="H9" s="294"/>
    </row>
    <row r="10" spans="1:8" ht="12.75" customHeight="1">
      <c r="A10" s="2"/>
      <c r="B10">
        <v>3</v>
      </c>
      <c r="C10" s="320" t="s">
        <v>556</v>
      </c>
      <c r="D10" t="s">
        <v>557</v>
      </c>
      <c r="E10" s="1135">
        <v>912155</v>
      </c>
      <c r="F10" s="408"/>
      <c r="G10" s="409"/>
      <c r="H10" s="294"/>
    </row>
    <row r="11" spans="2:8" ht="12.75" customHeight="1">
      <c r="B11">
        <f>B10+1</f>
        <v>4</v>
      </c>
      <c r="C11" s="199" t="str">
        <f>"Total Plant Related -- Sum of line "&amp;B8&amp;" through line "&amp;B10&amp;""</f>
        <v>Total Plant Related -- Sum of line 1 through line 3</v>
      </c>
      <c r="E11" s="1068">
        <f>SUM(E8:E10)</f>
        <v>1438892</v>
      </c>
      <c r="F11" s="408">
        <f>'Appendix A'!G20</f>
        <v>0.24827850353615957</v>
      </c>
      <c r="G11" s="410">
        <f>E11*F11</f>
        <v>357245.9525101517</v>
      </c>
      <c r="H11" s="294"/>
    </row>
    <row r="12" spans="5:8" ht="12.75" customHeight="1">
      <c r="E12" s="1068"/>
      <c r="F12" s="294"/>
      <c r="G12" s="409"/>
      <c r="H12" s="294"/>
    </row>
    <row r="13" spans="4:8" ht="12.75" customHeight="1">
      <c r="D13" s="201"/>
      <c r="E13" s="1068"/>
      <c r="F13" s="201"/>
      <c r="G13" s="409"/>
      <c r="H13" s="294"/>
    </row>
    <row r="14" spans="2:8" ht="12.75" customHeight="1">
      <c r="B14" s="199"/>
      <c r="D14" s="201"/>
      <c r="E14" s="946" t="s">
        <v>35</v>
      </c>
      <c r="G14" s="409"/>
      <c r="H14" s="294"/>
    </row>
    <row r="15" spans="4:11" ht="12.75" customHeight="1">
      <c r="D15" s="201"/>
      <c r="E15" s="1068"/>
      <c r="F15" s="201"/>
      <c r="G15" s="409"/>
      <c r="H15" s="294"/>
      <c r="I15" s="2"/>
      <c r="J15" s="2"/>
      <c r="K15" s="2"/>
    </row>
    <row r="16" spans="2:11" ht="12.75" customHeight="1">
      <c r="B16">
        <v>5</v>
      </c>
      <c r="C16" s="320" t="s">
        <v>171</v>
      </c>
      <c r="D16" s="287" t="s">
        <v>170</v>
      </c>
      <c r="E16" s="1134">
        <v>32830</v>
      </c>
      <c r="F16" s="295"/>
      <c r="G16" s="411"/>
      <c r="H16" s="295"/>
      <c r="I16" s="2"/>
      <c r="J16" s="2"/>
      <c r="K16" s="2"/>
    </row>
    <row r="17" spans="2:11" ht="12.75">
      <c r="B17">
        <v>6</v>
      </c>
      <c r="C17" s="320" t="s">
        <v>558</v>
      </c>
      <c r="D17" s="273" t="s">
        <v>251</v>
      </c>
      <c r="E17" s="1134">
        <v>5339305</v>
      </c>
      <c r="F17" s="2"/>
      <c r="G17" s="412"/>
      <c r="H17" s="2"/>
      <c r="I17" s="2"/>
      <c r="J17" s="2"/>
      <c r="K17" s="2"/>
    </row>
    <row r="18" spans="2:11" ht="12.75">
      <c r="B18">
        <v>7</v>
      </c>
      <c r="C18" s="320" t="s">
        <v>168</v>
      </c>
      <c r="D18" s="273" t="s">
        <v>169</v>
      </c>
      <c r="E18" s="1134">
        <v>259709</v>
      </c>
      <c r="F18" s="2"/>
      <c r="G18" s="412"/>
      <c r="H18" s="2"/>
      <c r="I18" s="2"/>
      <c r="J18" s="2"/>
      <c r="K18" s="2"/>
    </row>
    <row r="19" spans="2:11" ht="12.75">
      <c r="B19">
        <v>8</v>
      </c>
      <c r="C19" s="2" t="s">
        <v>559</v>
      </c>
      <c r="D19" t="s">
        <v>560</v>
      </c>
      <c r="E19" s="1135">
        <v>329225</v>
      </c>
      <c r="F19" s="2"/>
      <c r="G19" s="412"/>
      <c r="H19" s="2"/>
      <c r="I19" s="2"/>
      <c r="J19" s="2"/>
      <c r="K19" s="2"/>
    </row>
    <row r="20" spans="2:11" ht="12.75">
      <c r="B20">
        <v>9</v>
      </c>
      <c r="C20" s="199" t="s">
        <v>231</v>
      </c>
      <c r="E20" s="1068">
        <f>SUM(E16:E19)</f>
        <v>5961069</v>
      </c>
      <c r="F20" s="408">
        <f>+'Appendix A'!G12</f>
        <v>0.18446314069920292</v>
      </c>
      <c r="G20" s="410">
        <f>+F20*E20</f>
        <v>1099597.5096646568</v>
      </c>
      <c r="H20" s="2"/>
      <c r="I20" s="2"/>
      <c r="J20" s="2"/>
      <c r="K20" s="2"/>
    </row>
    <row r="21" spans="2:11" ht="12.75">
      <c r="B21" s="199"/>
      <c r="C21" s="213"/>
      <c r="E21" s="1069"/>
      <c r="F21" s="2"/>
      <c r="G21" s="412"/>
      <c r="H21" s="2"/>
      <c r="I21" s="2"/>
      <c r="J21" s="2"/>
      <c r="K21" s="2"/>
    </row>
    <row r="22" spans="5:11" ht="12.75">
      <c r="E22" s="1069"/>
      <c r="G22" s="412"/>
      <c r="H22" s="2"/>
      <c r="I22" s="2"/>
      <c r="J22" s="2"/>
      <c r="K22" s="2"/>
    </row>
    <row r="23" spans="2:11" ht="12.75">
      <c r="B23" s="199" t="s">
        <v>687</v>
      </c>
      <c r="E23" s="1069"/>
      <c r="F23" s="215" t="s">
        <v>246</v>
      </c>
      <c r="G23" s="412"/>
      <c r="H23" s="2"/>
      <c r="I23" s="2"/>
      <c r="J23" s="2"/>
      <c r="K23" s="2"/>
    </row>
    <row r="24" spans="5:11" ht="12.75">
      <c r="E24" s="1069"/>
      <c r="G24" s="412"/>
      <c r="H24" s="2"/>
      <c r="I24" s="2"/>
      <c r="J24" s="2"/>
      <c r="K24" s="2"/>
    </row>
    <row r="25" spans="2:11" ht="12.75">
      <c r="B25">
        <v>10</v>
      </c>
      <c r="C25" t="s">
        <v>172</v>
      </c>
      <c r="D25" t="s">
        <v>174</v>
      </c>
      <c r="E25" s="1134">
        <v>0</v>
      </c>
      <c r="F25" s="2"/>
      <c r="G25" s="412"/>
      <c r="H25" s="295"/>
      <c r="I25" s="2"/>
      <c r="J25" s="2"/>
      <c r="K25" s="2"/>
    </row>
    <row r="26" spans="2:11" ht="12.75">
      <c r="B26">
        <v>11</v>
      </c>
      <c r="C26" t="s">
        <v>173</v>
      </c>
      <c r="D26" t="s">
        <v>175</v>
      </c>
      <c r="E26" s="1134">
        <v>0</v>
      </c>
      <c r="F26" s="2"/>
      <c r="G26" s="412"/>
      <c r="H26" s="295"/>
      <c r="I26" s="2"/>
      <c r="J26" s="2"/>
      <c r="K26" s="2"/>
    </row>
    <row r="27" spans="2:11" ht="12.75">
      <c r="B27">
        <v>12</v>
      </c>
      <c r="C27" t="s">
        <v>176</v>
      </c>
      <c r="D27" t="s">
        <v>252</v>
      </c>
      <c r="E27" s="1134">
        <v>46525619</v>
      </c>
      <c r="F27" s="2"/>
      <c r="G27" s="412"/>
      <c r="H27" s="295"/>
      <c r="I27" s="2"/>
      <c r="J27" s="2"/>
      <c r="K27" s="2"/>
    </row>
    <row r="28" spans="2:11" ht="12.75">
      <c r="B28">
        <v>13</v>
      </c>
      <c r="C28" t="s">
        <v>177</v>
      </c>
      <c r="D28" t="s">
        <v>178</v>
      </c>
      <c r="E28" s="1134">
        <v>0</v>
      </c>
      <c r="F28" s="2"/>
      <c r="G28" s="412"/>
      <c r="H28" s="295"/>
      <c r="I28" s="2"/>
      <c r="J28" s="2"/>
      <c r="K28" s="2"/>
    </row>
    <row r="29" spans="2:11" ht="12.75">
      <c r="B29">
        <v>14</v>
      </c>
      <c r="C29" t="s">
        <v>179</v>
      </c>
      <c r="D29" t="s">
        <v>180</v>
      </c>
      <c r="E29" s="1134">
        <v>0</v>
      </c>
      <c r="F29" s="2"/>
      <c r="G29" s="412"/>
      <c r="H29" s="295"/>
      <c r="I29" s="2"/>
      <c r="J29" s="2"/>
      <c r="K29" s="2"/>
    </row>
    <row r="30" spans="2:8" ht="12.75">
      <c r="B30">
        <v>15</v>
      </c>
      <c r="C30" t="s">
        <v>486</v>
      </c>
      <c r="D30" t="s">
        <v>181</v>
      </c>
      <c r="E30" s="1134">
        <v>0</v>
      </c>
      <c r="F30" s="2"/>
      <c r="G30" s="412"/>
      <c r="H30" s="295"/>
    </row>
    <row r="31" spans="2:8" ht="12.75">
      <c r="B31">
        <v>16</v>
      </c>
      <c r="C31" t="s">
        <v>182</v>
      </c>
      <c r="D31" t="s">
        <v>184</v>
      </c>
      <c r="E31" s="1134">
        <v>0</v>
      </c>
      <c r="F31" s="2"/>
      <c r="G31" s="412"/>
      <c r="H31" s="295"/>
    </row>
    <row r="32" spans="2:8" ht="12.75">
      <c r="B32">
        <v>17</v>
      </c>
      <c r="C32" t="s">
        <v>183</v>
      </c>
      <c r="D32" t="s">
        <v>185</v>
      </c>
      <c r="E32" s="1134">
        <v>-532736</v>
      </c>
      <c r="F32" s="2"/>
      <c r="G32" s="412"/>
      <c r="H32" s="295"/>
    </row>
    <row r="33" spans="2:8" ht="12.75">
      <c r="B33">
        <v>18</v>
      </c>
      <c r="C33" t="s">
        <v>186</v>
      </c>
      <c r="D33" t="s">
        <v>188</v>
      </c>
      <c r="E33" s="1134">
        <v>0</v>
      </c>
      <c r="F33" s="2"/>
      <c r="G33" s="412"/>
      <c r="H33" s="295"/>
    </row>
    <row r="34" spans="2:8" ht="12.75">
      <c r="B34">
        <v>19</v>
      </c>
      <c r="C34" t="s">
        <v>187</v>
      </c>
      <c r="D34" t="s">
        <v>189</v>
      </c>
      <c r="E34" s="1134">
        <v>0</v>
      </c>
      <c r="F34" s="2"/>
      <c r="G34" s="412"/>
      <c r="H34" s="295"/>
    </row>
    <row r="35" spans="2:8" ht="12.75">
      <c r="B35">
        <v>20</v>
      </c>
      <c r="C35" t="s">
        <v>587</v>
      </c>
      <c r="D35" t="s">
        <v>190</v>
      </c>
      <c r="E35" s="1135">
        <v>0</v>
      </c>
      <c r="F35" s="2"/>
      <c r="G35" s="412"/>
      <c r="H35" s="295"/>
    </row>
    <row r="36" spans="5:7" ht="12.75">
      <c r="E36" s="1070"/>
      <c r="G36" s="412"/>
    </row>
    <row r="37" spans="1:7" ht="12.75">
      <c r="A37" s="2"/>
      <c r="B37">
        <f>B35+1</f>
        <v>21</v>
      </c>
      <c r="C37" s="199" t="s">
        <v>236</v>
      </c>
      <c r="E37" s="1068">
        <f>SUM(E25:E35)</f>
        <v>45992883</v>
      </c>
      <c r="F37" s="581">
        <v>0</v>
      </c>
      <c r="G37" s="807"/>
    </row>
    <row r="38" spans="1:7" ht="12.75">
      <c r="A38" s="2"/>
      <c r="E38" s="1069"/>
      <c r="G38" s="412"/>
    </row>
    <row r="39" spans="1:14" ht="12.75">
      <c r="A39" s="2"/>
      <c r="B39">
        <f>B37+1</f>
        <v>22</v>
      </c>
      <c r="C39" s="199" t="str">
        <f>"Total    (line "&amp;B11&amp;" + line "&amp;B20&amp;" + line "&amp;B37&amp;""</f>
        <v>Total    (line 4 + line 9 + line 21</v>
      </c>
      <c r="E39" s="1068">
        <f>+E37+E20+E11</f>
        <v>53392844</v>
      </c>
      <c r="G39" s="410">
        <f>+G37+G20+G11</f>
        <v>1456843.4621748086</v>
      </c>
      <c r="N39" s="642"/>
    </row>
    <row r="40" spans="1:8" ht="12.75">
      <c r="A40" s="2"/>
      <c r="B40" s="2"/>
      <c r="C40" s="230"/>
      <c r="D40" s="2"/>
      <c r="E40" s="1070"/>
      <c r="F40" s="304"/>
      <c r="G40" s="2"/>
      <c r="H40" s="2"/>
    </row>
    <row r="41" spans="1:8" ht="12.75">
      <c r="A41" s="2"/>
      <c r="B41" s="2">
        <f>B39+1</f>
        <v>23</v>
      </c>
      <c r="C41" s="269" t="str">
        <f>"Total 'Other' Taxes included on p.114.14c"</f>
        <v>Total 'Other' Taxes included on p.114.14c</v>
      </c>
      <c r="D41" s="273"/>
      <c r="E41" s="1135">
        <v>53392844</v>
      </c>
      <c r="F41" s="1196"/>
      <c r="G41" s="288"/>
      <c r="H41" s="2"/>
    </row>
    <row r="42" spans="1:8" ht="12.75">
      <c r="A42" s="2"/>
      <c r="B42" s="2"/>
      <c r="C42" s="269"/>
      <c r="D42" s="273"/>
      <c r="E42" s="305"/>
      <c r="F42" s="305"/>
      <c r="G42" s="288"/>
      <c r="H42" s="2"/>
    </row>
    <row r="43" spans="1:8" ht="12.75">
      <c r="A43" s="2"/>
      <c r="B43" s="2"/>
      <c r="C43" s="269" t="s">
        <v>360</v>
      </c>
      <c r="D43" s="273"/>
      <c r="E43" s="305">
        <f>E41-E39</f>
        <v>0</v>
      </c>
      <c r="F43" s="305"/>
      <c r="G43" s="288"/>
      <c r="H43" s="2"/>
    </row>
    <row r="44" spans="1:19" ht="12.75">
      <c r="A44" s="2"/>
      <c r="B44" s="2"/>
      <c r="C44" s="273"/>
      <c r="D44" s="320"/>
      <c r="E44" s="305"/>
      <c r="F44" s="306"/>
      <c r="G44" s="289"/>
      <c r="H44" s="290"/>
      <c r="I44" s="290"/>
      <c r="J44" s="275"/>
      <c r="K44" s="2"/>
      <c r="L44" s="2"/>
      <c r="M44" s="2"/>
      <c r="N44" s="2"/>
      <c r="O44" s="2"/>
      <c r="P44" s="2"/>
      <c r="Q44" s="2"/>
      <c r="R44" s="2"/>
      <c r="S44" s="2"/>
    </row>
    <row r="45" spans="1:19" ht="12.75">
      <c r="A45" s="2"/>
      <c r="B45" s="2" t="s">
        <v>34</v>
      </c>
      <c r="C45" s="202"/>
      <c r="D45" s="2"/>
      <c r="E45" s="274"/>
      <c r="F45" s="275"/>
      <c r="G45" s="275"/>
      <c r="H45" s="275"/>
      <c r="I45" s="275"/>
      <c r="J45" s="275"/>
      <c r="K45" s="2"/>
      <c r="L45" s="2"/>
      <c r="M45" s="2"/>
      <c r="N45" s="2"/>
      <c r="O45" s="2"/>
      <c r="P45" s="2"/>
      <c r="Q45" s="2"/>
      <c r="R45" s="2"/>
      <c r="S45" s="2"/>
    </row>
    <row r="46" spans="1:19" ht="27" customHeight="1">
      <c r="A46" s="2"/>
      <c r="B46" s="337" t="s">
        <v>327</v>
      </c>
      <c r="C46" s="1230" t="s">
        <v>83</v>
      </c>
      <c r="D46" s="1230"/>
      <c r="E46" s="1230"/>
      <c r="F46" s="1230"/>
      <c r="G46" s="1230"/>
      <c r="H46" s="275"/>
      <c r="I46" s="275"/>
      <c r="J46" s="275"/>
      <c r="K46" s="2"/>
      <c r="L46" s="2"/>
      <c r="M46" s="2"/>
      <c r="N46" s="2"/>
      <c r="O46" s="2"/>
      <c r="P46" s="2"/>
      <c r="Q46" s="2"/>
      <c r="R46" s="2"/>
      <c r="S46" s="2"/>
    </row>
    <row r="47" spans="2:19" ht="27.75" customHeight="1">
      <c r="B47" s="337" t="s">
        <v>459</v>
      </c>
      <c r="C47" s="1235" t="s">
        <v>201</v>
      </c>
      <c r="D47" s="1235"/>
      <c r="E47" s="1235"/>
      <c r="F47" s="1235"/>
      <c r="G47" s="1235"/>
      <c r="H47" s="275"/>
      <c r="I47" s="275"/>
      <c r="J47" s="275"/>
      <c r="K47" s="2"/>
      <c r="L47" s="2"/>
      <c r="M47" s="2"/>
      <c r="N47" s="2"/>
      <c r="O47" s="2"/>
      <c r="P47" s="2"/>
      <c r="Q47" s="2"/>
      <c r="R47" s="2"/>
      <c r="S47" s="2"/>
    </row>
    <row r="48" spans="2:19" ht="42" customHeight="1">
      <c r="B48" s="337" t="s">
        <v>308</v>
      </c>
      <c r="C48" s="1233" t="s">
        <v>253</v>
      </c>
      <c r="D48" s="1233"/>
      <c r="E48" s="1233"/>
      <c r="F48" s="1233"/>
      <c r="G48" s="1233"/>
      <c r="H48" s="275"/>
      <c r="I48" s="275"/>
      <c r="J48" s="275"/>
      <c r="K48" s="2"/>
      <c r="L48" s="2"/>
      <c r="M48" s="2"/>
      <c r="N48" s="2"/>
      <c r="O48" s="2"/>
      <c r="P48" s="2"/>
      <c r="Q48" s="2"/>
      <c r="R48" s="2"/>
      <c r="S48" s="2"/>
    </row>
    <row r="49" spans="2:19" ht="44.25" customHeight="1">
      <c r="B49" s="337" t="s">
        <v>328</v>
      </c>
      <c r="C49" s="1233" t="s">
        <v>254</v>
      </c>
      <c r="D49" s="1233"/>
      <c r="E49" s="1233"/>
      <c r="F49" s="1233"/>
      <c r="G49" s="1233"/>
      <c r="H49" s="275"/>
      <c r="I49" s="275"/>
      <c r="J49" s="275"/>
      <c r="K49" s="2"/>
      <c r="L49" s="2"/>
      <c r="M49" s="2"/>
      <c r="N49" s="2"/>
      <c r="O49" s="2"/>
      <c r="P49" s="2"/>
      <c r="Q49" s="2"/>
      <c r="R49" s="2"/>
      <c r="S49" s="2"/>
    </row>
    <row r="50" spans="2:19" ht="17.25" customHeight="1">
      <c r="B50" s="337" t="s">
        <v>326</v>
      </c>
      <c r="C50" s="666" t="s">
        <v>387</v>
      </c>
      <c r="D50" s="2"/>
      <c r="E50" s="274"/>
      <c r="F50" s="2"/>
      <c r="G50" s="275"/>
      <c r="H50" s="275"/>
      <c r="I50" s="275"/>
      <c r="J50" s="275"/>
      <c r="K50" s="2"/>
      <c r="L50" s="2"/>
      <c r="M50" s="2"/>
      <c r="N50" s="2"/>
      <c r="O50" s="2"/>
      <c r="P50" s="2"/>
      <c r="Q50" s="2"/>
      <c r="R50" s="2"/>
      <c r="S50" s="2"/>
    </row>
    <row r="51" spans="2:10" s="2" customFormat="1" ht="29.25" customHeight="1">
      <c r="B51" s="337" t="s">
        <v>619</v>
      </c>
      <c r="C51" s="1234" t="s">
        <v>388</v>
      </c>
      <c r="D51" s="1234"/>
      <c r="E51" s="1234"/>
      <c r="F51" s="1234"/>
      <c r="G51" s="1234"/>
      <c r="H51" s="275"/>
      <c r="I51" s="275"/>
      <c r="J51" s="275"/>
    </row>
    <row r="52" spans="2:6" s="2" customFormat="1" ht="12.75">
      <c r="B52" s="2" t="s">
        <v>329</v>
      </c>
      <c r="C52" s="1231" t="s">
        <v>258</v>
      </c>
      <c r="D52" s="1232"/>
      <c r="E52" s="1232"/>
      <c r="F52" s="1232"/>
    </row>
    <row r="53" ht="12.75">
      <c r="C53" s="202"/>
    </row>
    <row r="54" ht="12.75">
      <c r="C54" s="202"/>
    </row>
    <row r="55" ht="12.75">
      <c r="C55" s="276"/>
    </row>
    <row r="56" ht="12.75">
      <c r="G56" s="212"/>
    </row>
    <row r="57" ht="12.75">
      <c r="G57" s="286"/>
    </row>
    <row r="58" ht="12.75">
      <c r="G58" s="286"/>
    </row>
    <row r="59" ht="12.75">
      <c r="G59" s="286"/>
    </row>
    <row r="60" ht="12.75">
      <c r="G60" s="212"/>
    </row>
    <row r="281" spans="3:7" ht="15.75">
      <c r="C281" s="649"/>
      <c r="D281" s="649"/>
      <c r="E281" s="783"/>
      <c r="F281" s="649"/>
      <c r="G281" s="649"/>
    </row>
    <row r="282" spans="3:7" ht="99.75" customHeight="1">
      <c r="C282" s="649"/>
      <c r="D282" s="649"/>
      <c r="E282" s="783"/>
      <c r="F282" s="649"/>
      <c r="G282" s="649"/>
    </row>
    <row r="283" spans="3:7" ht="15.75">
      <c r="C283" s="649"/>
      <c r="D283" s="649"/>
      <c r="E283" s="783"/>
      <c r="F283" s="649"/>
      <c r="G283" s="649"/>
    </row>
    <row r="284" spans="3:7" ht="15.75">
      <c r="C284" s="649"/>
      <c r="D284" s="649"/>
      <c r="E284" s="783"/>
      <c r="F284" s="649"/>
      <c r="G284" s="649"/>
    </row>
    <row r="285" spans="3:7" ht="15.75">
      <c r="C285" s="649"/>
      <c r="D285" s="649"/>
      <c r="E285" s="783"/>
      <c r="F285" s="649"/>
      <c r="G285" s="649"/>
    </row>
    <row r="286" spans="3:7" ht="15.75">
      <c r="C286" s="649"/>
      <c r="D286" s="649"/>
      <c r="E286" s="783"/>
      <c r="F286" s="649"/>
      <c r="G286" s="649"/>
    </row>
    <row r="287" spans="3:7" ht="15.75">
      <c r="C287" s="649"/>
      <c r="D287" s="649"/>
      <c r="E287" s="783"/>
      <c r="F287" s="649"/>
      <c r="G287" s="649"/>
    </row>
    <row r="288" spans="3:7" ht="15.75">
      <c r="C288" s="649"/>
      <c r="D288" s="649"/>
      <c r="E288" s="783"/>
      <c r="F288" s="649"/>
      <c r="G288" s="649"/>
    </row>
    <row r="289" spans="3:7" ht="15.75">
      <c r="C289" s="649"/>
      <c r="D289" s="649"/>
      <c r="E289" s="783"/>
      <c r="F289" s="649"/>
      <c r="G289" s="649"/>
    </row>
    <row r="290" spans="3:7" ht="15.75">
      <c r="C290" s="649"/>
      <c r="D290" s="649"/>
      <c r="E290" s="783"/>
      <c r="F290" s="649"/>
      <c r="G290" s="649"/>
    </row>
    <row r="291" spans="3:7" ht="15.75">
      <c r="C291" s="649"/>
      <c r="D291" s="649"/>
      <c r="E291" s="783"/>
      <c r="F291" s="649"/>
      <c r="G291" s="649"/>
    </row>
    <row r="292" spans="3:7" ht="15.75">
      <c r="C292" s="649"/>
      <c r="D292" s="649"/>
      <c r="E292" s="783"/>
      <c r="F292" s="649"/>
      <c r="G292" s="649"/>
    </row>
    <row r="293" spans="3:7" ht="15.75">
      <c r="C293" s="649"/>
      <c r="D293" s="649"/>
      <c r="E293" s="783"/>
      <c r="F293" s="649"/>
      <c r="G293" s="649"/>
    </row>
    <row r="294" spans="3:7" ht="15.75">
      <c r="C294" s="649"/>
      <c r="D294" s="649"/>
      <c r="E294" s="783"/>
      <c r="F294" s="649"/>
      <c r="G294" s="649"/>
    </row>
    <row r="295" spans="3:7" ht="15.75">
      <c r="C295" s="649"/>
      <c r="D295" s="649"/>
      <c r="E295" s="783"/>
      <c r="F295" s="649"/>
      <c r="G295" s="649"/>
    </row>
    <row r="296" spans="3:7" ht="15.75">
      <c r="C296" s="649"/>
      <c r="D296" s="649"/>
      <c r="E296" s="783"/>
      <c r="F296" s="649"/>
      <c r="G296" s="649"/>
    </row>
    <row r="297" spans="3:7" ht="15.75">
      <c r="C297" s="649"/>
      <c r="D297" s="649"/>
      <c r="E297" s="783"/>
      <c r="F297" s="649"/>
      <c r="G297" s="649"/>
    </row>
    <row r="298" spans="3:7" ht="15.75">
      <c r="C298" s="649"/>
      <c r="D298" s="649"/>
      <c r="E298" s="783"/>
      <c r="F298" s="649"/>
      <c r="G298" s="649"/>
    </row>
    <row r="299" spans="3:7" ht="15.75">
      <c r="C299" s="649"/>
      <c r="D299" s="649"/>
      <c r="E299" s="783"/>
      <c r="F299" s="649"/>
      <c r="G299" s="649"/>
    </row>
    <row r="300" spans="3:7" ht="15.75">
      <c r="C300" s="649"/>
      <c r="D300" s="649"/>
      <c r="E300" s="783"/>
      <c r="F300" s="649"/>
      <c r="G300" s="649"/>
    </row>
    <row r="301" spans="3:7" ht="15.75">
      <c r="C301" s="649"/>
      <c r="D301" s="649"/>
      <c r="E301" s="783"/>
      <c r="F301" s="649"/>
      <c r="G301" s="649"/>
    </row>
    <row r="302" spans="3:7" ht="15.75">
      <c r="C302" s="649"/>
      <c r="D302" s="649"/>
      <c r="E302" s="783"/>
      <c r="F302" s="649"/>
      <c r="G302" s="649"/>
    </row>
    <row r="303" spans="3:7" ht="40.5" customHeight="1">
      <c r="C303" s="649"/>
      <c r="D303" s="649"/>
      <c r="E303" s="783"/>
      <c r="F303" s="649"/>
      <c r="G303" s="649"/>
    </row>
    <row r="304" spans="3:7" ht="15.75">
      <c r="C304" s="649"/>
      <c r="D304" s="649"/>
      <c r="E304" s="783"/>
      <c r="F304" s="649"/>
      <c r="G304" s="649"/>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8" r:id="rId1"/>
  <headerFooter alignWithMargins="0">
    <oddHeader>&amp;CDuquesne Light Company
Attachment H -17A
Attachment 2 - Taxes Other Than Income Worksheet&amp;RPage &amp;P of &amp;N</oddHeader>
  </headerFooter>
</worksheet>
</file>

<file path=xl/worksheets/sheet5.xml><?xml version="1.0" encoding="utf-8"?>
<worksheet xmlns="http://schemas.openxmlformats.org/spreadsheetml/2006/main" xmlns:r="http://schemas.openxmlformats.org/officeDocument/2006/relationships">
  <dimension ref="A1:Q296"/>
  <sheetViews>
    <sheetView zoomScale="80" zoomScaleNormal="80" zoomScalePageLayoutView="0" workbookViewId="0" topLeftCell="A46">
      <selection activeCell="F2" sqref="F2:F24"/>
    </sheetView>
  </sheetViews>
  <sheetFormatPr defaultColWidth="9.140625" defaultRowHeight="12.75"/>
  <cols>
    <col min="1" max="1" width="6.140625" style="0" customWidth="1"/>
    <col min="2" max="2" width="74.28125" style="0" customWidth="1"/>
    <col min="3" max="3" width="23.28125" style="0" bestFit="1" customWidth="1"/>
    <col min="4" max="4" width="14.28125" style="281" bestFit="1" customWidth="1"/>
    <col min="5" max="5" width="14.421875" style="0" customWidth="1"/>
    <col min="6" max="6" width="18.8515625" style="0" customWidth="1"/>
    <col min="7" max="7" width="22.140625" style="0" bestFit="1"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49"/>
      <c r="B1" s="650" t="s">
        <v>752</v>
      </c>
      <c r="C1" s="649"/>
      <c r="D1" s="651"/>
      <c r="E1" s="649"/>
    </row>
    <row r="2" spans="1:6" ht="15.75">
      <c r="A2" s="655">
        <v>1</v>
      </c>
      <c r="B2" s="652" t="s">
        <v>367</v>
      </c>
      <c r="C2" s="649"/>
      <c r="D2" s="653">
        <f>D50</f>
        <v>10533219</v>
      </c>
      <c r="E2" s="649"/>
      <c r="F2" s="924"/>
    </row>
    <row r="3" spans="1:7" ht="15.75">
      <c r="A3" s="655">
        <f>A2+1</f>
        <v>2</v>
      </c>
      <c r="B3" s="654" t="s">
        <v>368</v>
      </c>
      <c r="C3" s="181"/>
      <c r="D3" s="653">
        <f>C50</f>
        <v>0</v>
      </c>
      <c r="E3" s="655"/>
      <c r="G3" s="201"/>
    </row>
    <row r="4" spans="1:7" s="277" customFormat="1" ht="15.75">
      <c r="A4" s="655">
        <f>A3+1</f>
        <v>3</v>
      </c>
      <c r="B4" s="790"/>
      <c r="C4" s="655"/>
      <c r="D4" s="656"/>
      <c r="E4" s="657"/>
      <c r="G4" s="278"/>
    </row>
    <row r="5" spans="1:7" ht="15.75">
      <c r="A5" s="655"/>
      <c r="B5" s="652"/>
      <c r="C5" s="652"/>
      <c r="D5" s="656"/>
      <c r="E5" s="655"/>
      <c r="G5" s="203"/>
    </row>
    <row r="6" spans="1:7" ht="15.75">
      <c r="A6" s="655"/>
      <c r="B6" s="650"/>
      <c r="C6" s="652"/>
      <c r="D6" s="651"/>
      <c r="E6" s="655"/>
      <c r="G6" s="204"/>
    </row>
    <row r="7" spans="1:7" ht="15.75">
      <c r="A7" s="655">
        <f>+A4+1</f>
        <v>4</v>
      </c>
      <c r="B7" s="652" t="s">
        <v>159</v>
      </c>
      <c r="C7" s="652" t="str">
        <f>"See "&amp;A36&amp;""</f>
        <v>See Note 5</v>
      </c>
      <c r="D7" s="653">
        <f>D53</f>
        <v>85465975</v>
      </c>
      <c r="E7" s="655"/>
      <c r="F7" s="924"/>
      <c r="G7" s="204"/>
    </row>
    <row r="8" spans="1:7" ht="15.75">
      <c r="A8" s="693">
        <f>+A7+1</f>
        <v>5</v>
      </c>
      <c r="B8" s="652" t="s">
        <v>160</v>
      </c>
      <c r="C8" s="652" t="str">
        <f>"See "&amp;A37&amp;""</f>
        <v>See Note 6</v>
      </c>
      <c r="D8" s="653">
        <f>D54</f>
        <v>3543678</v>
      </c>
      <c r="E8" s="655"/>
      <c r="F8" s="924"/>
      <c r="G8" s="204"/>
    </row>
    <row r="9" spans="1:16" ht="15.75">
      <c r="A9" s="693">
        <f aca="true" t="shared" si="0" ref="A9:A21">+A8+1</f>
        <v>6</v>
      </c>
      <c r="B9" s="652" t="s">
        <v>202</v>
      </c>
      <c r="C9" s="652" t="str">
        <f>"See "&amp;A38&amp;""</f>
        <v>See Note 7</v>
      </c>
      <c r="D9" s="653">
        <f>D55</f>
        <v>0</v>
      </c>
      <c r="E9" s="655"/>
      <c r="F9" s="2"/>
      <c r="G9" s="296"/>
      <c r="H9" s="2"/>
      <c r="I9" s="2"/>
      <c r="J9" s="2"/>
      <c r="K9" s="2"/>
      <c r="L9" s="2"/>
      <c r="M9" s="2"/>
      <c r="N9" s="2"/>
      <c r="O9" s="2"/>
      <c r="P9" s="2"/>
    </row>
    <row r="10" spans="1:16" ht="15.75">
      <c r="A10" s="693">
        <f t="shared" si="0"/>
        <v>7</v>
      </c>
      <c r="B10" s="654" t="s">
        <v>334</v>
      </c>
      <c r="C10" s="658"/>
      <c r="D10" s="653">
        <v>738968</v>
      </c>
      <c r="E10" s="1156"/>
      <c r="F10" s="202"/>
      <c r="G10" s="202"/>
      <c r="H10" s="1168"/>
      <c r="I10" s="2"/>
      <c r="J10" s="2"/>
      <c r="K10" s="2"/>
      <c r="L10" s="2"/>
      <c r="M10" s="2"/>
      <c r="N10" s="2"/>
      <c r="O10" s="2"/>
      <c r="P10" s="2"/>
    </row>
    <row r="11" spans="1:16" ht="47.25">
      <c r="A11" s="693">
        <f t="shared" si="0"/>
        <v>8</v>
      </c>
      <c r="B11" s="658" t="s">
        <v>698</v>
      </c>
      <c r="C11" s="658"/>
      <c r="D11" s="902">
        <f>C58+C59+C60</f>
        <v>768875</v>
      </c>
      <c r="E11" s="655"/>
      <c r="F11" s="924"/>
      <c r="G11" s="570"/>
      <c r="H11" s="202"/>
      <c r="I11" s="2"/>
      <c r="J11" s="2"/>
      <c r="K11" s="2"/>
      <c r="L11" s="2"/>
      <c r="M11" s="2"/>
      <c r="N11" s="2"/>
      <c r="O11" s="2"/>
      <c r="P11" s="2"/>
    </row>
    <row r="12" spans="1:16" ht="15.75">
      <c r="A12" s="693">
        <f t="shared" si="0"/>
        <v>9</v>
      </c>
      <c r="B12" s="652" t="s">
        <v>203</v>
      </c>
      <c r="C12" s="658"/>
      <c r="D12" s="653">
        <f>C56</f>
        <v>0</v>
      </c>
      <c r="E12" s="655"/>
      <c r="F12" s="924"/>
      <c r="G12" s="294"/>
      <c r="H12" s="2"/>
      <c r="I12" s="2"/>
      <c r="J12" s="2"/>
      <c r="K12" s="2"/>
      <c r="L12" s="2"/>
      <c r="M12" s="2"/>
      <c r="N12" s="2"/>
      <c r="O12" s="2"/>
      <c r="P12" s="2"/>
    </row>
    <row r="13" spans="1:7" ht="15.75">
      <c r="A13" s="693">
        <f t="shared" si="0"/>
        <v>10</v>
      </c>
      <c r="B13" s="652" t="s">
        <v>699</v>
      </c>
      <c r="C13" s="659"/>
      <c r="D13" s="653">
        <v>0</v>
      </c>
      <c r="E13" s="655"/>
      <c r="F13" s="2"/>
      <c r="G13" s="295"/>
    </row>
    <row r="14" spans="1:7" ht="15.75">
      <c r="A14" s="693">
        <f t="shared" si="0"/>
        <v>11</v>
      </c>
      <c r="B14" s="652" t="s">
        <v>700</v>
      </c>
      <c r="C14" s="658"/>
      <c r="D14" s="653">
        <v>0</v>
      </c>
      <c r="E14" s="655"/>
      <c r="F14" s="2"/>
      <c r="G14" s="294"/>
    </row>
    <row r="15" spans="1:7" ht="15.75">
      <c r="A15" s="693">
        <f t="shared" si="0"/>
        <v>12</v>
      </c>
      <c r="B15" s="652" t="s">
        <v>701</v>
      </c>
      <c r="C15" s="181"/>
      <c r="D15" s="653">
        <v>0</v>
      </c>
      <c r="E15" s="655"/>
      <c r="F15" s="2"/>
      <c r="G15" s="296"/>
    </row>
    <row r="16" spans="1:6" ht="15.75">
      <c r="A16" s="693">
        <f t="shared" si="0"/>
        <v>13</v>
      </c>
      <c r="B16" s="652" t="s">
        <v>702</v>
      </c>
      <c r="C16" s="655"/>
      <c r="D16" s="653">
        <f>C57</f>
        <v>288000</v>
      </c>
      <c r="E16" s="655"/>
      <c r="F16" s="1014"/>
    </row>
    <row r="17" spans="1:5" ht="15.75">
      <c r="A17" s="693">
        <f t="shared" si="0"/>
        <v>14</v>
      </c>
      <c r="B17" s="652" t="s">
        <v>703</v>
      </c>
      <c r="C17" s="655"/>
      <c r="D17" s="653">
        <v>0</v>
      </c>
      <c r="E17" s="655"/>
    </row>
    <row r="18" spans="1:5" ht="15.75">
      <c r="A18" s="693"/>
      <c r="B18" s="652"/>
      <c r="C18" s="649"/>
      <c r="D18" s="660"/>
      <c r="E18" s="655"/>
    </row>
    <row r="19" spans="1:6" ht="15.75">
      <c r="A19" s="693">
        <f>A17+1</f>
        <v>15</v>
      </c>
      <c r="B19" s="652" t="s">
        <v>26</v>
      </c>
      <c r="C19" s="649" t="str">
        <f>"Sum Lines "&amp;A10&amp;" to "&amp;A17&amp;" + line "&amp;A4&amp;""</f>
        <v>Sum Lines 7 to 14 + line 3</v>
      </c>
      <c r="D19" s="323">
        <f>SUM(D10:D18)+D3</f>
        <v>1795843</v>
      </c>
      <c r="E19" s="655"/>
      <c r="F19" s="1014"/>
    </row>
    <row r="20" spans="1:5" ht="15.75">
      <c r="A20" s="693">
        <f t="shared" si="0"/>
        <v>16</v>
      </c>
      <c r="B20" s="857" t="s">
        <v>286</v>
      </c>
      <c r="C20" s="858" t="str">
        <f>" - line "&amp;A29&amp;""</f>
        <v> - line 23</v>
      </c>
      <c r="D20" s="859">
        <f>-D29</f>
        <v>0</v>
      </c>
      <c r="E20" s="655"/>
    </row>
    <row r="21" spans="1:6" ht="15.75">
      <c r="A21" s="693">
        <f t="shared" si="0"/>
        <v>17</v>
      </c>
      <c r="B21" s="181" t="s">
        <v>12</v>
      </c>
      <c r="C21" s="655" t="str">
        <f>"line "&amp;A19&amp;" + line "&amp;A20&amp;""</f>
        <v>line 15 + line 16</v>
      </c>
      <c r="D21" s="323">
        <f>+D19+D20</f>
        <v>1795843</v>
      </c>
      <c r="E21" s="655"/>
      <c r="F21" s="1015"/>
    </row>
    <row r="22" spans="1:5" ht="15.75">
      <c r="A22" s="655"/>
      <c r="B22" s="649"/>
      <c r="C22" s="655"/>
      <c r="D22" s="323"/>
      <c r="E22" s="655"/>
    </row>
    <row r="23" spans="1:5" ht="15.75">
      <c r="A23" s="655"/>
      <c r="B23" s="661"/>
      <c r="C23" s="649"/>
      <c r="D23" s="660"/>
      <c r="E23" s="655"/>
    </row>
    <row r="24" spans="1:7" ht="31.5">
      <c r="A24" s="693">
        <f>A21+1</f>
        <v>18</v>
      </c>
      <c r="B24" s="321" t="s">
        <v>287</v>
      </c>
      <c r="C24" s="321"/>
      <c r="D24" s="322">
        <f>+D3+D15+D17</f>
        <v>0</v>
      </c>
      <c r="E24" s="655"/>
      <c r="F24" s="324"/>
      <c r="G24" s="324"/>
    </row>
    <row r="25" spans="1:7" ht="15.75">
      <c r="A25" s="693">
        <f>A24+1</f>
        <v>19</v>
      </c>
      <c r="B25" s="321" t="s">
        <v>683</v>
      </c>
      <c r="C25" s="321"/>
      <c r="D25" s="903">
        <f>+'Appendix A'!G207*'3 - Revenue Credits'!D24</f>
        <v>0</v>
      </c>
      <c r="E25" s="655"/>
      <c r="F25" s="324"/>
      <c r="G25" s="324"/>
    </row>
    <row r="26" spans="1:17" ht="15.75">
      <c r="A26" s="693">
        <f>A25+1</f>
        <v>20</v>
      </c>
      <c r="B26" s="321" t="s">
        <v>685</v>
      </c>
      <c r="C26" s="321"/>
      <c r="D26" s="322">
        <f>(D24-D25)/2</f>
        <v>0</v>
      </c>
      <c r="E26" s="655"/>
      <c r="F26" s="324"/>
      <c r="G26" s="324"/>
      <c r="K26" s="269"/>
      <c r="L26" s="1236"/>
      <c r="M26" s="1236"/>
      <c r="N26" s="1236"/>
      <c r="O26" s="1236"/>
      <c r="P26" s="1236"/>
      <c r="Q26" s="1236"/>
    </row>
    <row r="27" spans="1:17" ht="63">
      <c r="A27" s="693">
        <f>+A26+1</f>
        <v>21</v>
      </c>
      <c r="B27" s="321" t="s">
        <v>682</v>
      </c>
      <c r="C27" s="809"/>
      <c r="D27" s="323">
        <v>0</v>
      </c>
      <c r="E27" s="655"/>
      <c r="F27" s="324"/>
      <c r="G27" s="324"/>
      <c r="K27" s="269"/>
      <c r="L27" s="269"/>
      <c r="M27" s="269"/>
      <c r="N27" s="269"/>
      <c r="O27" s="269"/>
      <c r="P27" s="269"/>
      <c r="Q27" s="269"/>
    </row>
    <row r="28" spans="1:17" ht="15.75">
      <c r="A28" s="693">
        <f>A27+1</f>
        <v>22</v>
      </c>
      <c r="B28" s="181" t="s">
        <v>684</v>
      </c>
      <c r="C28" s="655"/>
      <c r="D28" s="323">
        <f>+D26+D27</f>
        <v>0</v>
      </c>
      <c r="E28" s="655"/>
      <c r="F28" s="324"/>
      <c r="G28" s="324"/>
      <c r="K28" s="269"/>
      <c r="L28" s="1079"/>
      <c r="M28" s="269"/>
      <c r="N28" s="269"/>
      <c r="O28" s="1036"/>
      <c r="P28" s="269"/>
      <c r="Q28" s="1076"/>
    </row>
    <row r="29" spans="1:17" ht="15.75">
      <c r="A29" s="693">
        <f>A28+1</f>
        <v>23</v>
      </c>
      <c r="B29" s="321" t="s">
        <v>686</v>
      </c>
      <c r="C29" s="649"/>
      <c r="D29" s="323">
        <f>+D24-D28</f>
        <v>0</v>
      </c>
      <c r="E29" s="694"/>
      <c r="K29" s="269"/>
      <c r="L29" s="1037"/>
      <c r="M29" s="269"/>
      <c r="N29" s="1036"/>
      <c r="O29" s="269"/>
      <c r="P29" s="269"/>
      <c r="Q29" s="1076"/>
    </row>
    <row r="30" spans="1:17" ht="12.75">
      <c r="A30" s="2"/>
      <c r="B30" s="2"/>
      <c r="D30" s="282"/>
      <c r="E30" s="200"/>
      <c r="K30" s="269"/>
      <c r="L30" s="1037"/>
      <c r="M30" s="269"/>
      <c r="N30" s="1036"/>
      <c r="O30" s="269"/>
      <c r="P30" s="269"/>
      <c r="Q30" s="1076"/>
    </row>
    <row r="31" spans="1:17" s="277" customFormat="1" ht="15.75" customHeight="1">
      <c r="A31" s="2"/>
      <c r="B31" s="202"/>
      <c r="C31" s="202"/>
      <c r="D31" s="423"/>
      <c r="E31" s="293"/>
      <c r="K31" s="269"/>
      <c r="L31" s="1037"/>
      <c r="M31" s="269"/>
      <c r="N31" s="1036"/>
      <c r="O31" s="269"/>
      <c r="P31" s="1080"/>
      <c r="Q31" s="1076"/>
    </row>
    <row r="32" spans="1:17" ht="37.5" customHeight="1">
      <c r="A32" s="337" t="s">
        <v>262</v>
      </c>
      <c r="B32" s="1238" t="s">
        <v>162</v>
      </c>
      <c r="C32" s="1237"/>
      <c r="D32" s="1237"/>
      <c r="E32" s="2"/>
      <c r="K32" s="269"/>
      <c r="L32" s="1037"/>
      <c r="M32" s="269"/>
      <c r="N32" s="1036"/>
      <c r="O32" s="269"/>
      <c r="P32" s="269"/>
      <c r="Q32" s="1076"/>
    </row>
    <row r="33" spans="1:17" ht="39.75" customHeight="1">
      <c r="A33" s="337" t="s">
        <v>257</v>
      </c>
      <c r="B33" s="1239" t="s">
        <v>163</v>
      </c>
      <c r="C33" s="1237"/>
      <c r="D33" s="1237"/>
      <c r="E33" s="2"/>
      <c r="K33" s="269"/>
      <c r="L33" s="1037"/>
      <c r="M33" s="269"/>
      <c r="N33" s="1036"/>
      <c r="O33" s="269"/>
      <c r="P33" s="269"/>
      <c r="Q33" s="1076"/>
    </row>
    <row r="34" spans="1:17" ht="104.25" customHeight="1">
      <c r="A34" s="330" t="s">
        <v>256</v>
      </c>
      <c r="B34" s="1240" t="s">
        <v>164</v>
      </c>
      <c r="C34" s="1237"/>
      <c r="D34" s="1237"/>
      <c r="E34" s="321"/>
      <c r="F34" s="324"/>
      <c r="G34" s="324"/>
      <c r="K34" s="269"/>
      <c r="L34" s="1037"/>
      <c r="M34" s="269"/>
      <c r="N34" s="1036"/>
      <c r="O34" s="269"/>
      <c r="P34" s="269"/>
      <c r="Q34" s="1076"/>
    </row>
    <row r="35" spans="1:17" ht="37.5" customHeight="1">
      <c r="A35" s="414" t="s">
        <v>285</v>
      </c>
      <c r="B35" s="1239" t="s">
        <v>165</v>
      </c>
      <c r="C35" s="1237"/>
      <c r="D35" s="1237"/>
      <c r="E35" s="291"/>
      <c r="K35" s="269"/>
      <c r="L35" s="1037"/>
      <c r="M35" s="269"/>
      <c r="N35" s="1036"/>
      <c r="O35" s="269"/>
      <c r="P35" s="269"/>
      <c r="Q35" s="1076"/>
    </row>
    <row r="36" spans="1:17" ht="25.5" customHeight="1">
      <c r="A36" s="330" t="s">
        <v>204</v>
      </c>
      <c r="B36" s="1237" t="s">
        <v>205</v>
      </c>
      <c r="C36" s="1237"/>
      <c r="D36" s="1237"/>
      <c r="E36" s="2"/>
      <c r="J36" s="642"/>
      <c r="K36" s="269"/>
      <c r="L36" s="1037"/>
      <c r="M36" s="269"/>
      <c r="N36" s="1036"/>
      <c r="O36" s="269"/>
      <c r="P36" s="269"/>
      <c r="Q36" s="1077"/>
    </row>
    <row r="37" spans="1:17" ht="24.75" customHeight="1">
      <c r="A37" s="330" t="s">
        <v>206</v>
      </c>
      <c r="B37" s="1237" t="s">
        <v>166</v>
      </c>
      <c r="C37" s="1237"/>
      <c r="D37" s="1237"/>
      <c r="J37" s="642"/>
      <c r="K37" s="269"/>
      <c r="L37" s="1037"/>
      <c r="M37" s="269"/>
      <c r="N37" s="1036"/>
      <c r="O37" s="269"/>
      <c r="P37" s="269"/>
      <c r="Q37" s="1081"/>
    </row>
    <row r="38" spans="1:17" s="277" customFormat="1" ht="24" customHeight="1">
      <c r="A38" s="330" t="s">
        <v>207</v>
      </c>
      <c r="B38" s="1238" t="s">
        <v>389</v>
      </c>
      <c r="C38" s="1237"/>
      <c r="D38" s="1237"/>
      <c r="J38" s="1038"/>
      <c r="K38" s="269"/>
      <c r="L38" s="1035"/>
      <c r="M38" s="269"/>
      <c r="N38" s="1036"/>
      <c r="O38" s="269"/>
      <c r="P38" s="1080"/>
      <c r="Q38" s="1076"/>
    </row>
    <row r="39" spans="1:17" ht="12.75">
      <c r="A39" s="2"/>
      <c r="B39" s="202"/>
      <c r="K39" s="269"/>
      <c r="L39" s="1035"/>
      <c r="M39" s="269"/>
      <c r="N39" s="1036"/>
      <c r="O39" s="269"/>
      <c r="P39" s="269"/>
      <c r="Q39" s="1076"/>
    </row>
    <row r="40" spans="1:17" ht="12.75">
      <c r="A40" s="2" t="s">
        <v>688</v>
      </c>
      <c r="B40" s="2" t="s">
        <v>689</v>
      </c>
      <c r="C40" s="2"/>
      <c r="D40" s="690"/>
      <c r="I40" s="1109"/>
      <c r="K40" s="269"/>
      <c r="L40" s="1035"/>
      <c r="M40" s="269"/>
      <c r="N40" s="1036"/>
      <c r="O40" s="269"/>
      <c r="P40" s="269"/>
      <c r="Q40" s="1076"/>
    </row>
    <row r="41" spans="1:17" ht="12.75">
      <c r="A41" s="2"/>
      <c r="B41" s="2" t="s">
        <v>259</v>
      </c>
      <c r="C41" s="319" t="s">
        <v>691</v>
      </c>
      <c r="D41" s="305" t="s">
        <v>692</v>
      </c>
      <c r="E41" s="2"/>
      <c r="F41" s="279"/>
      <c r="G41" s="279"/>
      <c r="H41" s="279"/>
      <c r="I41" s="818"/>
      <c r="J41" s="1169"/>
      <c r="K41" s="269"/>
      <c r="L41" s="1035"/>
      <c r="M41" s="269"/>
      <c r="N41" s="1036"/>
      <c r="O41" s="269"/>
      <c r="P41" s="269"/>
      <c r="Q41" s="1081"/>
    </row>
    <row r="42" spans="1:17" ht="12.75">
      <c r="A42" s="2"/>
      <c r="B42" s="691" t="s">
        <v>361</v>
      </c>
      <c r="C42" s="708">
        <v>0</v>
      </c>
      <c r="D42" s="708">
        <v>9081546</v>
      </c>
      <c r="E42" s="818"/>
      <c r="F42" s="202"/>
      <c r="G42" s="202"/>
      <c r="H42" s="202"/>
      <c r="I42" s="818"/>
      <c r="J42" s="2"/>
      <c r="K42" s="269"/>
      <c r="L42" s="1035"/>
      <c r="M42" s="269"/>
      <c r="N42" s="1036"/>
      <c r="O42" s="269"/>
      <c r="P42" s="269"/>
      <c r="Q42" s="1076"/>
    </row>
    <row r="43" spans="1:17" ht="12.75">
      <c r="A43" s="2"/>
      <c r="B43" s="691" t="s">
        <v>105</v>
      </c>
      <c r="C43" s="708">
        <v>0</v>
      </c>
      <c r="D43" s="708">
        <v>0</v>
      </c>
      <c r="E43" s="2"/>
      <c r="F43" s="202"/>
      <c r="G43" s="202"/>
      <c r="H43" s="202"/>
      <c r="I43" s="818"/>
      <c r="J43" s="2"/>
      <c r="K43" s="269"/>
      <c r="L43" s="1035"/>
      <c r="M43" s="269"/>
      <c r="N43" s="1036"/>
      <c r="O43" s="269"/>
      <c r="P43" s="269"/>
      <c r="Q43" s="1076"/>
    </row>
    <row r="44" spans="1:17" ht="12.75">
      <c r="A44" s="2"/>
      <c r="B44" s="691" t="s">
        <v>362</v>
      </c>
      <c r="C44" s="708">
        <v>0</v>
      </c>
      <c r="D44" s="708">
        <v>0</v>
      </c>
      <c r="E44" s="2"/>
      <c r="F44" s="202"/>
      <c r="G44" s="202"/>
      <c r="H44" s="202"/>
      <c r="I44" s="2"/>
      <c r="J44" s="2"/>
      <c r="K44" s="269"/>
      <c r="L44" s="1035"/>
      <c r="M44" s="269"/>
      <c r="N44" s="1036"/>
      <c r="O44" s="269"/>
      <c r="P44" s="269"/>
      <c r="Q44" s="1076"/>
    </row>
    <row r="45" spans="1:17" ht="12.75">
      <c r="A45" s="2"/>
      <c r="B45" s="214" t="s">
        <v>846</v>
      </c>
      <c r="C45" s="913">
        <v>0</v>
      </c>
      <c r="D45" s="913">
        <v>0</v>
      </c>
      <c r="E45" s="2"/>
      <c r="F45" s="202"/>
      <c r="G45" s="202"/>
      <c r="H45" s="202"/>
      <c r="I45" s="2"/>
      <c r="J45" s="2"/>
      <c r="K45" s="269"/>
      <c r="L45" s="1035"/>
      <c r="M45" s="269"/>
      <c r="N45" s="1036"/>
      <c r="O45" s="269"/>
      <c r="P45" s="269"/>
      <c r="Q45" s="1076"/>
    </row>
    <row r="46" spans="1:17" ht="12.75">
      <c r="A46" s="2"/>
      <c r="B46" s="691" t="s">
        <v>365</v>
      </c>
      <c r="C46" s="708">
        <v>0</v>
      </c>
      <c r="D46" s="708">
        <v>0</v>
      </c>
      <c r="E46" s="2"/>
      <c r="F46" s="202"/>
      <c r="G46" s="202"/>
      <c r="H46" s="202"/>
      <c r="I46" s="2"/>
      <c r="J46" s="2"/>
      <c r="K46" s="269"/>
      <c r="L46" s="1035"/>
      <c r="M46" s="269"/>
      <c r="N46" s="1036"/>
      <c r="O46" s="269"/>
      <c r="P46" s="269"/>
      <c r="Q46" s="1076"/>
    </row>
    <row r="47" spans="1:17" ht="12.75">
      <c r="A47" s="2"/>
      <c r="B47" s="691" t="s">
        <v>366</v>
      </c>
      <c r="C47" s="708">
        <v>0</v>
      </c>
      <c r="D47" s="708">
        <v>0</v>
      </c>
      <c r="E47" s="2"/>
      <c r="F47" s="202"/>
      <c r="G47" s="202"/>
      <c r="H47" s="202"/>
      <c r="I47" s="2"/>
      <c r="J47" s="2"/>
      <c r="K47" s="269"/>
      <c r="L47" s="1035"/>
      <c r="M47" s="269"/>
      <c r="N47" s="1036"/>
      <c r="O47" s="269"/>
      <c r="P47" s="269"/>
      <c r="Q47" s="1078"/>
    </row>
    <row r="48" spans="1:17" ht="12.75">
      <c r="A48" s="2"/>
      <c r="B48" s="214" t="s">
        <v>233</v>
      </c>
      <c r="C48" s="708">
        <v>0</v>
      </c>
      <c r="D48" s="708"/>
      <c r="E48" s="2"/>
      <c r="F48" s="924"/>
      <c r="G48" s="202"/>
      <c r="H48" s="202"/>
      <c r="I48" s="2"/>
      <c r="J48" s="2"/>
      <c r="K48" s="269"/>
      <c r="L48" s="1035"/>
      <c r="M48" s="269"/>
      <c r="N48" s="1036"/>
      <c r="O48" s="269"/>
      <c r="P48" s="269"/>
      <c r="Q48" s="1078"/>
    </row>
    <row r="49" spans="1:17" ht="12.75">
      <c r="A49" s="2"/>
      <c r="B49" s="947" t="s">
        <v>848</v>
      </c>
      <c r="C49" s="788">
        <v>0</v>
      </c>
      <c r="D49" s="788">
        <v>1451673</v>
      </c>
      <c r="E49" s="1156"/>
      <c r="F49" s="924"/>
      <c r="G49" s="1195"/>
      <c r="H49" s="202"/>
      <c r="I49" s="2"/>
      <c r="J49" s="2"/>
      <c r="K49" s="2"/>
      <c r="L49" s="1035"/>
      <c r="M49" s="269"/>
      <c r="N49" s="1036"/>
      <c r="O49" s="269"/>
      <c r="P49" s="269"/>
      <c r="Q49" s="1081"/>
    </row>
    <row r="50" spans="1:17" ht="12.75">
      <c r="A50" s="2"/>
      <c r="B50" s="691" t="s">
        <v>458</v>
      </c>
      <c r="C50" s="708">
        <f>SUM(C42:C49)</f>
        <v>0</v>
      </c>
      <c r="D50" s="708">
        <f>SUM(D42:D49)</f>
        <v>10533219</v>
      </c>
      <c r="E50" s="1156"/>
      <c r="F50" s="202"/>
      <c r="G50" s="2"/>
      <c r="H50" s="2"/>
      <c r="I50" s="2"/>
      <c r="J50" s="2"/>
      <c r="K50" s="2"/>
      <c r="L50" s="269"/>
      <c r="M50" s="269"/>
      <c r="N50" s="269"/>
      <c r="O50" s="269"/>
      <c r="P50" s="269"/>
      <c r="Q50" s="269"/>
    </row>
    <row r="51" spans="1:17" ht="12.75">
      <c r="A51" s="2"/>
      <c r="B51" s="691"/>
      <c r="C51" s="708"/>
      <c r="D51" s="692"/>
      <c r="E51" s="2"/>
      <c r="F51" s="1110"/>
      <c r="G51" s="1111"/>
      <c r="H51" s="269"/>
      <c r="I51" s="2"/>
      <c r="J51" s="2"/>
      <c r="K51" s="269"/>
      <c r="L51" s="269"/>
      <c r="M51" s="269"/>
      <c r="N51" s="269"/>
      <c r="O51" s="269"/>
      <c r="P51" s="269"/>
      <c r="Q51" s="269"/>
    </row>
    <row r="52" spans="1:17" ht="12.75">
      <c r="A52" s="2"/>
      <c r="B52" s="691" t="s">
        <v>693</v>
      </c>
      <c r="C52" s="336" t="str">
        <f>+C41</f>
        <v>Include</v>
      </c>
      <c r="D52" s="336" t="str">
        <f>+D41</f>
        <v>Exclude</v>
      </c>
      <c r="E52" s="2"/>
      <c r="F52" s="2"/>
      <c r="G52" s="2"/>
      <c r="H52" s="2"/>
      <c r="I52" s="2"/>
      <c r="J52" s="2"/>
      <c r="K52" s="269"/>
      <c r="L52" s="269"/>
      <c r="M52" s="269"/>
      <c r="N52" s="269"/>
      <c r="O52" s="269"/>
      <c r="P52" s="269"/>
      <c r="Q52" s="269"/>
    </row>
    <row r="53" spans="1:17" ht="12.75">
      <c r="A53" s="2"/>
      <c r="B53" s="214" t="s">
        <v>839</v>
      </c>
      <c r="C53" s="708">
        <v>0</v>
      </c>
      <c r="D53" s="914">
        <v>85465975</v>
      </c>
      <c r="E53" s="1156"/>
      <c r="F53" s="2"/>
      <c r="H53" s="2"/>
      <c r="I53" s="1021"/>
      <c r="J53" s="1013"/>
      <c r="K53" s="1236"/>
      <c r="L53" s="1236"/>
      <c r="M53" s="1236"/>
      <c r="N53" s="1236"/>
      <c r="O53" s="1236"/>
      <c r="P53" s="1236"/>
      <c r="Q53" s="269"/>
    </row>
    <row r="54" spans="1:17" ht="12.75">
      <c r="A54" s="2"/>
      <c r="B54" s="214" t="s">
        <v>868</v>
      </c>
      <c r="C54" s="708">
        <v>0</v>
      </c>
      <c r="D54" s="914">
        <v>3543678</v>
      </c>
      <c r="E54" s="1156"/>
      <c r="F54" s="1156"/>
      <c r="H54" s="1156"/>
      <c r="I54" s="1156"/>
      <c r="J54" s="1013"/>
      <c r="K54" s="269"/>
      <c r="L54" s="1035"/>
      <c r="M54" s="269"/>
      <c r="N54" s="1036"/>
      <c r="O54" s="269"/>
      <c r="P54" s="1076"/>
      <c r="Q54" s="269"/>
    </row>
    <row r="55" spans="1:17" ht="12.75">
      <c r="A55" s="2"/>
      <c r="B55" s="691" t="s">
        <v>369</v>
      </c>
      <c r="C55" s="708">
        <v>0</v>
      </c>
      <c r="D55" s="914">
        <v>0</v>
      </c>
      <c r="E55" s="670"/>
      <c r="F55" s="202"/>
      <c r="H55" s="2"/>
      <c r="I55" s="2"/>
      <c r="J55" s="2"/>
      <c r="K55" s="269"/>
      <c r="L55" s="1035"/>
      <c r="M55" s="269"/>
      <c r="N55" s="1036"/>
      <c r="O55" s="269"/>
      <c r="P55" s="1078"/>
      <c r="Q55" s="269"/>
    </row>
    <row r="56" spans="1:17" ht="12.75">
      <c r="A56" s="2"/>
      <c r="B56" s="1136" t="s">
        <v>111</v>
      </c>
      <c r="C56" s="708">
        <v>0</v>
      </c>
      <c r="D56" s="1137">
        <v>0</v>
      </c>
      <c r="E56" s="1156"/>
      <c r="F56" s="2"/>
      <c r="H56" s="2"/>
      <c r="I56" s="202"/>
      <c r="J56" s="2"/>
      <c r="K56" s="2"/>
      <c r="L56" s="2"/>
      <c r="M56" s="2"/>
      <c r="N56" s="1036"/>
      <c r="O56" s="269"/>
      <c r="P56" s="1078"/>
      <c r="Q56" s="269"/>
    </row>
    <row r="57" spans="1:17" ht="12.75">
      <c r="A57" s="2"/>
      <c r="B57" s="1138" t="s">
        <v>260</v>
      </c>
      <c r="C57" s="708">
        <v>288000</v>
      </c>
      <c r="D57" s="1137">
        <v>0</v>
      </c>
      <c r="E57" s="1156"/>
      <c r="F57" s="2"/>
      <c r="H57" s="2"/>
      <c r="I57" s="202"/>
      <c r="J57" s="2"/>
      <c r="K57" s="2"/>
      <c r="L57" s="2"/>
      <c r="M57" s="2"/>
      <c r="N57" s="1036"/>
      <c r="O57" s="269"/>
      <c r="P57" s="1076"/>
      <c r="Q57" s="269"/>
    </row>
    <row r="58" spans="1:17" ht="12.75">
      <c r="A58" s="2"/>
      <c r="B58" s="1136" t="s">
        <v>112</v>
      </c>
      <c r="C58" s="708">
        <v>767815</v>
      </c>
      <c r="D58" s="1137">
        <v>0</v>
      </c>
      <c r="E58" s="1156"/>
      <c r="F58" s="2"/>
      <c r="H58" s="2"/>
      <c r="I58" s="2"/>
      <c r="J58" s="2"/>
      <c r="K58" s="269"/>
      <c r="L58" s="1035"/>
      <c r="M58" s="269"/>
      <c r="N58" s="1036"/>
      <c r="O58" s="269"/>
      <c r="P58" s="1076"/>
      <c r="Q58" s="269"/>
    </row>
    <row r="59" spans="1:17" ht="12.75">
      <c r="A59" s="2"/>
      <c r="B59" s="1138" t="s">
        <v>261</v>
      </c>
      <c r="C59" s="708">
        <v>1060</v>
      </c>
      <c r="D59" s="1137">
        <v>0</v>
      </c>
      <c r="E59" s="1156"/>
      <c r="F59" s="2"/>
      <c r="H59" s="2"/>
      <c r="I59" s="2"/>
      <c r="J59" s="2"/>
      <c r="K59" s="269"/>
      <c r="L59" s="1035"/>
      <c r="M59" s="269"/>
      <c r="N59" s="1036"/>
      <c r="O59" s="269"/>
      <c r="P59" s="1078"/>
      <c r="Q59" s="269"/>
    </row>
    <row r="60" spans="1:17" ht="12.75">
      <c r="A60" s="2"/>
      <c r="B60" s="1136" t="s">
        <v>690</v>
      </c>
      <c r="C60" s="1139"/>
      <c r="D60" s="1140"/>
      <c r="E60" s="2"/>
      <c r="F60" s="670"/>
      <c r="G60" s="202"/>
      <c r="H60" s="2"/>
      <c r="I60" s="2"/>
      <c r="J60" s="2"/>
      <c r="K60" s="269"/>
      <c r="L60" s="1035"/>
      <c r="M60" s="269"/>
      <c r="N60" s="1036"/>
      <c r="O60" s="269"/>
      <c r="P60" s="1078"/>
      <c r="Q60" s="269"/>
    </row>
    <row r="61" spans="1:17" ht="12.75">
      <c r="A61" s="2"/>
      <c r="B61" s="960" t="s">
        <v>690</v>
      </c>
      <c r="C61" s="961"/>
      <c r="D61" s="962"/>
      <c r="E61" s="2"/>
      <c r="F61" s="670"/>
      <c r="G61" s="202"/>
      <c r="H61" s="2"/>
      <c r="I61" s="1021"/>
      <c r="J61" s="1013"/>
      <c r="K61" s="269"/>
      <c r="L61" s="1035"/>
      <c r="M61" s="269"/>
      <c r="N61" s="1036"/>
      <c r="O61" s="269"/>
      <c r="P61" s="1078"/>
      <c r="Q61" s="269"/>
    </row>
    <row r="62" spans="1:17" ht="12.75">
      <c r="A62" s="2"/>
      <c r="B62" s="960" t="s">
        <v>690</v>
      </c>
      <c r="C62" s="961"/>
      <c r="D62" s="962"/>
      <c r="E62" s="2"/>
      <c r="F62" s="2"/>
      <c r="G62" s="202"/>
      <c r="H62" s="2"/>
      <c r="I62" s="915"/>
      <c r="J62" s="2"/>
      <c r="K62" s="269"/>
      <c r="L62" s="1035"/>
      <c r="M62" s="269"/>
      <c r="N62" s="1036"/>
      <c r="O62" s="269"/>
      <c r="P62" s="1078"/>
      <c r="Q62" s="269"/>
    </row>
    <row r="63" spans="1:17" ht="12.75">
      <c r="A63" s="2"/>
      <c r="B63" s="787" t="s">
        <v>690</v>
      </c>
      <c r="C63" s="788"/>
      <c r="D63" s="789"/>
      <c r="E63" s="2"/>
      <c r="F63" s="2"/>
      <c r="G63" s="202"/>
      <c r="H63" s="2"/>
      <c r="I63" s="1083"/>
      <c r="J63" s="2"/>
      <c r="K63" s="269"/>
      <c r="L63" s="1035"/>
      <c r="M63" s="269"/>
      <c r="N63" s="1036"/>
      <c r="O63" s="269"/>
      <c r="P63" s="1076"/>
      <c r="Q63" s="269"/>
    </row>
    <row r="64" spans="1:17" ht="12.75">
      <c r="A64" s="2"/>
      <c r="B64" s="691" t="s">
        <v>458</v>
      </c>
      <c r="C64" s="708">
        <f>SUM(C53:C63)</f>
        <v>1056875</v>
      </c>
      <c r="D64" s="708">
        <f>SUM(D53:D63)</f>
        <v>89009653</v>
      </c>
      <c r="E64" s="2"/>
      <c r="F64" s="1170"/>
      <c r="G64" s="1156"/>
      <c r="H64" s="2"/>
      <c r="I64" s="1156"/>
      <c r="J64" s="1156"/>
      <c r="K64" s="269"/>
      <c r="L64" s="1035"/>
      <c r="M64" s="269"/>
      <c r="N64" s="1036"/>
      <c r="O64" s="269"/>
      <c r="P64" s="1078"/>
      <c r="Q64" s="269"/>
    </row>
    <row r="65" spans="6:17" ht="12.75">
      <c r="F65" s="1195"/>
      <c r="K65" s="269"/>
      <c r="L65" s="1035"/>
      <c r="M65" s="269"/>
      <c r="N65" s="1036"/>
      <c r="O65" s="269"/>
      <c r="P65" s="1081"/>
      <c r="Q65" s="269"/>
    </row>
    <row r="66" spans="6:17" ht="12.75">
      <c r="F66" s="642"/>
      <c r="G66" s="1109"/>
      <c r="I66" s="280"/>
      <c r="K66" s="269"/>
      <c r="L66" s="269"/>
      <c r="M66" s="269"/>
      <c r="N66" s="269"/>
      <c r="O66" s="269"/>
      <c r="P66" s="269"/>
      <c r="Q66" s="269"/>
    </row>
    <row r="67" spans="2:17" ht="12.75">
      <c r="B67" s="331"/>
      <c r="D67" s="1043"/>
      <c r="E67" s="1042"/>
      <c r="G67" s="642"/>
      <c r="K67" s="269"/>
      <c r="L67" s="269"/>
      <c r="M67" s="269"/>
      <c r="N67" s="269"/>
      <c r="O67" s="269"/>
      <c r="P67" s="269"/>
      <c r="Q67" s="269"/>
    </row>
    <row r="68" spans="2:17" ht="12.75">
      <c r="B68" s="331"/>
      <c r="C68" s="1082"/>
      <c r="D68" s="1041"/>
      <c r="E68" s="269"/>
      <c r="G68" s="269"/>
      <c r="H68" s="269"/>
      <c r="I68" s="269"/>
      <c r="J68" s="269"/>
      <c r="K68" s="269"/>
      <c r="L68" s="269"/>
      <c r="M68" s="269"/>
      <c r="N68" s="269"/>
      <c r="O68" s="269"/>
      <c r="P68" s="269"/>
      <c r="Q68" s="269"/>
    </row>
    <row r="69" spans="2:17" ht="12.75">
      <c r="B69" s="331"/>
      <c r="C69" s="269"/>
      <c r="D69" s="1041"/>
      <c r="E69" s="269"/>
      <c r="F69" s="269"/>
      <c r="G69" s="269"/>
      <c r="H69" s="269"/>
      <c r="I69" s="269"/>
      <c r="J69" s="269"/>
      <c r="K69" s="269"/>
      <c r="L69" s="269"/>
      <c r="M69" s="269"/>
      <c r="N69" s="269"/>
      <c r="O69" s="269"/>
      <c r="P69" s="269"/>
      <c r="Q69" s="269"/>
    </row>
    <row r="70" spans="2:17" ht="12.75">
      <c r="B70" s="331"/>
      <c r="C70" s="1083"/>
      <c r="D70" s="1040"/>
      <c r="E70" s="269"/>
      <c r="F70" s="1083"/>
      <c r="G70" s="269"/>
      <c r="H70" s="269"/>
      <c r="I70" s="269"/>
      <c r="J70" s="269"/>
      <c r="K70" s="269"/>
      <c r="L70" s="269"/>
      <c r="M70" s="269"/>
      <c r="N70" s="269"/>
      <c r="O70" s="269"/>
      <c r="P70" s="269"/>
      <c r="Q70" s="269"/>
    </row>
    <row r="71" spans="2:17" ht="12.75">
      <c r="B71" s="331"/>
      <c r="C71" s="331"/>
      <c r="D71" s="1084"/>
      <c r="E71" s="269"/>
      <c r="F71" s="1083"/>
      <c r="G71" s="269"/>
      <c r="H71" s="269"/>
      <c r="I71" s="269"/>
      <c r="J71" s="269"/>
      <c r="K71" s="269"/>
      <c r="L71" s="269"/>
      <c r="M71" s="269"/>
      <c r="N71" s="269"/>
      <c r="O71" s="269"/>
      <c r="P71" s="269"/>
      <c r="Q71" s="269"/>
    </row>
    <row r="72" spans="2:17" ht="12.75">
      <c r="B72" s="331"/>
      <c r="C72" s="331"/>
      <c r="D72" s="331"/>
      <c r="E72" s="269"/>
      <c r="F72" s="1083"/>
      <c r="G72" s="269"/>
      <c r="H72" s="269"/>
      <c r="I72" s="269"/>
      <c r="J72" s="269"/>
      <c r="K72" s="269"/>
      <c r="L72" s="269"/>
      <c r="M72" s="269"/>
      <c r="N72" s="269"/>
      <c r="O72" s="269"/>
      <c r="P72" s="269"/>
      <c r="Q72" s="269"/>
    </row>
    <row r="73" spans="2:17" ht="12.75">
      <c r="B73" s="331"/>
      <c r="C73" s="459"/>
      <c r="D73" s="1041"/>
      <c r="E73" s="269"/>
      <c r="F73" s="269"/>
      <c r="G73" s="269"/>
      <c r="H73" s="269"/>
      <c r="I73" s="269"/>
      <c r="J73" s="269"/>
      <c r="K73" s="269"/>
      <c r="L73" s="269"/>
      <c r="M73" s="269"/>
      <c r="N73" s="269"/>
      <c r="O73" s="269"/>
      <c r="P73" s="269"/>
      <c r="Q73" s="269"/>
    </row>
    <row r="74" spans="2:12" ht="12.75">
      <c r="B74" s="331"/>
      <c r="C74" s="331"/>
      <c r="D74" s="1041"/>
      <c r="E74" s="269"/>
      <c r="F74" s="269"/>
      <c r="G74" s="269"/>
      <c r="H74" s="269"/>
      <c r="I74" s="269"/>
      <c r="J74" s="269"/>
      <c r="K74" s="269"/>
      <c r="L74" s="269"/>
    </row>
    <row r="75" spans="2:10" ht="12.75">
      <c r="B75" s="331"/>
      <c r="C75" s="331"/>
      <c r="D75" s="1041"/>
      <c r="E75" s="269"/>
      <c r="F75" s="269"/>
      <c r="G75" s="269"/>
      <c r="H75" s="2"/>
      <c r="I75" s="2"/>
      <c r="J75" s="2"/>
    </row>
    <row r="76" spans="2:10" ht="12.75">
      <c r="B76" s="331"/>
      <c r="C76" s="331"/>
      <c r="D76" s="1041"/>
      <c r="E76" s="269"/>
      <c r="F76" s="269"/>
      <c r="G76" s="269"/>
      <c r="H76" s="2"/>
      <c r="I76" s="2"/>
      <c r="J76" s="2"/>
    </row>
    <row r="77" spans="2:7" ht="12.75">
      <c r="B77" s="331"/>
      <c r="C77" s="331"/>
      <c r="D77" s="331"/>
      <c r="E77" s="1034"/>
      <c r="F77" s="1034"/>
      <c r="G77" s="1034"/>
    </row>
    <row r="78" spans="2:7" ht="12.75">
      <c r="B78" s="269"/>
      <c r="C78" s="1071"/>
      <c r="D78" s="1040"/>
      <c r="E78" s="1034"/>
      <c r="F78" s="1034"/>
      <c r="G78" s="1034"/>
    </row>
    <row r="79" spans="2:7" ht="12.75">
      <c r="B79" s="1034"/>
      <c r="C79" s="1072"/>
      <c r="D79" s="1073"/>
      <c r="E79" s="1034"/>
      <c r="F79" s="1034"/>
      <c r="G79" s="1034"/>
    </row>
    <row r="80" spans="2:7" ht="12.75">
      <c r="B80" s="1034"/>
      <c r="C80" s="1072"/>
      <c r="D80" s="1073"/>
      <c r="E80" s="1034"/>
      <c r="F80" s="1034"/>
      <c r="G80" s="1034"/>
    </row>
    <row r="81" spans="2:7" ht="12.75">
      <c r="B81" s="1034"/>
      <c r="C81" s="1072"/>
      <c r="D81" s="1073"/>
      <c r="E81" s="1034"/>
      <c r="F81" s="1034"/>
      <c r="G81" s="1034"/>
    </row>
    <row r="82" spans="2:7" ht="12.75">
      <c r="B82" s="1034"/>
      <c r="C82" s="1072"/>
      <c r="D82" s="1073"/>
      <c r="E82" s="1034"/>
      <c r="F82" s="1034"/>
      <c r="G82" s="1034"/>
    </row>
    <row r="83" spans="2:7" ht="12.75">
      <c r="B83" s="1034"/>
      <c r="C83" s="1074"/>
      <c r="D83" s="1075"/>
      <c r="E83" s="1034"/>
      <c r="F83" s="1034"/>
      <c r="G83" s="1034"/>
    </row>
    <row r="84" spans="2:7" ht="12.75">
      <c r="B84" s="1034"/>
      <c r="C84" s="269"/>
      <c r="D84" s="1040"/>
      <c r="E84" s="1034"/>
      <c r="F84" s="1034"/>
      <c r="G84" s="1034"/>
    </row>
    <row r="85" spans="2:7" ht="12.75">
      <c r="B85" s="1034"/>
      <c r="C85" s="1034"/>
      <c r="D85" s="282"/>
      <c r="E85" s="1034"/>
      <c r="F85" s="1034"/>
      <c r="G85" s="1034"/>
    </row>
    <row r="86" spans="2:7" ht="12.75">
      <c r="B86" s="1034"/>
      <c r="C86" s="1034"/>
      <c r="D86" s="282"/>
      <c r="E86" s="1034"/>
      <c r="F86" s="1034"/>
      <c r="G86" s="1034"/>
    </row>
    <row r="87" spans="2:7" ht="12.75">
      <c r="B87" s="1034"/>
      <c r="C87" s="1034"/>
      <c r="D87" s="282"/>
      <c r="E87" s="1034"/>
      <c r="F87" s="1034"/>
      <c r="G87" s="1034"/>
    </row>
    <row r="273" spans="3:7" ht="15.75">
      <c r="C273" s="649"/>
      <c r="D273" s="651"/>
      <c r="E273" s="649"/>
      <c r="F273" s="649"/>
      <c r="G273" s="649"/>
    </row>
    <row r="274" spans="3:7" ht="99.75" customHeight="1">
      <c r="C274" s="649"/>
      <c r="D274" s="651"/>
      <c r="E274" s="649"/>
      <c r="F274" s="649"/>
      <c r="G274" s="649"/>
    </row>
    <row r="275" spans="3:7" ht="15.75">
      <c r="C275" s="649"/>
      <c r="D275" s="651"/>
      <c r="E275" s="649"/>
      <c r="F275" s="649"/>
      <c r="G275" s="649"/>
    </row>
    <row r="276" spans="3:7" ht="15.75">
      <c r="C276" s="649"/>
      <c r="D276" s="651"/>
      <c r="E276" s="649"/>
      <c r="F276" s="649"/>
      <c r="G276" s="649"/>
    </row>
    <row r="277" spans="3:7" ht="15.75">
      <c r="C277" s="649"/>
      <c r="D277" s="651"/>
      <c r="E277" s="649"/>
      <c r="F277" s="649"/>
      <c r="G277" s="649"/>
    </row>
    <row r="278" spans="3:7" ht="15.75">
      <c r="C278" s="649"/>
      <c r="D278" s="651"/>
      <c r="E278" s="649"/>
      <c r="F278" s="649"/>
      <c r="G278" s="649"/>
    </row>
    <row r="279" spans="3:7" ht="15.75">
      <c r="C279" s="649"/>
      <c r="D279" s="651"/>
      <c r="E279" s="649"/>
      <c r="F279" s="649"/>
      <c r="G279" s="649"/>
    </row>
    <row r="280" spans="3:7" ht="15.75">
      <c r="C280" s="649"/>
      <c r="D280" s="651"/>
      <c r="E280" s="649"/>
      <c r="F280" s="649"/>
      <c r="G280" s="649"/>
    </row>
    <row r="281" spans="3:7" ht="15.75">
      <c r="C281" s="649"/>
      <c r="D281" s="651"/>
      <c r="E281" s="649"/>
      <c r="F281" s="649"/>
      <c r="G281" s="649"/>
    </row>
    <row r="282" spans="3:7" ht="15.75">
      <c r="C282" s="649"/>
      <c r="D282" s="651"/>
      <c r="E282" s="649"/>
      <c r="F282" s="649"/>
      <c r="G282" s="649"/>
    </row>
    <row r="283" spans="3:7" ht="15.75">
      <c r="C283" s="649"/>
      <c r="D283" s="651"/>
      <c r="E283" s="649"/>
      <c r="F283" s="649"/>
      <c r="G283" s="649"/>
    </row>
    <row r="284" spans="3:7" ht="15.75">
      <c r="C284" s="649"/>
      <c r="D284" s="651"/>
      <c r="E284" s="649"/>
      <c r="F284" s="649"/>
      <c r="G284" s="649"/>
    </row>
    <row r="285" spans="3:7" ht="15.75">
      <c r="C285" s="649"/>
      <c r="D285" s="651"/>
      <c r="E285" s="649"/>
      <c r="F285" s="649"/>
      <c r="G285" s="649"/>
    </row>
    <row r="286" spans="3:7" ht="15.75">
      <c r="C286" s="649"/>
      <c r="D286" s="651"/>
      <c r="E286" s="649"/>
      <c r="F286" s="649"/>
      <c r="G286" s="649"/>
    </row>
    <row r="287" spans="3:7" ht="15.75">
      <c r="C287" s="649"/>
      <c r="D287" s="651"/>
      <c r="E287" s="649"/>
      <c r="F287" s="649"/>
      <c r="G287" s="649"/>
    </row>
    <row r="288" spans="3:7" ht="15.75">
      <c r="C288" s="649"/>
      <c r="D288" s="651"/>
      <c r="E288" s="649"/>
      <c r="F288" s="649"/>
      <c r="G288" s="649"/>
    </row>
    <row r="289" spans="3:7" ht="15.75">
      <c r="C289" s="649"/>
      <c r="D289" s="651"/>
      <c r="E289" s="649"/>
      <c r="F289" s="649"/>
      <c r="G289" s="649"/>
    </row>
    <row r="290" spans="3:7" ht="15.75">
      <c r="C290" s="649"/>
      <c r="D290" s="651"/>
      <c r="E290" s="649"/>
      <c r="F290" s="649"/>
      <c r="G290" s="649"/>
    </row>
    <row r="291" spans="3:7" ht="15.75">
      <c r="C291" s="649"/>
      <c r="D291" s="651"/>
      <c r="E291" s="649"/>
      <c r="F291" s="649"/>
      <c r="G291" s="649"/>
    </row>
    <row r="292" spans="3:7" ht="15.75">
      <c r="C292" s="649"/>
      <c r="D292" s="651"/>
      <c r="E292" s="649"/>
      <c r="F292" s="649"/>
      <c r="G292" s="649"/>
    </row>
    <row r="293" spans="3:7" ht="15.75">
      <c r="C293" s="649"/>
      <c r="D293" s="651"/>
      <c r="E293" s="649"/>
      <c r="F293" s="649"/>
      <c r="G293" s="649"/>
    </row>
    <row r="294" spans="3:7" ht="15.75">
      <c r="C294" s="649"/>
      <c r="D294" s="651"/>
      <c r="E294" s="649"/>
      <c r="F294" s="649"/>
      <c r="G294" s="649"/>
    </row>
    <row r="295" spans="3:7" ht="40.5" customHeight="1">
      <c r="C295" s="649"/>
      <c r="D295" s="651"/>
      <c r="E295" s="649"/>
      <c r="F295" s="649"/>
      <c r="G295" s="649"/>
    </row>
    <row r="296" spans="3:7" ht="15.75">
      <c r="C296" s="649"/>
      <c r="D296" s="651"/>
      <c r="E296" s="649"/>
      <c r="F296" s="649"/>
      <c r="G296" s="649"/>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6.xml><?xml version="1.0" encoding="utf-8"?>
<worksheet xmlns="http://schemas.openxmlformats.org/spreadsheetml/2006/main" xmlns:r="http://schemas.openxmlformats.org/officeDocument/2006/relationships">
  <sheetPr>
    <pageSetUpPr fitToPage="1"/>
  </sheetPr>
  <dimension ref="A1:L302"/>
  <sheetViews>
    <sheetView zoomScale="70" zoomScaleNormal="70" zoomScaleSheetLayoutView="66" zoomScalePageLayoutView="0" workbookViewId="0" topLeftCell="A1">
      <selection activeCell="G270" sqref="G270"/>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6384" width="9.140625" style="2" customWidth="1"/>
  </cols>
  <sheetData>
    <row r="1" spans="1:7" s="53" customFormat="1" ht="15">
      <c r="A1" s="86" t="s">
        <v>327</v>
      </c>
      <c r="B1" s="86"/>
      <c r="C1" s="53" t="s">
        <v>746</v>
      </c>
      <c r="E1" s="53" t="str">
        <f>"Line "&amp;A21&amp;" + Line "&amp;A39&amp;""</f>
        <v>Line 12 + Line 23</v>
      </c>
      <c r="G1" s="318">
        <f>+G21+G39</f>
        <v>76317069.41998306</v>
      </c>
    </row>
    <row r="2" spans="1:2" s="53" customFormat="1" ht="15">
      <c r="A2" s="86"/>
      <c r="B2" s="86"/>
    </row>
    <row r="3" spans="1:7" s="53" customFormat="1" ht="15">
      <c r="A3" s="86" t="s">
        <v>459</v>
      </c>
      <c r="B3" s="86"/>
      <c r="C3" s="53" t="str">
        <f>G3*10000&amp;" Basis Point increase in ROE"</f>
        <v>100 Basis Point increase in ROE</v>
      </c>
      <c r="G3" s="223">
        <v>0.01</v>
      </c>
    </row>
    <row r="4" spans="1:7" s="53" customFormat="1" ht="15">
      <c r="A4" s="86"/>
      <c r="B4" s="86"/>
      <c r="G4" s="223"/>
    </row>
    <row r="5" spans="1:7" s="53" customFormat="1" ht="15.75">
      <c r="A5" s="270" t="s">
        <v>674</v>
      </c>
      <c r="B5" s="116"/>
      <c r="C5" s="116"/>
      <c r="D5" s="116"/>
      <c r="E5" s="116"/>
      <c r="F5" s="116"/>
      <c r="G5" s="116"/>
    </row>
    <row r="6" spans="1:7" s="53" customFormat="1" ht="15">
      <c r="A6" s="86">
        <v>1</v>
      </c>
      <c r="C6" s="63" t="str">
        <f>+'Appendix A'!B92</f>
        <v>Rate Base</v>
      </c>
      <c r="E6" s="63" t="str">
        <f>"Appendix A, Line "&amp;'Appendix A'!A92&amp;""</f>
        <v>Appendix A, Line 51</v>
      </c>
      <c r="G6" s="318">
        <f>+'Appendix A'!G92</f>
        <v>562284515.4143496</v>
      </c>
    </row>
    <row r="7" spans="6:7" s="53" customFormat="1" ht="15">
      <c r="F7" s="63"/>
      <c r="G7" s="341"/>
    </row>
    <row r="8" spans="1:7" s="53" customFormat="1" ht="15">
      <c r="A8" s="26">
        <f>A6+1</f>
        <v>2</v>
      </c>
      <c r="B8" s="71"/>
      <c r="C8" s="283" t="str">
        <f>+'Appendix A'!C186</f>
        <v>Debt %</v>
      </c>
      <c r="D8" s="42" t="str">
        <f>+'Appendix A'!E186</f>
        <v>(Line 109 / Line 112)</v>
      </c>
      <c r="E8" s="99" t="str">
        <f>"Appendix A, Line "&amp;'Appendix A'!A186&amp;""</f>
        <v>Appendix A, Line 113</v>
      </c>
      <c r="F8" s="9"/>
      <c r="G8" s="366">
        <f>'Appendix A'!G186</f>
        <v>0.4646783672828693</v>
      </c>
    </row>
    <row r="9" spans="1:7" s="53" customFormat="1" ht="15">
      <c r="A9" s="26">
        <f>A8+1</f>
        <v>3</v>
      </c>
      <c r="B9" s="71"/>
      <c r="C9" s="283" t="str">
        <f>+'Appendix A'!C187</f>
        <v>Preferred %</v>
      </c>
      <c r="D9" s="42" t="str">
        <f>+'Appendix A'!E187</f>
        <v>(Line 110 / Line 112)</v>
      </c>
      <c r="E9" s="99" t="str">
        <f>"Appendix A, Line "&amp;'Appendix A'!A187&amp;""</f>
        <v>Appendix A, Line 114</v>
      </c>
      <c r="F9" s="9"/>
      <c r="G9" s="366">
        <f>'Appendix A'!G187</f>
        <v>0</v>
      </c>
    </row>
    <row r="10" spans="1:7" s="53" customFormat="1" ht="15">
      <c r="A10" s="26">
        <f>A9+1</f>
        <v>4</v>
      </c>
      <c r="B10" s="71"/>
      <c r="C10" s="283" t="str">
        <f>+'Appendix A'!C188</f>
        <v>Common %</v>
      </c>
      <c r="D10" s="42" t="str">
        <f>+'Appendix A'!E188</f>
        <v>(Line 111 / Line 112)</v>
      </c>
      <c r="E10" s="99" t="str">
        <f>"Appendix A, Line "&amp;'Appendix A'!A188&amp;""</f>
        <v>Appendix A, Line 115</v>
      </c>
      <c r="F10" s="9"/>
      <c r="G10" s="366">
        <f>'Appendix A'!G188</f>
        <v>0.5353216327171307</v>
      </c>
    </row>
    <row r="11" spans="1:7" s="53" customFormat="1" ht="15">
      <c r="A11" s="26"/>
      <c r="B11" s="71"/>
      <c r="C11" s="343"/>
      <c r="D11" s="9"/>
      <c r="E11" s="99"/>
      <c r="F11" s="9"/>
      <c r="G11" s="25"/>
    </row>
    <row r="12" spans="1:7" s="53" customFormat="1" ht="15">
      <c r="A12" s="26">
        <f>A10+1</f>
        <v>5</v>
      </c>
      <c r="B12" s="71"/>
      <c r="C12" s="343" t="str">
        <f>+'Appendix A'!C190</f>
        <v>Debt Cost</v>
      </c>
      <c r="D12" s="42" t="str">
        <f>+'Appendix A'!E190</f>
        <v>(Line 98 / Line 109)</v>
      </c>
      <c r="E12" s="99" t="str">
        <f>"Appendix A, Line "&amp;'Appendix A'!A190&amp;""</f>
        <v>Appendix A, Line 116</v>
      </c>
      <c r="F12" s="9"/>
      <c r="G12" s="193">
        <f>'Appendix A'!G190</f>
        <v>0.0479245607077652</v>
      </c>
    </row>
    <row r="13" spans="1:7" s="53" customFormat="1" ht="15">
      <c r="A13" s="26">
        <f>A12+1</f>
        <v>6</v>
      </c>
      <c r="B13" s="71"/>
      <c r="C13" s="343" t="str">
        <f>+'Appendix A'!C191</f>
        <v>Preferred Cost</v>
      </c>
      <c r="D13" s="42" t="str">
        <f>+'Appendix A'!E191</f>
        <v>(Line 99 / Line 110)</v>
      </c>
      <c r="E13" s="99" t="str">
        <f>"Appendix A, Line "&amp;'Appendix A'!A191&amp;""</f>
        <v>Appendix A, Line 117</v>
      </c>
      <c r="F13" s="9"/>
      <c r="G13" s="193">
        <f>'Appendix A'!G191</f>
        <v>0</v>
      </c>
    </row>
    <row r="14" spans="1:7" s="53" customFormat="1" ht="15">
      <c r="A14" s="26">
        <f>A13+1</f>
        <v>7</v>
      </c>
      <c r="B14" s="71"/>
      <c r="C14" s="343" t="str">
        <f>+'Appendix A'!C192</f>
        <v>Common Cost</v>
      </c>
      <c r="D14" s="185" t="s">
        <v>747</v>
      </c>
      <c r="E14" s="99" t="str">
        <f>"Appendix A, Line "&amp;'Appendix A'!A192&amp;" + 1%"</f>
        <v>Appendix A, Line 118 + 1%</v>
      </c>
      <c r="F14" s="9"/>
      <c r="G14" s="193">
        <f>+'Appendix A'!G192+'4 - 100 Basis Pt ROE'!G3</f>
        <v>0.124</v>
      </c>
    </row>
    <row r="15" spans="1:7" s="53" customFormat="1" ht="15">
      <c r="A15" s="26"/>
      <c r="B15" s="71"/>
      <c r="C15" s="343"/>
      <c r="D15" s="344"/>
      <c r="E15" s="9"/>
      <c r="F15" s="9"/>
      <c r="G15" s="760"/>
    </row>
    <row r="16" spans="1:8" s="53" customFormat="1" ht="15">
      <c r="A16" s="26">
        <f>A14+1</f>
        <v>8</v>
      </c>
      <c r="B16" s="71"/>
      <c r="C16" s="283" t="str">
        <f>+'Appendix A'!C194</f>
        <v>Weighted Cost of Debt</v>
      </c>
      <c r="D16" s="42" t="str">
        <f>+'Appendix A'!E194</f>
        <v>(Line 113 * Line 116)</v>
      </c>
      <c r="E16" s="99" t="str">
        <f>"Appendix A, Line "&amp;'Appendix A'!A194&amp;""</f>
        <v>Appendix A, Line 119</v>
      </c>
      <c r="F16" s="345"/>
      <c r="G16" s="734">
        <f>+'Appendix A'!G194</f>
        <v>0.022269506622433086</v>
      </c>
      <c r="H16" s="793"/>
    </row>
    <row r="17" spans="1:8" s="53" customFormat="1" ht="15">
      <c r="A17" s="26">
        <f>A16+1</f>
        <v>9</v>
      </c>
      <c r="B17" s="71"/>
      <c r="C17" s="283" t="str">
        <f>+'Appendix A'!C195</f>
        <v>Weighted Cost of Preferred</v>
      </c>
      <c r="D17" s="42" t="str">
        <f>+'Appendix A'!E195</f>
        <v>(Line 114 * Line 117)</v>
      </c>
      <c r="E17" s="99" t="str">
        <f>"Appendix A, Line "&amp;'Appendix A'!A195&amp;""</f>
        <v>Appendix A, Line 120</v>
      </c>
      <c r="F17" s="98"/>
      <c r="G17" s="734">
        <f>+'Appendix A'!G195</f>
        <v>0</v>
      </c>
      <c r="H17" s="793"/>
    </row>
    <row r="18" spans="1:8" s="53" customFormat="1" ht="15">
      <c r="A18" s="26">
        <f>A17+1</f>
        <v>10</v>
      </c>
      <c r="B18" s="159"/>
      <c r="C18" s="284" t="str">
        <f>+'Appendix A'!C196</f>
        <v>Weighted Cost of Common</v>
      </c>
      <c r="D18" s="104" t="str">
        <f>+'Appendix A'!E196</f>
        <v>(Line 115 * Line 118)</v>
      </c>
      <c r="E18" s="243" t="str">
        <f>"Line "&amp;A10&amp;" * Line "&amp;A14&amp;""</f>
        <v>Line 4 * Line 7</v>
      </c>
      <c r="F18" s="342"/>
      <c r="G18" s="791">
        <f>G14*G10</f>
        <v>0.06637988245692421</v>
      </c>
      <c r="H18" s="793"/>
    </row>
    <row r="19" spans="1:8" s="53" customFormat="1" ht="15.75">
      <c r="A19" s="26">
        <f>A18+1</f>
        <v>11</v>
      </c>
      <c r="B19" s="46"/>
      <c r="C19" s="46"/>
      <c r="D19" s="42" t="str">
        <f>+'Appendix A'!E197</f>
        <v>(Sum Lines 119 to 121)</v>
      </c>
      <c r="E19" s="99" t="str">
        <f>"Sum Lines "&amp;A16&amp;" to "&amp;A18&amp;""</f>
        <v>Sum Lines 8 to 10</v>
      </c>
      <c r="F19" s="347"/>
      <c r="G19" s="792">
        <f>SUM(G16:G18)</f>
        <v>0.0886493890793573</v>
      </c>
      <c r="H19" s="793"/>
    </row>
    <row r="20" spans="1:7" s="53" customFormat="1" ht="15.75">
      <c r="A20" s="44"/>
      <c r="B20" s="44"/>
      <c r="C20" s="46"/>
      <c r="D20" s="346"/>
      <c r="E20" s="120"/>
      <c r="F20" s="347"/>
      <c r="G20" s="225"/>
    </row>
    <row r="21" spans="1:7" s="53" customFormat="1" ht="16.5" thickBot="1">
      <c r="A21" s="71">
        <f>A19+1</f>
        <v>12</v>
      </c>
      <c r="B21" s="348"/>
      <c r="C21" s="349"/>
      <c r="D21" s="350" t="str">
        <f>+'Appendix A'!E199</f>
        <v>(Line 51 * Line 122)</v>
      </c>
      <c r="E21" s="349" t="str">
        <f>"Line "&amp;A19&amp;" * Line "&amp;A6&amp;""</f>
        <v>Line 11 * Line 1</v>
      </c>
      <c r="F21" s="351"/>
      <c r="G21" s="761">
        <f>+G19*G6</f>
        <v>49846178.78026455</v>
      </c>
    </row>
    <row r="22" spans="1:7" s="53" customFormat="1" ht="15.75" thickTop="1">
      <c r="A22" s="26"/>
      <c r="B22" s="71"/>
      <c r="C22" s="23"/>
      <c r="D22" s="86"/>
      <c r="E22" s="9"/>
      <c r="F22" s="9"/>
      <c r="G22" s="42"/>
    </row>
    <row r="23" spans="1:7" s="53" customFormat="1" ht="15.75">
      <c r="A23" s="130" t="str">
        <f>'Appendix A'!A201</f>
        <v>Composite Income Taxes                                                                                                       </v>
      </c>
      <c r="B23" s="113"/>
      <c r="C23" s="114"/>
      <c r="D23" s="237"/>
      <c r="E23" s="116"/>
      <c r="F23" s="116"/>
      <c r="G23" s="298"/>
    </row>
    <row r="24" spans="1:7" s="53" customFormat="1" ht="15.75">
      <c r="A24" s="26"/>
      <c r="B24" s="352"/>
      <c r="C24" s="52"/>
      <c r="D24" s="25"/>
      <c r="E24" s="9"/>
      <c r="F24" s="353"/>
      <c r="G24" s="42"/>
    </row>
    <row r="25" spans="1:7" s="53" customFormat="1" ht="15">
      <c r="A25" s="26">
        <f>A21+1</f>
        <v>13</v>
      </c>
      <c r="B25" s="71"/>
      <c r="C25" s="52" t="str">
        <f>'Appendix A'!C204</f>
        <v>FIT=Federal Income Tax Rate</v>
      </c>
      <c r="D25" s="86"/>
      <c r="E25" s="53" t="str">
        <f>"Appendix A, Line "&amp;'Appendix A'!A204&amp;""</f>
        <v>Appendix A, Line 124</v>
      </c>
      <c r="F25" s="30"/>
      <c r="G25" s="227">
        <f>+'Appendix A'!G204</f>
        <v>0.35</v>
      </c>
    </row>
    <row r="26" spans="1:7" s="53" customFormat="1" ht="15">
      <c r="A26" s="26">
        <f>A25+1</f>
        <v>14</v>
      </c>
      <c r="B26" s="71"/>
      <c r="C26" s="30" t="str">
        <f>'Appendix A'!C205</f>
        <v>SIT=State Income Tax Rate or Composite</v>
      </c>
      <c r="D26" s="176"/>
      <c r="E26" s="53" t="str">
        <f>"Appendix A, Line "&amp;'Appendix A'!A205&amp;""</f>
        <v>Appendix A, Line 125</v>
      </c>
      <c r="F26" s="30"/>
      <c r="G26" s="227">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7">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0.41493499999999994</v>
      </c>
    </row>
    <row r="29" spans="1:7" s="53" customFormat="1" ht="15">
      <c r="A29" s="26">
        <f>A28+1</f>
        <v>17</v>
      </c>
      <c r="B29" s="71"/>
      <c r="C29" s="30" t="str">
        <f>'Appendix A'!C208</f>
        <v>T/ (1-T)</v>
      </c>
      <c r="D29" s="86"/>
      <c r="E29" s="53" t="str">
        <f>"Appendix A, Line "&amp;'Appendix A'!A208&amp;""</f>
        <v>Appendix A, Line 128</v>
      </c>
      <c r="F29" s="30"/>
      <c r="G29" s="227">
        <f>+G28/(1-G28)</f>
        <v>0.7092117969798226</v>
      </c>
    </row>
    <row r="30" spans="1:7" s="53" customFormat="1" ht="15">
      <c r="A30" s="26"/>
      <c r="B30" s="71"/>
      <c r="C30" s="52"/>
      <c r="D30" s="355"/>
      <c r="E30" s="354"/>
      <c r="F30" s="353"/>
      <c r="G30" s="16"/>
    </row>
    <row r="31" spans="1:8" s="53" customFormat="1" ht="15.75">
      <c r="A31" s="26"/>
      <c r="B31" s="352" t="str">
        <f>'Appendix A'!B210</f>
        <v>ITC Adjustment</v>
      </c>
      <c r="C31" s="23"/>
      <c r="D31" s="176"/>
      <c r="E31" s="9"/>
      <c r="F31" s="353"/>
      <c r="G31" s="193"/>
      <c r="H31" s="191"/>
    </row>
    <row r="32" spans="1:7" s="53" customFormat="1" ht="15">
      <c r="A32" s="26">
        <f>A29+1</f>
        <v>18</v>
      </c>
      <c r="B32" s="71"/>
      <c r="C32" s="23" t="s">
        <v>288</v>
      </c>
      <c r="D32" s="143" t="str">
        <f>'Appendix A'!E211</f>
        <v>Attachment 1</v>
      </c>
      <c r="E32" s="53" t="str">
        <f>"Appendix A, Line "&amp;'Appendix A'!A211&amp;""</f>
        <v>Appendix A, Line 129</v>
      </c>
      <c r="G32" s="738">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3"/>
      <c r="G33" s="193">
        <f>1/(1-G28)</f>
        <v>1.7092117969798226</v>
      </c>
      <c r="H33" s="191"/>
      <c r="I33" s="191"/>
      <c r="J33" s="191"/>
      <c r="K33" s="191"/>
      <c r="L33" s="191"/>
    </row>
    <row r="34" spans="1:12" s="53" customFormat="1" ht="15.75">
      <c r="A34" s="26">
        <f>A33+1</f>
        <v>20</v>
      </c>
      <c r="B34" s="170"/>
      <c r="C34" s="87" t="str">
        <f>'Appendix A'!C213</f>
        <v>Net Plant Allocation Factor</v>
      </c>
      <c r="D34" s="104" t="str">
        <f>'Appendix A'!E213</f>
        <v>(Line 12)</v>
      </c>
      <c r="E34" s="243" t="str">
        <f>"Appendix A, Line "&amp;'Appendix A'!A213&amp;""</f>
        <v>Appendix A, Line 131</v>
      </c>
      <c r="F34" s="356"/>
      <c r="G34" s="357">
        <f>+'Appendix A'!G23</f>
        <v>0.2632866573880302</v>
      </c>
      <c r="H34" s="191"/>
      <c r="I34" s="191"/>
      <c r="J34" s="191"/>
      <c r="K34" s="191"/>
      <c r="L34" s="191"/>
    </row>
    <row r="35" spans="1:12" s="53" customFormat="1" ht="15.75">
      <c r="A35" s="26">
        <f>A34+1</f>
        <v>21</v>
      </c>
      <c r="B35" s="71"/>
      <c r="C35" s="358" t="str">
        <f>'Appendix A'!C214</f>
        <v>ITC Adjustment Allocated to Transmission</v>
      </c>
      <c r="D35" s="42" t="str">
        <f>'Appendix A'!E214</f>
        <v>(Line 129 * (1 + Line 130) * Line 131)</v>
      </c>
      <c r="E35" s="53" t="str">
        <f>"Appendix A, Line "&amp;'Appendix A'!A214&amp;""</f>
        <v>Appendix A, Line 132</v>
      </c>
      <c r="F35" s="359"/>
      <c r="G35" s="733">
        <f>+G32*(1+G33)*G34</f>
        <v>0</v>
      </c>
      <c r="H35" s="191"/>
      <c r="I35" s="191"/>
      <c r="J35" s="191"/>
      <c r="K35" s="191"/>
      <c r="L35" s="191"/>
    </row>
    <row r="36" spans="1:12" s="53" customFormat="1" ht="15.75">
      <c r="A36" s="26"/>
      <c r="B36" s="71"/>
      <c r="C36" s="268"/>
      <c r="D36" s="198"/>
      <c r="E36" s="360"/>
      <c r="F36" s="356"/>
      <c r="G36" s="361"/>
      <c r="H36" s="191"/>
      <c r="I36" s="191"/>
      <c r="J36" s="191"/>
      <c r="K36" s="191"/>
      <c r="L36" s="191"/>
    </row>
    <row r="37" spans="1:7" ht="15.75">
      <c r="A37" s="26">
        <f>A35+1</f>
        <v>22</v>
      </c>
      <c r="B37" s="191" t="s">
        <v>289</v>
      </c>
      <c r="C37" s="53"/>
      <c r="D37" s="24"/>
      <c r="E37" s="42" t="str">
        <f>"Line "&amp;A29&amp;"*Line "&amp;A21&amp;"*(1-(Line "&amp;A16&amp;"/Line "&amp;A19&amp;"))"</f>
        <v>Line 17*Line 12*(1-(Line 8/Line 11))</v>
      </c>
      <c r="F37" s="52"/>
      <c r="G37" s="225">
        <f>IF(G19=0,0,G29*G21*(1-(G16/G19)))</f>
        <v>26470890.639718503</v>
      </c>
    </row>
    <row r="38" spans="1:7" ht="15.75">
      <c r="A38" s="26"/>
      <c r="B38" s="71"/>
      <c r="C38" s="362"/>
      <c r="D38" s="170"/>
      <c r="E38" s="356"/>
      <c r="F38" s="356"/>
      <c r="G38" s="314"/>
    </row>
    <row r="39" spans="1:7" ht="16.5" thickBot="1">
      <c r="A39" s="26">
        <f>A37+1</f>
        <v>23</v>
      </c>
      <c r="B39" s="348" t="str">
        <f>'Appendix A'!B220</f>
        <v>Total Income Taxes</v>
      </c>
      <c r="C39" s="348"/>
      <c r="D39" s="363"/>
      <c r="E39" s="350" t="str">
        <f>'Appendix A'!E220</f>
        <v>(Line 132 + Line 133)</v>
      </c>
      <c r="F39" s="364"/>
      <c r="G39" s="145">
        <f>+G37+G35</f>
        <v>26470890.639718503</v>
      </c>
    </row>
    <row r="40" spans="1:6" ht="15.75" thickTop="1">
      <c r="A40" s="26"/>
      <c r="B40" s="71"/>
      <c r="C40" s="354"/>
      <c r="D40" s="86"/>
      <c r="E40" s="17"/>
      <c r="F40" s="365"/>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264" spans="1:5" ht="12.75">
      <c r="A264" s="269"/>
      <c r="B264" s="269"/>
      <c r="C264" s="269"/>
      <c r="D264" s="269"/>
      <c r="E264" s="269"/>
    </row>
    <row r="265" spans="1:5" ht="12.75">
      <c r="A265" s="269"/>
      <c r="B265" s="269"/>
      <c r="C265" s="269"/>
      <c r="D265" s="269"/>
      <c r="E265" s="269"/>
    </row>
    <row r="266" spans="1:5" ht="12.75">
      <c r="A266" s="269"/>
      <c r="B266" s="269"/>
      <c r="C266" s="269"/>
      <c r="D266" s="269"/>
      <c r="E266" s="269"/>
    </row>
    <row r="267" spans="1:5" ht="12.75">
      <c r="A267" s="269"/>
      <c r="B267" s="269"/>
      <c r="C267" s="269"/>
      <c r="D267" s="269"/>
      <c r="E267" s="269"/>
    </row>
    <row r="268" spans="1:5" ht="12.75">
      <c r="A268" s="269"/>
      <c r="B268" s="269"/>
      <c r="C268" s="269"/>
      <c r="D268" s="269"/>
      <c r="E268" s="269"/>
    </row>
    <row r="269" spans="1:5" ht="12.75">
      <c r="A269" s="269"/>
      <c r="B269" s="269"/>
      <c r="C269" s="269"/>
      <c r="D269" s="269"/>
      <c r="E269" s="269"/>
    </row>
    <row r="270" spans="1:5" ht="12.75">
      <c r="A270" s="269"/>
      <c r="B270" s="269"/>
      <c r="C270" s="269"/>
      <c r="D270" s="269"/>
      <c r="E270" s="269"/>
    </row>
    <row r="271" spans="1:5" ht="12.75">
      <c r="A271" s="269"/>
      <c r="B271" s="269"/>
      <c r="C271" s="269"/>
      <c r="D271" s="269"/>
      <c r="E271" s="269"/>
    </row>
    <row r="272" spans="1:5" ht="12.75">
      <c r="A272" s="269"/>
      <c r="B272" s="269"/>
      <c r="C272" s="269"/>
      <c r="D272" s="269"/>
      <c r="E272" s="269"/>
    </row>
    <row r="279" spans="3:7" ht="15.75">
      <c r="C279" s="655"/>
      <c r="D279" s="655"/>
      <c r="E279" s="655"/>
      <c r="F279" s="655"/>
      <c r="G279" s="655"/>
    </row>
    <row r="280" spans="3:7" ht="99.75" customHeight="1">
      <c r="C280" s="655"/>
      <c r="D280" s="655"/>
      <c r="E280" s="655"/>
      <c r="F280" s="655"/>
      <c r="G280" s="655"/>
    </row>
    <row r="281" spans="3:7" ht="15.75">
      <c r="C281" s="655"/>
      <c r="D281" s="655"/>
      <c r="E281" s="655"/>
      <c r="F281" s="655"/>
      <c r="G281" s="655"/>
    </row>
    <row r="282" spans="3:7" ht="15.75">
      <c r="C282" s="655"/>
      <c r="D282" s="655"/>
      <c r="E282" s="655"/>
      <c r="F282" s="655"/>
      <c r="G282" s="655"/>
    </row>
    <row r="283" spans="3:7" ht="15.75">
      <c r="C283" s="655"/>
      <c r="D283" s="655"/>
      <c r="E283" s="655"/>
      <c r="F283" s="655"/>
      <c r="G283" s="655"/>
    </row>
    <row r="284" spans="3:7" ht="15.75">
      <c r="C284" s="655"/>
      <c r="D284" s="655"/>
      <c r="E284" s="655"/>
      <c r="F284" s="655"/>
      <c r="G284" s="655"/>
    </row>
    <row r="285" spans="3:7" ht="15.75">
      <c r="C285" s="655"/>
      <c r="D285" s="655"/>
      <c r="E285" s="655"/>
      <c r="F285" s="655"/>
      <c r="G285" s="655"/>
    </row>
    <row r="286" spans="3:7" ht="15.75">
      <c r="C286" s="655"/>
      <c r="D286" s="655"/>
      <c r="E286" s="655"/>
      <c r="F286" s="655"/>
      <c r="G286" s="655"/>
    </row>
    <row r="287" spans="3:7" ht="15.75">
      <c r="C287" s="655"/>
      <c r="D287" s="655"/>
      <c r="E287" s="655"/>
      <c r="F287" s="655"/>
      <c r="G287" s="655"/>
    </row>
    <row r="288" spans="3:7" ht="15.75">
      <c r="C288" s="655"/>
      <c r="D288" s="655"/>
      <c r="E288" s="655"/>
      <c r="F288" s="655"/>
      <c r="G288" s="655"/>
    </row>
    <row r="289" spans="3:7" ht="15.75">
      <c r="C289" s="655"/>
      <c r="D289" s="655"/>
      <c r="E289" s="655"/>
      <c r="F289" s="655"/>
      <c r="G289" s="655"/>
    </row>
    <row r="290" spans="3:7" ht="15.75">
      <c r="C290" s="655"/>
      <c r="D290" s="655"/>
      <c r="E290" s="655"/>
      <c r="F290" s="655"/>
      <c r="G290" s="655"/>
    </row>
    <row r="291" spans="3:7" ht="15.75">
      <c r="C291" s="655"/>
      <c r="D291" s="655"/>
      <c r="E291" s="655"/>
      <c r="F291" s="655"/>
      <c r="G291" s="655"/>
    </row>
    <row r="292" spans="3:7" ht="15.75">
      <c r="C292" s="655"/>
      <c r="D292" s="655"/>
      <c r="E292" s="655"/>
      <c r="F292" s="655"/>
      <c r="G292" s="655"/>
    </row>
    <row r="293" spans="3:7" ht="15.75">
      <c r="C293" s="655"/>
      <c r="D293" s="655"/>
      <c r="E293" s="655"/>
      <c r="F293" s="655"/>
      <c r="G293" s="655"/>
    </row>
    <row r="294" spans="3:7" ht="15.75">
      <c r="C294" s="655"/>
      <c r="D294" s="655"/>
      <c r="E294" s="655"/>
      <c r="F294" s="655"/>
      <c r="G294" s="655"/>
    </row>
    <row r="295" spans="3:7" ht="15.75">
      <c r="C295" s="655"/>
      <c r="D295" s="655"/>
      <c r="E295" s="655"/>
      <c r="F295" s="655"/>
      <c r="G295" s="655"/>
    </row>
    <row r="296" spans="3:7" ht="15.75">
      <c r="C296" s="655"/>
      <c r="D296" s="655"/>
      <c r="E296" s="655"/>
      <c r="F296" s="655"/>
      <c r="G296" s="655"/>
    </row>
    <row r="297" spans="3:7" ht="15.75">
      <c r="C297" s="655"/>
      <c r="D297" s="655"/>
      <c r="E297" s="655"/>
      <c r="F297" s="655"/>
      <c r="G297" s="655"/>
    </row>
    <row r="298" spans="3:7" ht="15.75">
      <c r="C298" s="655"/>
      <c r="D298" s="655"/>
      <c r="E298" s="655"/>
      <c r="F298" s="655"/>
      <c r="G298" s="655"/>
    </row>
    <row r="299" spans="3:7" ht="15.75">
      <c r="C299" s="655"/>
      <c r="D299" s="655"/>
      <c r="E299" s="655"/>
      <c r="F299" s="655"/>
      <c r="G299" s="655"/>
    </row>
    <row r="300" spans="3:7" ht="15.75">
      <c r="C300" s="655"/>
      <c r="D300" s="655"/>
      <c r="E300" s="655"/>
      <c r="F300" s="655"/>
      <c r="G300" s="655"/>
    </row>
    <row r="301" spans="3:7" ht="40.5" customHeight="1">
      <c r="C301" s="655"/>
      <c r="D301" s="655"/>
      <c r="E301" s="655"/>
      <c r="F301" s="655"/>
      <c r="G301" s="655"/>
    </row>
    <row r="302" spans="3:7" ht="15.75">
      <c r="C302" s="655"/>
      <c r="D302" s="655"/>
      <c r="E302" s="655"/>
      <c r="F302" s="655"/>
      <c r="G302" s="655"/>
    </row>
  </sheetData>
  <sheetProtection/>
  <printOptions/>
  <pageMargins left="0.75" right="0.75" top="1" bottom="1" header="0.5" footer="0.5"/>
  <pageSetup fitToHeight="1" fitToWidth="1" horizontalDpi="600" verticalDpi="600" orientation="portrait" scale="54" r:id="rId1"/>
  <headerFooter alignWithMargins="0">
    <oddHeader>&amp;CDuquesne Light Company
Attachment H -17A
Attachment 4 - Calculation of 100 Basis Point Increase in ROE&amp;RPage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G348"/>
  <sheetViews>
    <sheetView zoomScale="70" zoomScaleNormal="70" zoomScaleSheetLayoutView="70" zoomScalePageLayoutView="0" workbookViewId="0" topLeftCell="A319">
      <selection activeCell="G270" sqref="G270"/>
    </sheetView>
  </sheetViews>
  <sheetFormatPr defaultColWidth="9.140625" defaultRowHeight="12.75"/>
  <cols>
    <col min="1" max="1" width="6.421875" style="280" customWidth="1"/>
    <col min="2" max="2" width="6.00390625" style="280" customWidth="1"/>
    <col min="3" max="3" width="82.57421875" style="280" customWidth="1"/>
    <col min="4" max="5" width="24.00390625" style="280" customWidth="1"/>
    <col min="6" max="6" width="23.00390625" style="280" customWidth="1"/>
    <col min="7" max="7" width="24.57421875" style="280" bestFit="1" customWidth="1"/>
    <col min="8" max="8" width="25.28125" style="280" bestFit="1" customWidth="1"/>
    <col min="9" max="9" width="26.8515625" style="280" customWidth="1"/>
    <col min="10" max="10" width="14.421875" style="280" customWidth="1"/>
    <col min="11" max="11" width="13.8515625" style="280" customWidth="1"/>
    <col min="12" max="12" width="16.140625" style="280" customWidth="1"/>
    <col min="13" max="13" width="9.7109375" style="280" customWidth="1"/>
    <col min="14" max="14" width="9.140625" style="280" customWidth="1"/>
    <col min="15" max="15" width="14.140625" style="280" customWidth="1"/>
    <col min="16" max="18" width="9.140625" style="280" customWidth="1"/>
    <col min="19" max="19" width="3.00390625" style="280" customWidth="1"/>
    <col min="20" max="20" width="11.00390625" style="280" bestFit="1" customWidth="1"/>
    <col min="21" max="21" width="10.421875" style="280" bestFit="1" customWidth="1"/>
    <col min="22" max="16384" width="9.140625" style="280" customWidth="1"/>
  </cols>
  <sheetData>
    <row r="1" ht="13.5" thickBot="1">
      <c r="A1" s="817" t="s">
        <v>777</v>
      </c>
    </row>
    <row r="2" spans="1:13" ht="12.75">
      <c r="A2" s="1261" t="s">
        <v>50</v>
      </c>
      <c r="B2" s="1262"/>
      <c r="C2" s="1262"/>
      <c r="D2" s="1262"/>
      <c r="E2" s="1262"/>
      <c r="F2" s="1263"/>
      <c r="G2" s="643"/>
      <c r="H2" s="482"/>
      <c r="I2" s="482"/>
      <c r="J2" s="1264" t="s">
        <v>579</v>
      </c>
      <c r="K2" s="1265"/>
      <c r="L2" s="1265"/>
      <c r="M2" s="1266"/>
    </row>
    <row r="3" spans="1:28" ht="18">
      <c r="A3" s="508"/>
      <c r="B3" s="545"/>
      <c r="C3" s="558" t="s">
        <v>757</v>
      </c>
      <c r="D3" s="463" t="s">
        <v>765</v>
      </c>
      <c r="E3" s="472"/>
      <c r="F3" s="823" t="s">
        <v>679</v>
      </c>
      <c r="G3" s="564" t="s">
        <v>680</v>
      </c>
      <c r="H3" s="463"/>
      <c r="I3" s="463"/>
      <c r="J3" s="466"/>
      <c r="K3" s="466"/>
      <c r="L3" s="466"/>
      <c r="M3" s="467"/>
      <c r="O3" s="1060"/>
      <c r="P3" s="202"/>
      <c r="Q3" s="202"/>
      <c r="R3" s="202"/>
      <c r="S3" s="202"/>
      <c r="T3" s="202"/>
      <c r="U3" s="202"/>
      <c r="V3" s="202"/>
      <c r="W3" s="202"/>
      <c r="X3" s="202"/>
      <c r="Y3" s="202"/>
      <c r="Z3" s="202"/>
      <c r="AA3" s="202"/>
      <c r="AB3" s="202"/>
    </row>
    <row r="4" spans="1:13" ht="15">
      <c r="A4" s="465"/>
      <c r="B4" s="299"/>
      <c r="C4" s="299" t="s">
        <v>758</v>
      </c>
      <c r="D4" s="60" t="s">
        <v>771</v>
      </c>
      <c r="E4" s="1048" t="s">
        <v>869</v>
      </c>
      <c r="F4" s="1049">
        <v>879037059</v>
      </c>
      <c r="G4" s="689"/>
      <c r="H4" s="416"/>
      <c r="I4" s="469"/>
      <c r="J4" s="466"/>
      <c r="K4" s="466"/>
      <c r="L4" s="466"/>
      <c r="M4" s="467"/>
    </row>
    <row r="5" spans="1:13" ht="12.75">
      <c r="A5" s="508"/>
      <c r="B5" s="545"/>
      <c r="C5" s="515" t="s">
        <v>759</v>
      </c>
      <c r="D5" s="463" t="s">
        <v>85</v>
      </c>
      <c r="E5" s="1048" t="s">
        <v>873</v>
      </c>
      <c r="F5" s="1049">
        <v>884005626.6711328</v>
      </c>
      <c r="G5" s="689"/>
      <c r="H5" s="1002"/>
      <c r="I5" s="1002"/>
      <c r="J5" s="466"/>
      <c r="K5" s="466"/>
      <c r="L5" s="466"/>
      <c r="M5" s="467"/>
    </row>
    <row r="6" spans="1:13" ht="12.75">
      <c r="A6" s="510"/>
      <c r="B6" s="507"/>
      <c r="C6" s="230" t="s">
        <v>760</v>
      </c>
      <c r="D6" s="463" t="s">
        <v>85</v>
      </c>
      <c r="E6" s="1048" t="s">
        <v>873</v>
      </c>
      <c r="F6" s="1049">
        <v>883360743.2611325</v>
      </c>
      <c r="G6" s="689"/>
      <c r="H6" s="1002"/>
      <c r="I6" s="785"/>
      <c r="J6" s="466"/>
      <c r="K6" s="466"/>
      <c r="L6" s="466"/>
      <c r="M6" s="467"/>
    </row>
    <row r="7" spans="1:13" ht="12.75">
      <c r="A7" s="510"/>
      <c r="B7" s="507"/>
      <c r="C7" s="230" t="s">
        <v>232</v>
      </c>
      <c r="D7" s="463" t="s">
        <v>85</v>
      </c>
      <c r="E7" s="1048" t="s">
        <v>873</v>
      </c>
      <c r="F7" s="1049">
        <v>886798067.9511328</v>
      </c>
      <c r="G7" s="689"/>
      <c r="H7" s="1002"/>
      <c r="I7" s="785"/>
      <c r="J7" s="466"/>
      <c r="K7" s="466"/>
      <c r="L7" s="466"/>
      <c r="M7" s="467"/>
    </row>
    <row r="8" spans="1:13" ht="12.75">
      <c r="A8" s="508"/>
      <c r="B8" s="463"/>
      <c r="C8" s="515" t="s">
        <v>627</v>
      </c>
      <c r="D8" s="463" t="s">
        <v>85</v>
      </c>
      <c r="E8" s="1048" t="s">
        <v>873</v>
      </c>
      <c r="F8" s="1049">
        <v>888395047.8411326</v>
      </c>
      <c r="G8" s="689"/>
      <c r="H8" s="1002"/>
      <c r="I8" s="785"/>
      <c r="J8" s="466"/>
      <c r="K8" s="466"/>
      <c r="L8" s="466"/>
      <c r="M8" s="467"/>
    </row>
    <row r="9" spans="1:13" ht="12.75">
      <c r="A9" s="510"/>
      <c r="B9" s="545"/>
      <c r="C9" s="230" t="s">
        <v>628</v>
      </c>
      <c r="D9" s="463" t="s">
        <v>85</v>
      </c>
      <c r="E9" s="1048" t="s">
        <v>873</v>
      </c>
      <c r="F9" s="1049">
        <v>887935211.4411327</v>
      </c>
      <c r="G9" s="689"/>
      <c r="H9" s="504"/>
      <c r="I9" s="504"/>
      <c r="J9" s="463"/>
      <c r="K9" s="463"/>
      <c r="L9" s="463"/>
      <c r="M9" s="500"/>
    </row>
    <row r="10" spans="1:13" ht="12.75">
      <c r="A10" s="510"/>
      <c r="B10" s="463"/>
      <c r="C10" s="230" t="s">
        <v>761</v>
      </c>
      <c r="D10" s="463" t="s">
        <v>85</v>
      </c>
      <c r="E10" s="1048" t="s">
        <v>873</v>
      </c>
      <c r="F10" s="1049">
        <v>888087704.0311326</v>
      </c>
      <c r="G10" s="689"/>
      <c r="H10" s="416"/>
      <c r="I10" s="469"/>
      <c r="J10" s="466"/>
      <c r="K10" s="466"/>
      <c r="L10" s="466"/>
      <c r="M10" s="467"/>
    </row>
    <row r="11" spans="1:13" ht="12.75">
      <c r="A11" s="508"/>
      <c r="B11" s="545"/>
      <c r="C11" s="515" t="s">
        <v>762</v>
      </c>
      <c r="D11" s="463" t="s">
        <v>85</v>
      </c>
      <c r="E11" s="1048" t="s">
        <v>873</v>
      </c>
      <c r="F11" s="1049">
        <v>888704708.8711325</v>
      </c>
      <c r="G11" s="689"/>
      <c r="H11" s="963"/>
      <c r="I11" s="504"/>
      <c r="J11" s="466"/>
      <c r="K11" s="466"/>
      <c r="L11" s="466"/>
      <c r="M11" s="467"/>
    </row>
    <row r="12" spans="1:13" ht="12.75">
      <c r="A12" s="510"/>
      <c r="B12" s="507"/>
      <c r="C12" s="230" t="s">
        <v>763</v>
      </c>
      <c r="D12" s="463" t="s">
        <v>85</v>
      </c>
      <c r="E12" s="1048" t="s">
        <v>873</v>
      </c>
      <c r="F12" s="1049">
        <v>890128545.8711327</v>
      </c>
      <c r="G12" s="689"/>
      <c r="H12" s="416"/>
      <c r="I12" s="416"/>
      <c r="J12" s="466"/>
      <c r="K12" s="466"/>
      <c r="L12" s="466"/>
      <c r="M12" s="467"/>
    </row>
    <row r="13" spans="1:13" ht="12.75">
      <c r="A13" s="510"/>
      <c r="B13" s="507"/>
      <c r="C13" s="230" t="s">
        <v>764</v>
      </c>
      <c r="D13" s="463" t="s">
        <v>85</v>
      </c>
      <c r="E13" s="1048" t="s">
        <v>873</v>
      </c>
      <c r="F13" s="1049">
        <v>890357503.2211325</v>
      </c>
      <c r="G13" s="689"/>
      <c r="H13" s="416"/>
      <c r="I13" s="416"/>
      <c r="J13" s="466"/>
      <c r="K13" s="466"/>
      <c r="L13" s="466"/>
      <c r="M13" s="467"/>
    </row>
    <row r="14" spans="1:13" ht="12.75">
      <c r="A14" s="508"/>
      <c r="B14" s="463"/>
      <c r="C14" s="515" t="s">
        <v>659</v>
      </c>
      <c r="D14" s="463" t="s">
        <v>85</v>
      </c>
      <c r="E14" s="1048" t="s">
        <v>873</v>
      </c>
      <c r="F14" s="1049">
        <v>891039906.2411325</v>
      </c>
      <c r="G14" s="689"/>
      <c r="H14" s="416"/>
      <c r="I14" s="416"/>
      <c r="J14" s="466"/>
      <c r="K14" s="466"/>
      <c r="L14" s="466"/>
      <c r="M14" s="467"/>
    </row>
    <row r="15" spans="1:13" ht="12.75">
      <c r="A15" s="508"/>
      <c r="B15" s="463"/>
      <c r="C15" s="515" t="s">
        <v>660</v>
      </c>
      <c r="D15" s="463" t="s">
        <v>85</v>
      </c>
      <c r="E15" s="1048" t="s">
        <v>873</v>
      </c>
      <c r="F15" s="1049">
        <v>894425187.7511325</v>
      </c>
      <c r="G15" s="689"/>
      <c r="H15" s="416"/>
      <c r="I15" s="416"/>
      <c r="J15" s="466"/>
      <c r="K15" s="466"/>
      <c r="L15" s="466"/>
      <c r="M15" s="467"/>
    </row>
    <row r="16" spans="1:13" ht="15">
      <c r="A16" s="510"/>
      <c r="B16" s="545"/>
      <c r="C16" s="559" t="s">
        <v>758</v>
      </c>
      <c r="D16" s="104" t="s">
        <v>336</v>
      </c>
      <c r="E16" s="1050" t="s">
        <v>873</v>
      </c>
      <c r="F16" s="1051">
        <v>898571591</v>
      </c>
      <c r="G16" s="1025">
        <f>+F16</f>
        <v>898571591</v>
      </c>
      <c r="H16" s="968"/>
      <c r="I16" s="1002"/>
      <c r="J16" s="463"/>
      <c r="K16" s="463"/>
      <c r="L16" s="1209"/>
      <c r="M16" s="500"/>
    </row>
    <row r="17" spans="1:13" ht="12.75">
      <c r="A17" s="510">
        <f>'Appendix A'!A28</f>
        <v>13</v>
      </c>
      <c r="B17" s="463"/>
      <c r="C17" s="514" t="str">
        <f>'Appendix A'!C28</f>
        <v>Transmission Plant In Service</v>
      </c>
      <c r="D17" s="463"/>
      <c r="F17" s="560">
        <f>AVERAGE(F4:F16)</f>
        <v>888526684.8578815</v>
      </c>
      <c r="G17" s="963">
        <f>+G16</f>
        <v>898571591</v>
      </c>
      <c r="H17" s="504"/>
      <c r="I17" s="504"/>
      <c r="J17" s="466"/>
      <c r="K17" s="466"/>
      <c r="L17" s="466"/>
      <c r="M17" s="467"/>
    </row>
    <row r="18" spans="1:13" ht="12.75">
      <c r="A18" s="510"/>
      <c r="B18" s="507"/>
      <c r="C18" s="230"/>
      <c r="D18" s="463"/>
      <c r="E18" s="511"/>
      <c r="F18" s="474"/>
      <c r="G18" s="670"/>
      <c r="H18" s="416"/>
      <c r="I18" s="416"/>
      <c r="J18" s="466"/>
      <c r="K18" s="466"/>
      <c r="L18" s="466"/>
      <c r="M18" s="467"/>
    </row>
    <row r="19" spans="1:13" ht="12.75">
      <c r="A19" s="508"/>
      <c r="B19" s="545"/>
      <c r="C19" s="558" t="s">
        <v>772</v>
      </c>
      <c r="D19" s="463" t="s">
        <v>765</v>
      </c>
      <c r="E19" s="416"/>
      <c r="F19" s="474"/>
      <c r="G19" s="670"/>
      <c r="H19" s="504"/>
      <c r="I19" s="504"/>
      <c r="J19" s="466"/>
      <c r="K19" s="466"/>
      <c r="L19" s="466"/>
      <c r="M19" s="467"/>
    </row>
    <row r="20" spans="1:13" ht="15">
      <c r="A20" s="465"/>
      <c r="B20" s="299"/>
      <c r="C20" s="299" t="s">
        <v>758</v>
      </c>
      <c r="D20" s="42" t="s">
        <v>770</v>
      </c>
      <c r="E20" s="1048" t="s">
        <v>869</v>
      </c>
      <c r="F20" s="1049">
        <v>2495813491</v>
      </c>
      <c r="G20" s="703"/>
      <c r="H20" s="703"/>
      <c r="I20" s="785"/>
      <c r="J20" s="466"/>
      <c r="K20" s="466"/>
      <c r="L20" s="466"/>
      <c r="M20" s="467"/>
    </row>
    <row r="21" spans="1:13" ht="12.75">
      <c r="A21" s="508"/>
      <c r="B21" s="545"/>
      <c r="C21" s="515" t="s">
        <v>759</v>
      </c>
      <c r="D21" s="504" t="s">
        <v>85</v>
      </c>
      <c r="E21" s="1048" t="s">
        <v>873</v>
      </c>
      <c r="F21" s="1052">
        <v>2495910964.7888675</v>
      </c>
      <c r="G21" s="670"/>
      <c r="H21" s="1002"/>
      <c r="I21" s="1002"/>
      <c r="J21" s="466"/>
      <c r="K21" s="466"/>
      <c r="L21" s="466"/>
      <c r="M21" s="467"/>
    </row>
    <row r="22" spans="1:13" ht="12.75">
      <c r="A22" s="510"/>
      <c r="B22" s="507"/>
      <c r="C22" s="230" t="s">
        <v>760</v>
      </c>
      <c r="D22" s="504" t="s">
        <v>85</v>
      </c>
      <c r="E22" s="1048" t="s">
        <v>873</v>
      </c>
      <c r="F22" s="1052">
        <v>2504934015.0688677</v>
      </c>
      <c r="G22" s="670"/>
      <c r="H22" s="1002"/>
      <c r="I22" s="785"/>
      <c r="J22" s="466"/>
      <c r="K22" s="466"/>
      <c r="L22" s="466"/>
      <c r="M22" s="467"/>
    </row>
    <row r="23" spans="1:13" ht="12.75">
      <c r="A23" s="510"/>
      <c r="B23" s="507"/>
      <c r="C23" s="230" t="s">
        <v>232</v>
      </c>
      <c r="D23" s="504" t="s">
        <v>85</v>
      </c>
      <c r="E23" s="1048" t="s">
        <v>873</v>
      </c>
      <c r="F23" s="1052">
        <v>2511666885.2088675</v>
      </c>
      <c r="G23" s="670"/>
      <c r="H23" s="1002"/>
      <c r="I23" s="785"/>
      <c r="J23" s="466"/>
      <c r="K23" s="466"/>
      <c r="L23" s="466"/>
      <c r="M23" s="467"/>
    </row>
    <row r="24" spans="1:13" ht="12.75">
      <c r="A24" s="508"/>
      <c r="B24" s="463"/>
      <c r="C24" s="515" t="s">
        <v>627</v>
      </c>
      <c r="D24" s="504" t="s">
        <v>85</v>
      </c>
      <c r="E24" s="1048" t="s">
        <v>873</v>
      </c>
      <c r="F24" s="1052">
        <v>2516883365.0188675</v>
      </c>
      <c r="G24" s="670"/>
      <c r="H24" s="1002"/>
      <c r="I24" s="785"/>
      <c r="J24" s="466"/>
      <c r="K24" s="466"/>
      <c r="L24" s="466"/>
      <c r="M24" s="467"/>
    </row>
    <row r="25" spans="1:13" ht="12.75">
      <c r="A25" s="510"/>
      <c r="B25" s="545"/>
      <c r="C25" s="230" t="s">
        <v>628</v>
      </c>
      <c r="D25" s="504" t="s">
        <v>85</v>
      </c>
      <c r="E25" s="1048" t="s">
        <v>873</v>
      </c>
      <c r="F25" s="1052">
        <v>2529900260.658868</v>
      </c>
      <c r="G25" s="670"/>
      <c r="H25" s="1210"/>
      <c r="I25" s="557"/>
      <c r="J25" s="463"/>
      <c r="K25" s="463"/>
      <c r="L25" s="504"/>
      <c r="M25" s="500"/>
    </row>
    <row r="26" spans="1:13" ht="12.75">
      <c r="A26" s="510"/>
      <c r="B26" s="463"/>
      <c r="C26" s="230" t="s">
        <v>761</v>
      </c>
      <c r="D26" s="504" t="s">
        <v>85</v>
      </c>
      <c r="E26" s="1048" t="s">
        <v>873</v>
      </c>
      <c r="F26" s="1052">
        <v>2536122377.5288677</v>
      </c>
      <c r="G26" s="670"/>
      <c r="H26" s="416"/>
      <c r="I26" s="469"/>
      <c r="J26" s="466"/>
      <c r="K26" s="466"/>
      <c r="L26" s="466"/>
      <c r="M26" s="467"/>
    </row>
    <row r="27" spans="1:13" ht="12.75">
      <c r="A27" s="508"/>
      <c r="B27" s="545"/>
      <c r="C27" s="515" t="s">
        <v>762</v>
      </c>
      <c r="D27" s="504" t="s">
        <v>85</v>
      </c>
      <c r="E27" s="1048" t="s">
        <v>873</v>
      </c>
      <c r="F27" s="1052">
        <v>2542549445.0388675</v>
      </c>
      <c r="G27" s="670"/>
      <c r="H27" s="504"/>
      <c r="I27" s="504"/>
      <c r="J27" s="466"/>
      <c r="K27" s="466"/>
      <c r="L27" s="466"/>
      <c r="M27" s="467"/>
    </row>
    <row r="28" spans="1:13" ht="12.75">
      <c r="A28" s="510"/>
      <c r="B28" s="507"/>
      <c r="C28" s="230" t="s">
        <v>763</v>
      </c>
      <c r="D28" s="504" t="s">
        <v>85</v>
      </c>
      <c r="E28" s="1048" t="s">
        <v>873</v>
      </c>
      <c r="F28" s="1052">
        <v>2559627501.3388677</v>
      </c>
      <c r="G28" s="670"/>
      <c r="H28" s="416"/>
      <c r="I28" s="416"/>
      <c r="J28" s="466"/>
      <c r="K28" s="466"/>
      <c r="L28" s="466"/>
      <c r="M28" s="467"/>
    </row>
    <row r="29" spans="1:13" ht="12.75">
      <c r="A29" s="510"/>
      <c r="B29" s="507"/>
      <c r="C29" s="230" t="s">
        <v>764</v>
      </c>
      <c r="D29" s="504" t="s">
        <v>85</v>
      </c>
      <c r="E29" s="1048" t="s">
        <v>873</v>
      </c>
      <c r="F29" s="1052">
        <v>2564445098.1488676</v>
      </c>
      <c r="G29" s="670"/>
      <c r="H29" s="416"/>
      <c r="I29" s="416"/>
      <c r="J29" s="466"/>
      <c r="K29" s="466"/>
      <c r="L29" s="466"/>
      <c r="M29" s="467"/>
    </row>
    <row r="30" spans="1:13" ht="12.75">
      <c r="A30" s="508"/>
      <c r="B30" s="463"/>
      <c r="C30" s="515" t="s">
        <v>661</v>
      </c>
      <c r="D30" s="504" t="s">
        <v>85</v>
      </c>
      <c r="E30" s="1048" t="s">
        <v>873</v>
      </c>
      <c r="F30" s="1052">
        <v>2573338333.348868</v>
      </c>
      <c r="G30" s="670"/>
      <c r="H30" s="416"/>
      <c r="I30" s="416"/>
      <c r="J30" s="466"/>
      <c r="K30" s="466"/>
      <c r="L30" s="466"/>
      <c r="M30" s="467"/>
    </row>
    <row r="31" spans="1:13" ht="12.75">
      <c r="A31" s="508"/>
      <c r="B31" s="463"/>
      <c r="C31" s="515" t="s">
        <v>660</v>
      </c>
      <c r="D31" s="504" t="s">
        <v>85</v>
      </c>
      <c r="E31" s="1048" t="s">
        <v>873</v>
      </c>
      <c r="F31" s="1052">
        <v>2596383914.9588675</v>
      </c>
      <c r="G31" s="670"/>
      <c r="H31" s="416"/>
      <c r="I31" s="416"/>
      <c r="J31" s="466"/>
      <c r="K31" s="466"/>
      <c r="L31" s="466"/>
      <c r="M31" s="467"/>
    </row>
    <row r="32" spans="1:13" ht="15">
      <c r="A32" s="510"/>
      <c r="B32" s="545"/>
      <c r="C32" s="559" t="s">
        <v>758</v>
      </c>
      <c r="D32" s="104" t="s">
        <v>769</v>
      </c>
      <c r="E32" s="1050" t="s">
        <v>873</v>
      </c>
      <c r="F32" s="1053">
        <v>2621719480</v>
      </c>
      <c r="G32" s="1025">
        <f>+F32</f>
        <v>2621719480</v>
      </c>
      <c r="H32" s="703"/>
      <c r="I32" s="1002"/>
      <c r="J32" s="463"/>
      <c r="K32" s="463"/>
      <c r="L32" s="1209"/>
      <c r="M32" s="500"/>
    </row>
    <row r="33" spans="1:13" ht="12.75">
      <c r="A33" s="510"/>
      <c r="B33" s="463"/>
      <c r="C33" s="514" t="s">
        <v>776</v>
      </c>
      <c r="D33" s="463"/>
      <c r="E33" s="512"/>
      <c r="F33" s="560">
        <f>AVERAGE(F20:F32)</f>
        <v>2542253471.7005806</v>
      </c>
      <c r="G33" s="963">
        <f>+G32</f>
        <v>2621719480</v>
      </c>
      <c r="H33" s="504"/>
      <c r="I33" s="504"/>
      <c r="J33" s="466"/>
      <c r="K33" s="466"/>
      <c r="L33" s="466"/>
      <c r="M33" s="467"/>
    </row>
    <row r="34" spans="1:13" ht="12.75">
      <c r="A34" s="510"/>
      <c r="B34" s="507"/>
      <c r="C34" s="230"/>
      <c r="D34" s="463"/>
      <c r="E34" s="511"/>
      <c r="F34" s="528"/>
      <c r="G34" s="670"/>
      <c r="H34" s="416"/>
      <c r="I34" s="416"/>
      <c r="J34" s="466"/>
      <c r="K34" s="466"/>
      <c r="L34" s="466"/>
      <c r="M34" s="467"/>
    </row>
    <row r="35" spans="1:13" ht="12.75">
      <c r="A35" s="508"/>
      <c r="B35" s="545"/>
      <c r="C35" s="558" t="s">
        <v>767</v>
      </c>
      <c r="D35" s="463" t="s">
        <v>765</v>
      </c>
      <c r="E35" s="416"/>
      <c r="F35" s="500"/>
      <c r="G35" s="504"/>
      <c r="H35" s="504"/>
      <c r="I35" s="504"/>
      <c r="J35" s="466"/>
      <c r="K35" s="466"/>
      <c r="L35" s="466"/>
      <c r="M35" s="467"/>
    </row>
    <row r="36" spans="1:13" ht="15">
      <c r="A36" s="465"/>
      <c r="B36" s="299"/>
      <c r="C36" s="299" t="s">
        <v>758</v>
      </c>
      <c r="D36" s="42" t="s">
        <v>195</v>
      </c>
      <c r="E36" s="1048" t="s">
        <v>869</v>
      </c>
      <c r="F36" s="1054">
        <v>242697439</v>
      </c>
      <c r="G36" s="670"/>
      <c r="H36" s="331"/>
      <c r="I36" s="331"/>
      <c r="J36" s="466"/>
      <c r="K36" s="466"/>
      <c r="L36" s="466"/>
      <c r="M36" s="467"/>
    </row>
    <row r="37" spans="1:13" ht="15">
      <c r="A37" s="510"/>
      <c r="B37" s="545"/>
      <c r="C37" s="559" t="s">
        <v>758</v>
      </c>
      <c r="D37" s="104" t="s">
        <v>196</v>
      </c>
      <c r="E37" s="1050" t="s">
        <v>873</v>
      </c>
      <c r="F37" s="1055">
        <v>263004504</v>
      </c>
      <c r="G37" s="1025">
        <f>+F37</f>
        <v>263004504</v>
      </c>
      <c r="H37" s="416"/>
      <c r="I37" s="504"/>
      <c r="J37" s="463"/>
      <c r="K37" s="463"/>
      <c r="L37" s="463"/>
      <c r="M37" s="500"/>
    </row>
    <row r="38" spans="1:13" ht="12.75">
      <c r="A38" s="510">
        <f>+'Appendix A'!A32</f>
        <v>16</v>
      </c>
      <c r="B38" s="463"/>
      <c r="C38" s="514" t="s">
        <v>774</v>
      </c>
      <c r="D38" s="463"/>
      <c r="E38" s="512"/>
      <c r="F38" s="560">
        <f>AVERAGE(F36:F37)</f>
        <v>252850971.5</v>
      </c>
      <c r="G38" s="963">
        <f>+G37</f>
        <v>263004504</v>
      </c>
      <c r="H38" s="504"/>
      <c r="I38" s="293"/>
      <c r="J38" s="466"/>
      <c r="K38" s="466"/>
      <c r="L38" s="466"/>
      <c r="M38" s="467"/>
    </row>
    <row r="39" spans="1:13" ht="12.75">
      <c r="A39" s="508"/>
      <c r="B39" s="463"/>
      <c r="C39" s="515"/>
      <c r="D39" s="463"/>
      <c r="E39" s="904"/>
      <c r="F39" s="529"/>
      <c r="G39" s="670"/>
      <c r="H39" s="416"/>
      <c r="I39" s="416"/>
      <c r="J39" s="466"/>
      <c r="K39" s="466"/>
      <c r="L39" s="466"/>
      <c r="M39" s="467"/>
    </row>
    <row r="40" spans="1:13" ht="12.75">
      <c r="A40" s="508"/>
      <c r="B40" s="545"/>
      <c r="C40" s="558" t="s">
        <v>768</v>
      </c>
      <c r="D40" s="463" t="s">
        <v>765</v>
      </c>
      <c r="E40" s="416"/>
      <c r="F40" s="500"/>
      <c r="G40" s="504"/>
      <c r="H40" s="968"/>
      <c r="I40" s="504"/>
      <c r="J40" s="466"/>
      <c r="K40" s="466"/>
      <c r="L40" s="466"/>
      <c r="M40" s="467"/>
    </row>
    <row r="41" spans="1:13" ht="15">
      <c r="A41" s="465"/>
      <c r="B41" s="299"/>
      <c r="C41" s="299" t="s">
        <v>758</v>
      </c>
      <c r="D41" s="42" t="s">
        <v>208</v>
      </c>
      <c r="E41" s="1048" t="s">
        <v>869</v>
      </c>
      <c r="F41" s="1054">
        <v>317219509</v>
      </c>
      <c r="G41" s="670"/>
      <c r="H41" s="416"/>
      <c r="I41" s="469"/>
      <c r="J41" s="466"/>
      <c r="K41" s="466"/>
      <c r="L41" s="466"/>
      <c r="M41" s="467"/>
    </row>
    <row r="42" spans="1:13" ht="15">
      <c r="A42" s="510"/>
      <c r="B42" s="545"/>
      <c r="C42" s="559" t="s">
        <v>758</v>
      </c>
      <c r="D42" s="104" t="s">
        <v>209</v>
      </c>
      <c r="E42" s="1050" t="s">
        <v>873</v>
      </c>
      <c r="F42" s="1055">
        <v>328454016</v>
      </c>
      <c r="G42" s="1025">
        <f>+F42</f>
        <v>328454016</v>
      </c>
      <c r="H42" s="968"/>
      <c r="I42" s="504"/>
      <c r="J42" s="463"/>
      <c r="K42" s="463"/>
      <c r="L42" s="463"/>
      <c r="M42" s="500"/>
    </row>
    <row r="43" spans="1:13" ht="12.75">
      <c r="A43" s="510">
        <f>+'Appendix A'!A32</f>
        <v>16</v>
      </c>
      <c r="B43" s="463"/>
      <c r="C43" s="514" t="s">
        <v>775</v>
      </c>
      <c r="D43" s="463"/>
      <c r="E43" s="512"/>
      <c r="F43" s="560">
        <f>AVERAGE(F41:F42)</f>
        <v>322836762.5</v>
      </c>
      <c r="G43" s="963">
        <f>+G42</f>
        <v>328454016</v>
      </c>
      <c r="H43" s="504"/>
      <c r="I43" s="293"/>
      <c r="J43" s="466"/>
      <c r="K43" s="466"/>
      <c r="L43" s="466"/>
      <c r="M43" s="467"/>
    </row>
    <row r="44" spans="1:13" ht="12.75">
      <c r="A44" s="510"/>
      <c r="B44" s="545"/>
      <c r="C44" s="230"/>
      <c r="D44" s="530"/>
      <c r="E44" s="531"/>
      <c r="F44" s="532"/>
      <c r="G44" s="504"/>
      <c r="H44" s="504"/>
      <c r="I44" s="504"/>
      <c r="J44" s="463"/>
      <c r="K44" s="463"/>
      <c r="L44" s="463"/>
      <c r="M44" s="500"/>
    </row>
    <row r="45" spans="1:13" ht="12.75">
      <c r="A45" s="508"/>
      <c r="B45" s="545"/>
      <c r="C45" s="558" t="s">
        <v>766</v>
      </c>
      <c r="D45" s="463" t="s">
        <v>765</v>
      </c>
      <c r="E45" s="472"/>
      <c r="F45" s="500"/>
      <c r="G45" s="504"/>
      <c r="H45" s="504"/>
      <c r="I45" s="504"/>
      <c r="J45" s="466"/>
      <c r="K45" s="466"/>
      <c r="L45" s="466"/>
      <c r="M45" s="467"/>
    </row>
    <row r="46" spans="1:13" ht="15">
      <c r="A46" s="508"/>
      <c r="B46" s="545"/>
      <c r="C46" s="299" t="s">
        <v>758</v>
      </c>
      <c r="D46" s="42" t="s">
        <v>194</v>
      </c>
      <c r="E46" s="1048" t="s">
        <v>869</v>
      </c>
      <c r="F46" s="948">
        <v>0</v>
      </c>
      <c r="G46" s="504"/>
      <c r="H46" s="1002"/>
      <c r="I46" s="785"/>
      <c r="J46" s="466"/>
      <c r="K46" s="466"/>
      <c r="L46" s="466"/>
      <c r="M46" s="467"/>
    </row>
    <row r="47" spans="1:13" ht="12.75">
      <c r="A47" s="508"/>
      <c r="B47" s="545"/>
      <c r="C47" s="502" t="s">
        <v>759</v>
      </c>
      <c r="D47" s="504" t="s">
        <v>85</v>
      </c>
      <c r="E47" s="1048" t="s">
        <v>873</v>
      </c>
      <c r="F47" s="948">
        <v>0</v>
      </c>
      <c r="G47" s="504"/>
      <c r="H47" s="1002"/>
      <c r="I47" s="785"/>
      <c r="J47" s="466"/>
      <c r="K47" s="466"/>
      <c r="L47" s="466"/>
      <c r="M47" s="467"/>
    </row>
    <row r="48" spans="1:13" ht="12.75">
      <c r="A48" s="508"/>
      <c r="B48" s="545"/>
      <c r="C48" s="230" t="s">
        <v>760</v>
      </c>
      <c r="D48" s="504" t="s">
        <v>85</v>
      </c>
      <c r="E48" s="1048" t="s">
        <v>873</v>
      </c>
      <c r="F48" s="948">
        <v>0</v>
      </c>
      <c r="G48" s="504"/>
      <c r="H48" s="1002"/>
      <c r="I48" s="785"/>
      <c r="J48" s="466"/>
      <c r="K48" s="466"/>
      <c r="L48" s="466"/>
      <c r="M48" s="467"/>
    </row>
    <row r="49" spans="1:13" ht="12.75">
      <c r="A49" s="508"/>
      <c r="B49" s="545"/>
      <c r="C49" s="230" t="s">
        <v>232</v>
      </c>
      <c r="D49" s="504" t="s">
        <v>85</v>
      </c>
      <c r="E49" s="1048" t="s">
        <v>873</v>
      </c>
      <c r="F49" s="948">
        <v>0</v>
      </c>
      <c r="G49" s="504"/>
      <c r="H49" s="1002"/>
      <c r="I49" s="785"/>
      <c r="J49" s="466"/>
      <c r="K49" s="466"/>
      <c r="L49" s="466"/>
      <c r="M49" s="467"/>
    </row>
    <row r="50" spans="1:13" ht="12.75">
      <c r="A50" s="508"/>
      <c r="B50" s="545"/>
      <c r="C50" s="502" t="s">
        <v>627</v>
      </c>
      <c r="D50" s="504" t="s">
        <v>85</v>
      </c>
      <c r="E50" s="1048" t="s">
        <v>873</v>
      </c>
      <c r="F50" s="948">
        <v>0</v>
      </c>
      <c r="G50" s="504"/>
      <c r="H50" s="504"/>
      <c r="I50" s="504"/>
      <c r="J50" s="466"/>
      <c r="K50" s="466"/>
      <c r="L50" s="466"/>
      <c r="M50" s="467"/>
    </row>
    <row r="51" spans="1:13" ht="12.75">
      <c r="A51" s="508"/>
      <c r="B51" s="545"/>
      <c r="C51" s="230" t="s">
        <v>628</v>
      </c>
      <c r="D51" s="504" t="s">
        <v>85</v>
      </c>
      <c r="E51" s="1048" t="s">
        <v>873</v>
      </c>
      <c r="F51" s="948">
        <v>0</v>
      </c>
      <c r="G51" s="504"/>
      <c r="H51" s="504"/>
      <c r="I51" s="504"/>
      <c r="J51" s="466"/>
      <c r="K51" s="466"/>
      <c r="L51" s="466"/>
      <c r="M51" s="467"/>
    </row>
    <row r="52" spans="1:13" ht="12.75">
      <c r="A52" s="508"/>
      <c r="B52" s="545"/>
      <c r="C52" s="230" t="s">
        <v>761</v>
      </c>
      <c r="D52" s="504" t="s">
        <v>85</v>
      </c>
      <c r="E52" s="1048" t="s">
        <v>873</v>
      </c>
      <c r="F52" s="948">
        <v>0</v>
      </c>
      <c r="G52" s="504"/>
      <c r="H52" s="504"/>
      <c r="I52" s="504"/>
      <c r="J52" s="466"/>
      <c r="K52" s="466"/>
      <c r="L52" s="466"/>
      <c r="M52" s="467"/>
    </row>
    <row r="53" spans="1:13" ht="12.75">
      <c r="A53" s="508"/>
      <c r="B53" s="545"/>
      <c r="C53" s="502" t="s">
        <v>762</v>
      </c>
      <c r="D53" s="504" t="s">
        <v>85</v>
      </c>
      <c r="E53" s="1048" t="s">
        <v>873</v>
      </c>
      <c r="F53" s="948">
        <v>0</v>
      </c>
      <c r="G53" s="504"/>
      <c r="H53" s="504"/>
      <c r="I53" s="504"/>
      <c r="J53" s="466"/>
      <c r="K53" s="466"/>
      <c r="L53" s="466"/>
      <c r="M53" s="467"/>
    </row>
    <row r="54" spans="1:13" ht="12.75">
      <c r="A54" s="508"/>
      <c r="B54" s="545"/>
      <c r="C54" s="230" t="s">
        <v>763</v>
      </c>
      <c r="D54" s="504" t="s">
        <v>85</v>
      </c>
      <c r="E54" s="1048" t="s">
        <v>873</v>
      </c>
      <c r="F54" s="948">
        <v>0</v>
      </c>
      <c r="G54" s="504"/>
      <c r="H54" s="504"/>
      <c r="I54" s="504"/>
      <c r="J54" s="466"/>
      <c r="K54" s="466"/>
      <c r="L54" s="466"/>
      <c r="M54" s="467"/>
    </row>
    <row r="55" spans="1:13" ht="12.75">
      <c r="A55" s="508"/>
      <c r="B55" s="545"/>
      <c r="C55" s="230" t="s">
        <v>764</v>
      </c>
      <c r="D55" s="504" t="s">
        <v>85</v>
      </c>
      <c r="E55" s="1048" t="s">
        <v>873</v>
      </c>
      <c r="F55" s="948">
        <v>0</v>
      </c>
      <c r="G55" s="504"/>
      <c r="H55" s="504"/>
      <c r="I55" s="504"/>
      <c r="J55" s="466"/>
      <c r="K55" s="466"/>
      <c r="L55" s="466"/>
      <c r="M55" s="467"/>
    </row>
    <row r="56" spans="1:13" ht="12.75">
      <c r="A56" s="508"/>
      <c r="B56" s="545"/>
      <c r="C56" s="502" t="s">
        <v>661</v>
      </c>
      <c r="D56" s="504" t="s">
        <v>85</v>
      </c>
      <c r="E56" s="1048" t="s">
        <v>873</v>
      </c>
      <c r="F56" s="948">
        <v>0</v>
      </c>
      <c r="G56" s="504"/>
      <c r="H56" s="504"/>
      <c r="I56" s="504"/>
      <c r="J56" s="466"/>
      <c r="K56" s="466"/>
      <c r="L56" s="466"/>
      <c r="M56" s="467"/>
    </row>
    <row r="57" spans="1:13" ht="12.75">
      <c r="A57" s="508"/>
      <c r="B57" s="545"/>
      <c r="C57" s="502" t="s">
        <v>660</v>
      </c>
      <c r="D57" s="504" t="s">
        <v>85</v>
      </c>
      <c r="E57" s="1048" t="s">
        <v>873</v>
      </c>
      <c r="F57" s="948">
        <v>0</v>
      </c>
      <c r="G57" s="504"/>
      <c r="H57" s="504"/>
      <c r="I57" s="504"/>
      <c r="J57" s="466"/>
      <c r="K57" s="466"/>
      <c r="L57" s="466"/>
      <c r="M57" s="467"/>
    </row>
    <row r="58" spans="1:13" ht="15">
      <c r="A58" s="510"/>
      <c r="B58" s="545"/>
      <c r="C58" s="559" t="s">
        <v>758</v>
      </c>
      <c r="D58" s="104" t="s">
        <v>193</v>
      </c>
      <c r="E58" s="1050" t="s">
        <v>873</v>
      </c>
      <c r="F58" s="1056">
        <v>0</v>
      </c>
      <c r="G58" s="1025">
        <f>+F58</f>
        <v>0</v>
      </c>
      <c r="H58" s="968"/>
      <c r="I58" s="504"/>
      <c r="J58" s="463"/>
      <c r="K58" s="463"/>
      <c r="L58" s="463"/>
      <c r="M58" s="500"/>
    </row>
    <row r="59" spans="1:13" ht="12.75">
      <c r="A59" s="510"/>
      <c r="B59" s="463"/>
      <c r="C59" s="514" t="s">
        <v>773</v>
      </c>
      <c r="D59" s="463"/>
      <c r="E59" s="512"/>
      <c r="F59" s="560">
        <f>AVERAGE(F58:F58)</f>
        <v>0</v>
      </c>
      <c r="G59" s="963">
        <f>+G58</f>
        <v>0</v>
      </c>
      <c r="H59" s="504"/>
      <c r="I59" s="293"/>
      <c r="J59" s="466"/>
      <c r="K59" s="466"/>
      <c r="L59" s="466"/>
      <c r="M59" s="467"/>
    </row>
    <row r="60" spans="1:13" ht="12.75">
      <c r="A60" s="510"/>
      <c r="B60" s="463"/>
      <c r="C60" s="230"/>
      <c r="D60" s="463"/>
      <c r="E60" s="511"/>
      <c r="F60" s="528"/>
      <c r="G60" s="670"/>
      <c r="H60" s="416"/>
      <c r="I60" s="469"/>
      <c r="J60" s="466"/>
      <c r="K60" s="466"/>
      <c r="L60" s="466"/>
      <c r="M60" s="467"/>
    </row>
    <row r="61" spans="1:13" ht="12.75">
      <c r="A61" s="508"/>
      <c r="B61" s="545"/>
      <c r="C61" s="558" t="s">
        <v>778</v>
      </c>
      <c r="D61" s="463" t="s">
        <v>765</v>
      </c>
      <c r="E61" s="416"/>
      <c r="F61" s="500"/>
      <c r="G61" s="487"/>
      <c r="H61" s="504"/>
      <c r="I61" s="504"/>
      <c r="J61" s="466"/>
      <c r="K61" s="466"/>
      <c r="L61" s="466"/>
      <c r="M61" s="467"/>
    </row>
    <row r="62" spans="1:13" ht="15">
      <c r="A62" s="510"/>
      <c r="B62" s="507"/>
      <c r="C62" s="299" t="s">
        <v>780</v>
      </c>
      <c r="D62" s="42" t="s">
        <v>324</v>
      </c>
      <c r="E62" s="1048" t="s">
        <v>869</v>
      </c>
      <c r="F62" s="1054">
        <v>0</v>
      </c>
      <c r="G62" s="557"/>
      <c r="H62" s="416"/>
      <c r="I62" s="817"/>
      <c r="J62" s="466"/>
      <c r="K62" s="466"/>
      <c r="L62" s="466"/>
      <c r="M62" s="467"/>
    </row>
    <row r="63" spans="1:13" ht="15">
      <c r="A63" s="510"/>
      <c r="B63" s="507"/>
      <c r="C63" s="559" t="s">
        <v>780</v>
      </c>
      <c r="D63" s="104" t="s">
        <v>324</v>
      </c>
      <c r="E63" s="1050" t="s">
        <v>873</v>
      </c>
      <c r="F63" s="1055">
        <v>0</v>
      </c>
      <c r="G63" s="1026">
        <f>+F63</f>
        <v>0</v>
      </c>
      <c r="H63" s="416"/>
      <c r="I63" s="502"/>
      <c r="J63" s="466"/>
      <c r="K63" s="466"/>
      <c r="L63" s="466"/>
      <c r="M63" s="467"/>
    </row>
    <row r="64" spans="1:13" ht="12.75">
      <c r="A64" s="508">
        <f>+'Appendix A'!A33</f>
        <v>17</v>
      </c>
      <c r="B64" s="463"/>
      <c r="C64" s="514" t="s">
        <v>779</v>
      </c>
      <c r="D64" s="463"/>
      <c r="E64" s="512"/>
      <c r="F64" s="560">
        <f>AVERAGE(F62:F63)</f>
        <v>0</v>
      </c>
      <c r="G64" s="557">
        <f>+G63</f>
        <v>0</v>
      </c>
      <c r="H64" s="416"/>
      <c r="I64" s="417"/>
      <c r="J64" s="466"/>
      <c r="K64" s="466"/>
      <c r="L64" s="466"/>
      <c r="M64" s="467"/>
    </row>
    <row r="65" spans="1:13" ht="12.75">
      <c r="A65" s="508"/>
      <c r="B65" s="463"/>
      <c r="C65" s="514"/>
      <c r="D65" s="463"/>
      <c r="E65" s="512"/>
      <c r="F65" s="560"/>
      <c r="G65" s="557"/>
      <c r="H65" s="669"/>
      <c r="I65" s="502"/>
      <c r="J65" s="466"/>
      <c r="K65" s="466"/>
      <c r="L65" s="466"/>
      <c r="M65" s="467"/>
    </row>
    <row r="66" spans="1:13" ht="12.75">
      <c r="A66" s="510">
        <f>'Appendix A'!A15</f>
        <v>6</v>
      </c>
      <c r="B66" s="545"/>
      <c r="C66" s="561" t="str">
        <f>'Appendix A'!C15</f>
        <v>Total Plant In Service</v>
      </c>
      <c r="D66" s="530" t="s">
        <v>781</v>
      </c>
      <c r="E66" s="531"/>
      <c r="F66" s="763">
        <f>F17+F33+F38+F43+F59+F64</f>
        <v>4006467890.558462</v>
      </c>
      <c r="G66" s="557">
        <f>G17+G33+G38+G43+G59+G64</f>
        <v>4111749591</v>
      </c>
      <c r="H66" s="293"/>
      <c r="I66" s="293"/>
      <c r="J66" s="463"/>
      <c r="K66" s="463"/>
      <c r="L66" s="463"/>
      <c r="M66" s="500"/>
    </row>
    <row r="67" spans="1:15" ht="13.5" thickBot="1">
      <c r="A67" s="519"/>
      <c r="B67" s="533"/>
      <c r="C67" s="521"/>
      <c r="D67" s="506"/>
      <c r="E67" s="523"/>
      <c r="F67" s="526"/>
      <c r="G67" s="836"/>
      <c r="H67" s="475"/>
      <c r="I67" s="475"/>
      <c r="J67" s="470"/>
      <c r="K67" s="470"/>
      <c r="L67" s="470"/>
      <c r="M67" s="471"/>
      <c r="O67" s="557"/>
    </row>
    <row r="68" spans="1:15" ht="12.75">
      <c r="A68" s="517"/>
      <c r="B68" s="507"/>
      <c r="C68" s="230"/>
      <c r="D68" s="463"/>
      <c r="E68" s="511"/>
      <c r="F68" s="230"/>
      <c r="G68" s="557"/>
      <c r="H68" s="472"/>
      <c r="I68" s="472"/>
      <c r="J68" s="466"/>
      <c r="K68" s="466"/>
      <c r="L68" s="466"/>
      <c r="M68" s="466"/>
      <c r="O68" s="557"/>
    </row>
    <row r="69" spans="1:15" ht="13.5" thickBot="1">
      <c r="A69" s="817" t="s">
        <v>782</v>
      </c>
      <c r="O69" s="557"/>
    </row>
    <row r="70" spans="1:15" ht="12.75">
      <c r="A70" s="1261" t="s">
        <v>50</v>
      </c>
      <c r="B70" s="1262"/>
      <c r="C70" s="1262"/>
      <c r="D70" s="1262"/>
      <c r="E70" s="1262"/>
      <c r="F70" s="1263"/>
      <c r="G70" s="482"/>
      <c r="H70" s="482"/>
      <c r="I70" s="482"/>
      <c r="J70" s="1264" t="s">
        <v>579</v>
      </c>
      <c r="K70" s="1265"/>
      <c r="L70" s="1265"/>
      <c r="M70" s="1266"/>
      <c r="O70" s="557"/>
    </row>
    <row r="71" spans="1:29" ht="18">
      <c r="A71" s="508"/>
      <c r="B71" s="545"/>
      <c r="C71" s="558" t="s">
        <v>783</v>
      </c>
      <c r="D71" s="463" t="s">
        <v>765</v>
      </c>
      <c r="E71" s="472"/>
      <c r="F71" s="823" t="s">
        <v>679</v>
      </c>
      <c r="G71" s="564" t="s">
        <v>680</v>
      </c>
      <c r="H71" s="463"/>
      <c r="I71" s="463"/>
      <c r="J71" s="466"/>
      <c r="K71" s="466"/>
      <c r="L71" s="466"/>
      <c r="M71" s="467"/>
      <c r="O71" s="557"/>
      <c r="P71" s="202"/>
      <c r="Q71" s="202"/>
      <c r="R71" s="202"/>
      <c r="S71" s="202"/>
      <c r="T71" s="202"/>
      <c r="U71" s="202"/>
      <c r="V71" s="202"/>
      <c r="W71" s="202"/>
      <c r="X71" s="202"/>
      <c r="Y71" s="202"/>
      <c r="Z71" s="202"/>
      <c r="AA71" s="202"/>
      <c r="AB71" s="202"/>
      <c r="AC71" s="1060"/>
    </row>
    <row r="72" spans="1:29" ht="15">
      <c r="A72" s="465"/>
      <c r="B72" s="299"/>
      <c r="C72" s="299" t="s">
        <v>758</v>
      </c>
      <c r="D72" s="42" t="s">
        <v>212</v>
      </c>
      <c r="E72" s="1048" t="s">
        <v>869</v>
      </c>
      <c r="F72" s="1054">
        <v>226721955</v>
      </c>
      <c r="G72" s="504"/>
      <c r="H72" s="202"/>
      <c r="I72" s="818"/>
      <c r="J72" s="469"/>
      <c r="K72" s="466"/>
      <c r="L72" s="466"/>
      <c r="M72" s="467"/>
      <c r="O72" s="557"/>
      <c r="P72" s="202"/>
      <c r="Q72" s="202"/>
      <c r="R72" s="202"/>
      <c r="S72" s="202"/>
      <c r="T72" s="202"/>
      <c r="U72" s="202"/>
      <c r="V72" s="202"/>
      <c r="W72" s="202"/>
      <c r="X72" s="202"/>
      <c r="Y72" s="202"/>
      <c r="Z72" s="202"/>
      <c r="AA72" s="202"/>
      <c r="AB72" s="202"/>
      <c r="AC72" s="202"/>
    </row>
    <row r="73" spans="1:29" ht="12.75">
      <c r="A73" s="508"/>
      <c r="B73" s="545"/>
      <c r="C73" s="515" t="s">
        <v>759</v>
      </c>
      <c r="D73" s="504" t="s">
        <v>85</v>
      </c>
      <c r="E73" s="1048" t="s">
        <v>873</v>
      </c>
      <c r="F73" s="1054">
        <v>227558125.89132074</v>
      </c>
      <c r="G73" s="504"/>
      <c r="H73" s="1002"/>
      <c r="I73" s="1002"/>
      <c r="J73" s="504"/>
      <c r="K73" s="466"/>
      <c r="L73" s="466"/>
      <c r="M73" s="467"/>
      <c r="O73" s="557"/>
      <c r="P73" s="202"/>
      <c r="Q73" s="202"/>
      <c r="R73" s="202"/>
      <c r="S73" s="202"/>
      <c r="T73" s="202"/>
      <c r="U73" s="202"/>
      <c r="V73" s="202"/>
      <c r="W73" s="202"/>
      <c r="X73" s="202"/>
      <c r="Y73" s="202"/>
      <c r="Z73" s="202"/>
      <c r="AA73" s="202"/>
      <c r="AB73" s="202"/>
      <c r="AC73" s="202"/>
    </row>
    <row r="74" spans="1:15" ht="12.75">
      <c r="A74" s="510"/>
      <c r="B74" s="507"/>
      <c r="C74" s="230" t="s">
        <v>760</v>
      </c>
      <c r="D74" s="504" t="s">
        <v>85</v>
      </c>
      <c r="E74" s="1048" t="s">
        <v>873</v>
      </c>
      <c r="F74" s="1054">
        <v>228948611.1526486</v>
      </c>
      <c r="G74" s="504"/>
      <c r="H74" s="1002"/>
      <c r="I74" s="785"/>
      <c r="J74" s="416"/>
      <c r="K74" s="466"/>
      <c r="L74" s="466"/>
      <c r="M74" s="467"/>
      <c r="O74" s="557"/>
    </row>
    <row r="75" spans="1:15" ht="12.75">
      <c r="A75" s="510"/>
      <c r="B75" s="507"/>
      <c r="C75" s="230" t="s">
        <v>232</v>
      </c>
      <c r="D75" s="504" t="s">
        <v>85</v>
      </c>
      <c r="E75" s="1048" t="s">
        <v>873</v>
      </c>
      <c r="F75" s="1054">
        <v>230664172.30507538</v>
      </c>
      <c r="G75" s="504"/>
      <c r="H75" s="1002"/>
      <c r="I75" s="785"/>
      <c r="J75" s="466"/>
      <c r="K75" s="466"/>
      <c r="L75" s="466"/>
      <c r="M75" s="467"/>
      <c r="O75" s="557"/>
    </row>
    <row r="76" spans="1:15" ht="12.75">
      <c r="A76" s="508"/>
      <c r="B76" s="463"/>
      <c r="C76" s="515" t="s">
        <v>627</v>
      </c>
      <c r="D76" s="504" t="s">
        <v>85</v>
      </c>
      <c r="E76" s="1048" t="s">
        <v>873</v>
      </c>
      <c r="F76" s="1054">
        <v>232376569.39907062</v>
      </c>
      <c r="G76" s="504"/>
      <c r="H76" s="1002"/>
      <c r="I76" s="785"/>
      <c r="J76" s="466"/>
      <c r="K76" s="466"/>
      <c r="L76" s="466"/>
      <c r="M76" s="467"/>
      <c r="O76" s="557"/>
    </row>
    <row r="77" spans="1:15" ht="12.75">
      <c r="A77" s="510"/>
      <c r="B77" s="545"/>
      <c r="C77" s="230" t="s">
        <v>628</v>
      </c>
      <c r="D77" s="504" t="s">
        <v>85</v>
      </c>
      <c r="E77" s="1048" t="s">
        <v>873</v>
      </c>
      <c r="F77" s="1054">
        <v>233763122.3359653</v>
      </c>
      <c r="G77" s="504"/>
      <c r="H77" s="818"/>
      <c r="I77" s="504"/>
      <c r="J77" s="463"/>
      <c r="K77" s="463"/>
      <c r="L77" s="463"/>
      <c r="M77" s="500"/>
      <c r="O77" s="557"/>
    </row>
    <row r="78" spans="1:15" ht="12.75">
      <c r="A78" s="510"/>
      <c r="B78" s="463"/>
      <c r="C78" s="230" t="s">
        <v>761</v>
      </c>
      <c r="D78" s="504" t="s">
        <v>85</v>
      </c>
      <c r="E78" s="1048" t="s">
        <v>873</v>
      </c>
      <c r="F78" s="1054">
        <v>235013111.27667326</v>
      </c>
      <c r="G78" s="504"/>
      <c r="H78" s="818"/>
      <c r="I78" s="469"/>
      <c r="J78" s="466"/>
      <c r="K78" s="466"/>
      <c r="L78" s="466"/>
      <c r="M78" s="467"/>
      <c r="O78" s="557"/>
    </row>
    <row r="79" spans="1:15" ht="12.75">
      <c r="A79" s="508"/>
      <c r="B79" s="545"/>
      <c r="C79" s="515" t="s">
        <v>762</v>
      </c>
      <c r="D79" s="504" t="s">
        <v>85</v>
      </c>
      <c r="E79" s="1048" t="s">
        <v>873</v>
      </c>
      <c r="F79" s="1054">
        <v>236618357.05458882</v>
      </c>
      <c r="G79" s="504"/>
      <c r="H79" s="818"/>
      <c r="I79" s="504"/>
      <c r="J79" s="466"/>
      <c r="K79" s="466"/>
      <c r="L79" s="466"/>
      <c r="M79" s="467"/>
      <c r="O79" s="557"/>
    </row>
    <row r="80" spans="1:15" ht="12.75">
      <c r="A80" s="510"/>
      <c r="B80" s="507"/>
      <c r="C80" s="230" t="s">
        <v>763</v>
      </c>
      <c r="D80" s="504" t="s">
        <v>85</v>
      </c>
      <c r="E80" s="1048" t="s">
        <v>873</v>
      </c>
      <c r="F80" s="1054">
        <v>240245344.30673736</v>
      </c>
      <c r="G80" s="504"/>
      <c r="H80" s="818"/>
      <c r="I80" s="416"/>
      <c r="J80" s="466"/>
      <c r="K80" s="466"/>
      <c r="L80" s="466"/>
      <c r="M80" s="467"/>
      <c r="O80" s="557"/>
    </row>
    <row r="81" spans="1:15" ht="12.75">
      <c r="A81" s="510"/>
      <c r="B81" s="507"/>
      <c r="C81" s="230" t="s">
        <v>764</v>
      </c>
      <c r="D81" s="504" t="s">
        <v>85</v>
      </c>
      <c r="E81" s="1048" t="s">
        <v>873</v>
      </c>
      <c r="F81" s="1054">
        <v>242139546.42803892</v>
      </c>
      <c r="G81" s="504"/>
      <c r="H81" s="818"/>
      <c r="I81" s="416"/>
      <c r="J81" s="466"/>
      <c r="K81" s="466"/>
      <c r="L81" s="466"/>
      <c r="M81" s="467"/>
      <c r="O81" s="557"/>
    </row>
    <row r="82" spans="1:15" ht="12.75">
      <c r="A82" s="508"/>
      <c r="B82" s="463"/>
      <c r="C82" s="515" t="s">
        <v>661</v>
      </c>
      <c r="D82" s="504" t="s">
        <v>85</v>
      </c>
      <c r="E82" s="1048" t="s">
        <v>873</v>
      </c>
      <c r="F82" s="1054">
        <v>240773042.8563756</v>
      </c>
      <c r="G82" s="504"/>
      <c r="H82" s="818"/>
      <c r="I82" s="416"/>
      <c r="J82" s="466"/>
      <c r="K82" s="466"/>
      <c r="L82" s="466"/>
      <c r="M82" s="467"/>
      <c r="O82" s="557"/>
    </row>
    <row r="83" spans="1:15" ht="12.75">
      <c r="A83" s="508"/>
      <c r="B83" s="463"/>
      <c r="C83" s="515" t="s">
        <v>660</v>
      </c>
      <c r="D83" s="504" t="s">
        <v>85</v>
      </c>
      <c r="E83" s="1048" t="s">
        <v>873</v>
      </c>
      <c r="F83" s="1054">
        <v>242328274.68171588</v>
      </c>
      <c r="G83" s="504"/>
      <c r="H83" s="818"/>
      <c r="I83" s="416"/>
      <c r="J83" s="466"/>
      <c r="K83" s="466"/>
      <c r="L83" s="466"/>
      <c r="M83" s="467"/>
      <c r="O83" s="557"/>
    </row>
    <row r="84" spans="1:15" ht="15">
      <c r="A84" s="510"/>
      <c r="B84" s="545"/>
      <c r="C84" s="559" t="s">
        <v>758</v>
      </c>
      <c r="D84" s="104" t="s">
        <v>785</v>
      </c>
      <c r="E84" s="1050" t="s">
        <v>873</v>
      </c>
      <c r="F84" s="1055">
        <v>244753716</v>
      </c>
      <c r="G84" s="1016">
        <f>+F84</f>
        <v>244753716</v>
      </c>
      <c r="H84" s="818"/>
      <c r="I84" s="1002"/>
      <c r="J84" s="463"/>
      <c r="K84" s="463"/>
      <c r="L84" s="1209"/>
      <c r="M84" s="500"/>
      <c r="O84" s="557"/>
    </row>
    <row r="85" spans="1:15" ht="12.75">
      <c r="A85" s="510">
        <f>+'Appendix A'!A42</f>
        <v>22</v>
      </c>
      <c r="B85" s="463"/>
      <c r="C85" s="514" t="s">
        <v>506</v>
      </c>
      <c r="D85" s="463"/>
      <c r="E85" s="512"/>
      <c r="F85" s="560">
        <f>AVERAGE(F72:F84)</f>
        <v>235531072.97601622</v>
      </c>
      <c r="G85" s="423">
        <f>+G84</f>
        <v>244753716</v>
      </c>
      <c r="H85" s="504"/>
      <c r="I85" s="504"/>
      <c r="J85" s="466"/>
      <c r="K85" s="466"/>
      <c r="L85" s="466"/>
      <c r="M85" s="467"/>
      <c r="O85" s="557"/>
    </row>
    <row r="86" spans="1:15" ht="12.75">
      <c r="A86" s="510"/>
      <c r="B86" s="507"/>
      <c r="C86" s="230"/>
      <c r="D86" s="463"/>
      <c r="E86" s="511"/>
      <c r="F86" s="528"/>
      <c r="G86" s="689"/>
      <c r="H86" s="416"/>
      <c r="I86" s="416"/>
      <c r="J86" s="466"/>
      <c r="K86" s="466"/>
      <c r="L86" s="466"/>
      <c r="M86" s="467"/>
      <c r="O86" s="557"/>
    </row>
    <row r="87" spans="1:15" ht="12.75">
      <c r="A87" s="508"/>
      <c r="B87" s="545"/>
      <c r="C87" s="558" t="s">
        <v>0</v>
      </c>
      <c r="D87" s="463" t="s">
        <v>765</v>
      </c>
      <c r="E87" s="416"/>
      <c r="F87" s="500"/>
      <c r="G87" s="504"/>
      <c r="H87" s="504"/>
      <c r="I87" s="504"/>
      <c r="J87" s="466"/>
      <c r="K87" s="466"/>
      <c r="L87" s="466"/>
      <c r="M87" s="467"/>
      <c r="O87" s="557"/>
    </row>
    <row r="88" spans="1:15" ht="15">
      <c r="A88" s="465"/>
      <c r="B88" s="299"/>
      <c r="C88" s="299" t="s">
        <v>758</v>
      </c>
      <c r="D88" s="42" t="s">
        <v>211</v>
      </c>
      <c r="E88" s="1048" t="s">
        <v>869</v>
      </c>
      <c r="F88" s="1054">
        <v>818401535</v>
      </c>
      <c r="G88" s="504"/>
      <c r="H88" s="818"/>
      <c r="I88" s="785"/>
      <c r="J88" s="466"/>
      <c r="K88" s="466"/>
      <c r="L88" s="466"/>
      <c r="M88" s="467"/>
      <c r="O88" s="557"/>
    </row>
    <row r="89" spans="1:15" ht="12.75">
      <c r="A89" s="508"/>
      <c r="B89" s="545"/>
      <c r="C89" s="515" t="s">
        <v>759</v>
      </c>
      <c r="D89" s="504" t="s">
        <v>85</v>
      </c>
      <c r="E89" s="1048" t="s">
        <v>873</v>
      </c>
      <c r="F89" s="1054">
        <v>816927831.1586797</v>
      </c>
      <c r="G89" s="504"/>
      <c r="H89" s="1002"/>
      <c r="I89" s="1002"/>
      <c r="J89" s="466"/>
      <c r="K89" s="466"/>
      <c r="L89" s="466"/>
      <c r="M89" s="467"/>
      <c r="O89" s="557"/>
    </row>
    <row r="90" spans="1:13" ht="12.75">
      <c r="A90" s="510"/>
      <c r="B90" s="507"/>
      <c r="C90" s="230" t="s">
        <v>760</v>
      </c>
      <c r="D90" s="504" t="s">
        <v>85</v>
      </c>
      <c r="E90" s="1048" t="s">
        <v>873</v>
      </c>
      <c r="F90" s="1054">
        <v>819613139.6073514</v>
      </c>
      <c r="G90" s="504"/>
      <c r="H90" s="1002"/>
      <c r="I90" s="785"/>
      <c r="J90" s="466"/>
      <c r="K90" s="466"/>
      <c r="L90" s="466"/>
      <c r="M90" s="467"/>
    </row>
    <row r="91" spans="1:13" ht="12.75">
      <c r="A91" s="510"/>
      <c r="B91" s="507"/>
      <c r="C91" s="230" t="s">
        <v>232</v>
      </c>
      <c r="D91" s="504" t="s">
        <v>85</v>
      </c>
      <c r="E91" s="1048" t="s">
        <v>873</v>
      </c>
      <c r="F91" s="1054">
        <v>822168662.9749247</v>
      </c>
      <c r="G91" s="504"/>
      <c r="H91" s="1002"/>
      <c r="I91" s="785"/>
      <c r="J91" s="466"/>
      <c r="K91" s="466"/>
      <c r="L91" s="466"/>
      <c r="M91" s="467"/>
    </row>
    <row r="92" spans="1:13" ht="12.75">
      <c r="A92" s="508"/>
      <c r="B92" s="463"/>
      <c r="C92" s="515" t="s">
        <v>627</v>
      </c>
      <c r="D92" s="504" t="s">
        <v>85</v>
      </c>
      <c r="E92" s="1048" t="s">
        <v>873</v>
      </c>
      <c r="F92" s="1054">
        <v>825451773.3109294</v>
      </c>
      <c r="G92" s="504"/>
      <c r="H92" s="818"/>
      <c r="I92" s="416"/>
      <c r="J92" s="466"/>
      <c r="K92" s="466"/>
      <c r="L92" s="466"/>
      <c r="M92" s="467"/>
    </row>
    <row r="93" spans="1:13" ht="12.75">
      <c r="A93" s="510"/>
      <c r="B93" s="545"/>
      <c r="C93" s="230" t="s">
        <v>628</v>
      </c>
      <c r="D93" s="504" t="s">
        <v>85</v>
      </c>
      <c r="E93" s="1048" t="s">
        <v>873</v>
      </c>
      <c r="F93" s="1054">
        <v>826830368.7540346</v>
      </c>
      <c r="G93" s="504"/>
      <c r="H93" s="818"/>
      <c r="I93" s="504"/>
      <c r="J93" s="463"/>
      <c r="K93" s="463"/>
      <c r="L93" s="504"/>
      <c r="M93" s="500"/>
    </row>
    <row r="94" spans="1:13" ht="12.75">
      <c r="A94" s="510"/>
      <c r="B94" s="463"/>
      <c r="C94" s="230" t="s">
        <v>761</v>
      </c>
      <c r="D94" s="504" t="s">
        <v>85</v>
      </c>
      <c r="E94" s="1048" t="s">
        <v>873</v>
      </c>
      <c r="F94" s="1054">
        <v>828355852.773327</v>
      </c>
      <c r="G94" s="504"/>
      <c r="H94" s="818"/>
      <c r="I94" s="469"/>
      <c r="J94" s="466"/>
      <c r="K94" s="466"/>
      <c r="L94" s="466"/>
      <c r="M94" s="467"/>
    </row>
    <row r="95" spans="1:13" ht="12.75">
      <c r="A95" s="508"/>
      <c r="B95" s="545"/>
      <c r="C95" s="515" t="s">
        <v>762</v>
      </c>
      <c r="D95" s="504" t="s">
        <v>85</v>
      </c>
      <c r="E95" s="1048" t="s">
        <v>873</v>
      </c>
      <c r="F95" s="1054">
        <v>829409801.9054111</v>
      </c>
      <c r="G95" s="504"/>
      <c r="H95" s="818"/>
      <c r="I95" s="504"/>
      <c r="J95" s="466"/>
      <c r="K95" s="466"/>
      <c r="L95" s="466"/>
      <c r="M95" s="467"/>
    </row>
    <row r="96" spans="1:13" ht="12.75">
      <c r="A96" s="510"/>
      <c r="B96" s="507"/>
      <c r="C96" s="230" t="s">
        <v>763</v>
      </c>
      <c r="D96" s="504" t="s">
        <v>85</v>
      </c>
      <c r="E96" s="1048" t="s">
        <v>873</v>
      </c>
      <c r="F96" s="1054">
        <v>831433823.3732626</v>
      </c>
      <c r="G96" s="504"/>
      <c r="H96" s="818"/>
      <c r="I96" s="416"/>
      <c r="J96" s="466"/>
      <c r="K96" s="466"/>
      <c r="L96" s="466"/>
      <c r="M96" s="467"/>
    </row>
    <row r="97" spans="1:13" ht="12.75">
      <c r="A97" s="510"/>
      <c r="B97" s="507"/>
      <c r="C97" s="230" t="s">
        <v>764</v>
      </c>
      <c r="D97" s="504" t="s">
        <v>85</v>
      </c>
      <c r="E97" s="1048" t="s">
        <v>873</v>
      </c>
      <c r="F97" s="1054">
        <v>833072203.7219611</v>
      </c>
      <c r="G97" s="504"/>
      <c r="H97" s="818"/>
      <c r="I97" s="202"/>
      <c r="L97" s="202"/>
      <c r="M97" s="467"/>
    </row>
    <row r="98" spans="1:13" ht="12.75">
      <c r="A98" s="508"/>
      <c r="B98" s="463"/>
      <c r="C98" s="515" t="s">
        <v>659</v>
      </c>
      <c r="D98" s="504" t="s">
        <v>85</v>
      </c>
      <c r="E98" s="1048" t="s">
        <v>873</v>
      </c>
      <c r="F98" s="1054">
        <v>836780094.3836242</v>
      </c>
      <c r="G98" s="504"/>
      <c r="H98" s="818"/>
      <c r="I98" s="202"/>
      <c r="L98" s="202"/>
      <c r="M98" s="467"/>
    </row>
    <row r="99" spans="1:13" ht="12.75">
      <c r="A99" s="508"/>
      <c r="B99" s="463"/>
      <c r="C99" s="515" t="s">
        <v>660</v>
      </c>
      <c r="D99" s="504" t="s">
        <v>85</v>
      </c>
      <c r="E99" s="1048" t="s">
        <v>873</v>
      </c>
      <c r="F99" s="1054">
        <v>837618032.3382844</v>
      </c>
      <c r="G99" s="504"/>
      <c r="H99" s="818"/>
      <c r="I99" s="202"/>
      <c r="L99" s="202"/>
      <c r="M99" s="467"/>
    </row>
    <row r="100" spans="1:13" ht="15">
      <c r="A100" s="510"/>
      <c r="B100" s="545"/>
      <c r="C100" s="559" t="s">
        <v>758</v>
      </c>
      <c r="D100" s="104" t="s">
        <v>787</v>
      </c>
      <c r="E100" s="1050" t="s">
        <v>873</v>
      </c>
      <c r="F100" s="1055">
        <v>839330054</v>
      </c>
      <c r="G100" s="1016">
        <f>+F100</f>
        <v>839330054</v>
      </c>
      <c r="H100" s="818"/>
      <c r="I100" s="1002"/>
      <c r="L100" s="1209"/>
      <c r="M100" s="500"/>
    </row>
    <row r="101" spans="1:13" ht="12.75">
      <c r="A101" s="510"/>
      <c r="B101" s="463"/>
      <c r="C101" s="514" t="s">
        <v>1</v>
      </c>
      <c r="D101" s="463"/>
      <c r="E101" s="512"/>
      <c r="F101" s="560">
        <f>AVERAGE(F88:F100)</f>
        <v>828107167.1770606</v>
      </c>
      <c r="G101" s="423">
        <f>+G100</f>
        <v>839330054</v>
      </c>
      <c r="H101" s="504"/>
      <c r="I101" s="202"/>
      <c r="L101" s="202"/>
      <c r="M101" s="467"/>
    </row>
    <row r="102" spans="1:13" ht="12.75">
      <c r="A102" s="510"/>
      <c r="B102" s="507"/>
      <c r="C102" s="230"/>
      <c r="D102" s="463"/>
      <c r="E102" s="511"/>
      <c r="F102" s="528"/>
      <c r="G102" s="689"/>
      <c r="H102" s="963"/>
      <c r="I102" s="964"/>
      <c r="J102" s="504"/>
      <c r="K102" s="466"/>
      <c r="L102" s="466"/>
      <c r="M102" s="467"/>
    </row>
    <row r="103" spans="1:13" ht="12.75">
      <c r="A103" s="508"/>
      <c r="B103" s="545"/>
      <c r="C103" s="558" t="s">
        <v>792</v>
      </c>
      <c r="D103" s="463" t="s">
        <v>765</v>
      </c>
      <c r="E103" s="472"/>
      <c r="F103" s="500"/>
      <c r="G103" s="504"/>
      <c r="H103" s="963"/>
      <c r="I103" s="965"/>
      <c r="J103" s="466"/>
      <c r="K103" s="466"/>
      <c r="L103" s="466"/>
      <c r="M103" s="467"/>
    </row>
    <row r="104" spans="1:13" ht="15">
      <c r="A104" s="465"/>
      <c r="B104" s="299"/>
      <c r="C104" s="299" t="s">
        <v>758</v>
      </c>
      <c r="D104" s="42" t="s">
        <v>210</v>
      </c>
      <c r="E104" s="1048" t="s">
        <v>869</v>
      </c>
      <c r="F104" s="1054">
        <v>61001756</v>
      </c>
      <c r="G104" s="504"/>
      <c r="H104" s="964"/>
      <c r="I104" s="964"/>
      <c r="J104" s="466"/>
      <c r="K104" s="466"/>
      <c r="L104" s="466"/>
      <c r="M104" s="467"/>
    </row>
    <row r="105" spans="1:13" ht="15">
      <c r="A105" s="510"/>
      <c r="B105" s="545"/>
      <c r="C105" s="559" t="s">
        <v>758</v>
      </c>
      <c r="D105" s="104" t="s">
        <v>519</v>
      </c>
      <c r="E105" s="1050" t="s">
        <v>873</v>
      </c>
      <c r="F105" s="1055">
        <v>92302910</v>
      </c>
      <c r="G105" s="1016">
        <f>+F105</f>
        <v>92302910</v>
      </c>
      <c r="H105" s="963"/>
      <c r="I105" s="964"/>
      <c r="J105" s="504"/>
      <c r="K105" s="504"/>
      <c r="L105" s="504"/>
      <c r="M105" s="500"/>
    </row>
    <row r="106" spans="1:13" ht="12.75">
      <c r="A106" s="510">
        <f>'Appendix A'!A47</f>
        <v>26</v>
      </c>
      <c r="B106" s="463"/>
      <c r="C106" s="514" t="str">
        <f>'Appendix A'!C47</f>
        <v>Accumulated Intangible Depreciation</v>
      </c>
      <c r="D106" s="463"/>
      <c r="E106" s="512"/>
      <c r="F106" s="560">
        <f>AVERAGE(F104:F105)</f>
        <v>76652333</v>
      </c>
      <c r="G106" s="423">
        <f>+G105</f>
        <v>92302910</v>
      </c>
      <c r="H106" s="963"/>
      <c r="I106" s="965"/>
      <c r="J106" s="466"/>
      <c r="K106" s="466"/>
      <c r="L106" s="466"/>
      <c r="M106" s="467"/>
    </row>
    <row r="107" spans="1:13" ht="12.75">
      <c r="A107" s="508"/>
      <c r="B107" s="463"/>
      <c r="C107" s="515"/>
      <c r="D107" s="463"/>
      <c r="E107" s="904"/>
      <c r="F107" s="529"/>
      <c r="G107" s="689"/>
      <c r="H107" s="964"/>
      <c r="I107" s="964"/>
      <c r="J107" s="502"/>
      <c r="K107" s="466"/>
      <c r="L107" s="466"/>
      <c r="M107" s="467"/>
    </row>
    <row r="108" spans="1:13" ht="12.75">
      <c r="A108" s="508"/>
      <c r="B108" s="545"/>
      <c r="C108" s="558" t="s">
        <v>793</v>
      </c>
      <c r="D108" s="463" t="s">
        <v>765</v>
      </c>
      <c r="E108" s="416"/>
      <c r="F108" s="500"/>
      <c r="G108" s="504"/>
      <c r="H108" s="331"/>
      <c r="I108" s="504"/>
      <c r="J108" s="504"/>
      <c r="K108" s="466"/>
      <c r="L108" s="466"/>
      <c r="M108" s="467"/>
    </row>
    <row r="109" spans="1:13" ht="15">
      <c r="A109" s="465"/>
      <c r="B109" s="299"/>
      <c r="C109" s="299" t="s">
        <v>758</v>
      </c>
      <c r="D109" s="42" t="s">
        <v>212</v>
      </c>
      <c r="E109" s="1048" t="s">
        <v>869</v>
      </c>
      <c r="F109" s="1054">
        <v>118780555</v>
      </c>
      <c r="G109" s="504"/>
      <c r="H109" s="966"/>
      <c r="I109" s="965"/>
      <c r="J109" s="466"/>
      <c r="K109" s="466"/>
      <c r="L109" s="466"/>
      <c r="M109" s="467"/>
    </row>
    <row r="110" spans="1:13" ht="15">
      <c r="A110" s="510"/>
      <c r="B110" s="545"/>
      <c r="C110" s="559" t="s">
        <v>758</v>
      </c>
      <c r="D110" s="104" t="s">
        <v>213</v>
      </c>
      <c r="E110" s="1050" t="s">
        <v>873</v>
      </c>
      <c r="F110" s="1055">
        <v>124217893</v>
      </c>
      <c r="G110" s="1016">
        <f>+F110</f>
        <v>124217893</v>
      </c>
      <c r="H110" s="966"/>
      <c r="I110" s="967"/>
      <c r="J110" s="469"/>
      <c r="K110" s="466"/>
      <c r="L110" s="466"/>
      <c r="M110" s="500"/>
    </row>
    <row r="111" spans="1:13" ht="12.75">
      <c r="A111" s="510">
        <f>'Appendix A'!A46</f>
        <v>25</v>
      </c>
      <c r="B111" s="463"/>
      <c r="C111" s="514" t="str">
        <f>'Appendix A'!C46</f>
        <v>Accumulated General Depreciation</v>
      </c>
      <c r="D111" s="463"/>
      <c r="E111" s="512"/>
      <c r="F111" s="560">
        <f>AVERAGE(F109:F110)</f>
        <v>121499224</v>
      </c>
      <c r="G111" s="423">
        <f>+G110</f>
        <v>124217893</v>
      </c>
      <c r="H111" s="530"/>
      <c r="I111" s="964"/>
      <c r="J111" s="466"/>
      <c r="K111" s="466"/>
      <c r="L111" s="466"/>
      <c r="M111" s="467"/>
    </row>
    <row r="112" spans="1:13" ht="12.75">
      <c r="A112" s="510"/>
      <c r="B112" s="545"/>
      <c r="C112" s="230"/>
      <c r="D112" s="530"/>
      <c r="E112" s="512"/>
      <c r="F112" s="532"/>
      <c r="G112" s="504"/>
      <c r="H112" s="966"/>
      <c r="I112" s="964"/>
      <c r="J112" s="466"/>
      <c r="K112" s="466"/>
      <c r="L112" s="466"/>
      <c r="M112" s="500"/>
    </row>
    <row r="113" spans="1:13" ht="12.75">
      <c r="A113" s="508"/>
      <c r="B113" s="545"/>
      <c r="C113" s="558" t="s">
        <v>784</v>
      </c>
      <c r="D113" s="463" t="s">
        <v>765</v>
      </c>
      <c r="E113" s="416"/>
      <c r="F113" s="500"/>
      <c r="G113" s="504"/>
      <c r="H113" s="557"/>
      <c r="I113" s="965"/>
      <c r="J113" s="466"/>
      <c r="K113" s="466"/>
      <c r="L113" s="466"/>
      <c r="M113" s="467"/>
    </row>
    <row r="114" spans="1:13" ht="15">
      <c r="A114" s="508"/>
      <c r="B114" s="545"/>
      <c r="C114" s="299" t="s">
        <v>758</v>
      </c>
      <c r="D114" s="42" t="s">
        <v>212</v>
      </c>
      <c r="E114" s="1048" t="s">
        <v>869</v>
      </c>
      <c r="F114" s="948">
        <v>0</v>
      </c>
      <c r="G114" s="504"/>
      <c r="H114" s="968"/>
      <c r="I114" s="964"/>
      <c r="J114" s="466"/>
      <c r="K114" s="466"/>
      <c r="L114" s="466"/>
      <c r="M114" s="467"/>
    </row>
    <row r="115" spans="1:13" ht="12.75">
      <c r="A115" s="508"/>
      <c r="B115" s="545"/>
      <c r="C115" s="502" t="s">
        <v>759</v>
      </c>
      <c r="D115" s="504" t="s">
        <v>85</v>
      </c>
      <c r="E115" s="1048" t="s">
        <v>873</v>
      </c>
      <c r="F115" s="948">
        <v>0</v>
      </c>
      <c r="G115" s="504"/>
      <c r="H115" s="504"/>
      <c r="I115" s="504"/>
      <c r="J115" s="504"/>
      <c r="K115" s="504"/>
      <c r="L115" s="504"/>
      <c r="M115" s="467"/>
    </row>
    <row r="116" spans="1:13" ht="12.75">
      <c r="A116" s="508"/>
      <c r="B116" s="545"/>
      <c r="C116" s="230" t="s">
        <v>760</v>
      </c>
      <c r="D116" s="504" t="s">
        <v>85</v>
      </c>
      <c r="E116" s="1048" t="s">
        <v>873</v>
      </c>
      <c r="F116" s="948">
        <v>0</v>
      </c>
      <c r="G116" s="504"/>
      <c r="H116" s="504"/>
      <c r="I116" s="504"/>
      <c r="J116" s="466"/>
      <c r="K116" s="466"/>
      <c r="L116" s="466"/>
      <c r="M116" s="467"/>
    </row>
    <row r="117" spans="1:13" ht="12.75">
      <c r="A117" s="508"/>
      <c r="B117" s="545"/>
      <c r="C117" s="230" t="s">
        <v>232</v>
      </c>
      <c r="D117" s="504" t="s">
        <v>85</v>
      </c>
      <c r="E117" s="1048" t="s">
        <v>873</v>
      </c>
      <c r="F117" s="948">
        <v>0</v>
      </c>
      <c r="G117" s="504"/>
      <c r="H117" s="202"/>
      <c r="I117" s="202"/>
      <c r="M117" s="467"/>
    </row>
    <row r="118" spans="1:13" ht="12.75">
      <c r="A118" s="508"/>
      <c r="B118" s="545"/>
      <c r="C118" s="502" t="s">
        <v>627</v>
      </c>
      <c r="D118" s="504" t="s">
        <v>85</v>
      </c>
      <c r="E118" s="1048" t="s">
        <v>873</v>
      </c>
      <c r="F118" s="948">
        <v>0</v>
      </c>
      <c r="G118" s="504"/>
      <c r="H118" s="202"/>
      <c r="I118" s="202"/>
      <c r="M118" s="467"/>
    </row>
    <row r="119" spans="1:13" ht="12.75">
      <c r="A119" s="508"/>
      <c r="B119" s="545"/>
      <c r="C119" s="230" t="s">
        <v>628</v>
      </c>
      <c r="D119" s="504" t="s">
        <v>85</v>
      </c>
      <c r="E119" s="1048" t="s">
        <v>873</v>
      </c>
      <c r="F119" s="948">
        <v>0</v>
      </c>
      <c r="G119" s="504"/>
      <c r="H119" s="202"/>
      <c r="I119" s="202"/>
      <c r="M119" s="467"/>
    </row>
    <row r="120" spans="1:13" ht="12.75">
      <c r="A120" s="508"/>
      <c r="B120" s="545"/>
      <c r="C120" s="230" t="s">
        <v>761</v>
      </c>
      <c r="D120" s="504" t="s">
        <v>85</v>
      </c>
      <c r="E120" s="1048" t="s">
        <v>873</v>
      </c>
      <c r="F120" s="948">
        <v>0</v>
      </c>
      <c r="G120" s="504"/>
      <c r="H120" s="202"/>
      <c r="I120" s="202"/>
      <c r="M120" s="467"/>
    </row>
    <row r="121" spans="1:13" ht="12.75">
      <c r="A121" s="508"/>
      <c r="B121" s="545"/>
      <c r="C121" s="502" t="s">
        <v>762</v>
      </c>
      <c r="D121" s="504" t="s">
        <v>85</v>
      </c>
      <c r="E121" s="1048" t="s">
        <v>873</v>
      </c>
      <c r="F121" s="948">
        <v>0</v>
      </c>
      <c r="G121" s="504"/>
      <c r="H121" s="202"/>
      <c r="I121" s="202"/>
      <c r="M121" s="467"/>
    </row>
    <row r="122" spans="1:13" ht="12.75">
      <c r="A122" s="508"/>
      <c r="B122" s="545"/>
      <c r="C122" s="230" t="s">
        <v>763</v>
      </c>
      <c r="D122" s="504" t="s">
        <v>85</v>
      </c>
      <c r="E122" s="1048" t="s">
        <v>873</v>
      </c>
      <c r="F122" s="948">
        <v>0</v>
      </c>
      <c r="G122" s="504"/>
      <c r="H122" s="202"/>
      <c r="I122" s="202"/>
      <c r="M122" s="467"/>
    </row>
    <row r="123" spans="1:13" ht="12.75">
      <c r="A123" s="508"/>
      <c r="B123" s="545"/>
      <c r="C123" s="230" t="s">
        <v>764</v>
      </c>
      <c r="D123" s="504" t="s">
        <v>85</v>
      </c>
      <c r="E123" s="1048" t="s">
        <v>873</v>
      </c>
      <c r="F123" s="948">
        <v>0</v>
      </c>
      <c r="G123" s="504"/>
      <c r="H123" s="202"/>
      <c r="I123" s="202"/>
      <c r="M123" s="467"/>
    </row>
    <row r="124" spans="1:13" ht="12.75">
      <c r="A124" s="508"/>
      <c r="B124" s="545"/>
      <c r="C124" s="502" t="s">
        <v>659</v>
      </c>
      <c r="D124" s="504" t="s">
        <v>85</v>
      </c>
      <c r="E124" s="1048" t="s">
        <v>873</v>
      </c>
      <c r="F124" s="948">
        <v>0</v>
      </c>
      <c r="G124" s="504"/>
      <c r="H124" s="202"/>
      <c r="I124" s="202"/>
      <c r="M124" s="467"/>
    </row>
    <row r="125" spans="1:13" ht="12.75">
      <c r="A125" s="465"/>
      <c r="B125" s="299"/>
      <c r="C125" s="502" t="s">
        <v>660</v>
      </c>
      <c r="D125" s="504" t="s">
        <v>85</v>
      </c>
      <c r="E125" s="1048" t="s">
        <v>873</v>
      </c>
      <c r="F125" s="1054">
        <v>0</v>
      </c>
      <c r="G125" s="689"/>
      <c r="H125" s="202"/>
      <c r="I125" s="202"/>
      <c r="M125" s="467"/>
    </row>
    <row r="126" spans="1:13" ht="15">
      <c r="A126" s="510"/>
      <c r="B126" s="545"/>
      <c r="C126" s="559" t="s">
        <v>758</v>
      </c>
      <c r="D126" s="104" t="s">
        <v>786</v>
      </c>
      <c r="E126" s="1050" t="s">
        <v>873</v>
      </c>
      <c r="F126" s="1056">
        <v>0</v>
      </c>
      <c r="G126" s="1016">
        <f>+F126</f>
        <v>0</v>
      </c>
      <c r="H126" s="504"/>
      <c r="I126" s="504"/>
      <c r="J126" s="463"/>
      <c r="K126" s="463"/>
      <c r="L126" s="463"/>
      <c r="M126" s="500"/>
    </row>
    <row r="127" spans="1:13" ht="12.75">
      <c r="A127" s="510"/>
      <c r="B127" s="463"/>
      <c r="C127" s="514" t="s">
        <v>790</v>
      </c>
      <c r="D127" s="463"/>
      <c r="E127" s="512"/>
      <c r="F127" s="560">
        <f>AVERAGE(F125:F126)</f>
        <v>0</v>
      </c>
      <c r="G127" s="423">
        <f>+G126</f>
        <v>0</v>
      </c>
      <c r="H127" s="504"/>
      <c r="I127" s="463"/>
      <c r="J127" s="466"/>
      <c r="K127" s="466"/>
      <c r="L127" s="466"/>
      <c r="M127" s="467"/>
    </row>
    <row r="128" spans="1:13" ht="12.75">
      <c r="A128" s="510"/>
      <c r="B128" s="463"/>
      <c r="C128" s="230"/>
      <c r="D128" s="463"/>
      <c r="E128" s="511"/>
      <c r="F128" s="528"/>
      <c r="G128" s="689"/>
      <c r="H128" s="416"/>
      <c r="I128" s="468"/>
      <c r="J128" s="466"/>
      <c r="K128" s="466"/>
      <c r="L128" s="466"/>
      <c r="M128" s="467"/>
    </row>
    <row r="129" spans="1:13" ht="12.75">
      <c r="A129" s="508"/>
      <c r="B129" s="545"/>
      <c r="C129" s="558" t="s">
        <v>2</v>
      </c>
      <c r="D129" s="463" t="s">
        <v>765</v>
      </c>
      <c r="E129" s="416"/>
      <c r="F129" s="500"/>
      <c r="G129" s="487"/>
      <c r="H129" s="504"/>
      <c r="I129" s="463"/>
      <c r="J129" s="466"/>
      <c r="K129" s="466"/>
      <c r="L129" s="466"/>
      <c r="M129" s="467"/>
    </row>
    <row r="130" spans="1:13" ht="15">
      <c r="A130" s="510"/>
      <c r="B130" s="507"/>
      <c r="C130" s="299" t="s">
        <v>780</v>
      </c>
      <c r="D130" s="42" t="s">
        <v>324</v>
      </c>
      <c r="E130" s="1048" t="s">
        <v>869</v>
      </c>
      <c r="F130" s="1054">
        <v>0</v>
      </c>
      <c r="G130" s="689"/>
      <c r="H130" s="416"/>
      <c r="I130" s="817"/>
      <c r="J130" s="466"/>
      <c r="K130" s="466"/>
      <c r="L130" s="466"/>
      <c r="M130" s="467"/>
    </row>
    <row r="131" spans="1:13" ht="15">
      <c r="A131" s="510"/>
      <c r="B131" s="507"/>
      <c r="C131" s="559" t="s">
        <v>780</v>
      </c>
      <c r="D131" s="104" t="s">
        <v>324</v>
      </c>
      <c r="E131" s="1050" t="s">
        <v>873</v>
      </c>
      <c r="F131" s="1055">
        <v>0</v>
      </c>
      <c r="G131" s="1016">
        <f>+F131</f>
        <v>0</v>
      </c>
      <c r="H131" s="416"/>
      <c r="I131" s="502"/>
      <c r="J131" s="466"/>
      <c r="K131" s="466"/>
      <c r="L131" s="466"/>
      <c r="M131" s="467"/>
    </row>
    <row r="132" spans="1:13" ht="12.75">
      <c r="A132" s="508">
        <f>'Appendix A'!A49</f>
        <v>28</v>
      </c>
      <c r="B132" s="463"/>
      <c r="C132" s="462" t="str">
        <f>'Appendix A'!C49</f>
        <v>Common Plant Accumulated Depreciation (Electric Only)</v>
      </c>
      <c r="D132" s="504"/>
      <c r="E132" s="785"/>
      <c r="F132" s="560">
        <f>AVERAGE(F130:F131)</f>
        <v>0</v>
      </c>
      <c r="G132" s="423">
        <f>+G131</f>
        <v>0</v>
      </c>
      <c r="H132" s="472"/>
      <c r="I132" s="502"/>
      <c r="J132" s="466"/>
      <c r="K132" s="466"/>
      <c r="L132" s="466"/>
      <c r="M132" s="467"/>
    </row>
    <row r="133" spans="1:13" ht="12.75">
      <c r="A133" s="508"/>
      <c r="B133" s="463"/>
      <c r="C133" s="514"/>
      <c r="D133" s="463"/>
      <c r="E133" s="512"/>
      <c r="F133" s="560"/>
      <c r="G133" s="670"/>
      <c r="H133" s="472"/>
      <c r="I133" s="502"/>
      <c r="J133" s="466"/>
      <c r="K133" s="466"/>
      <c r="L133" s="466"/>
      <c r="M133" s="467"/>
    </row>
    <row r="134" spans="1:13" s="491" customFormat="1" ht="13.5" thickBot="1">
      <c r="A134" s="519">
        <f>'Appendix A'!A16</f>
        <v>7</v>
      </c>
      <c r="B134" s="831"/>
      <c r="C134" s="832" t="str">
        <f>'Appendix A'!C16</f>
        <v>Total Accumulated Depreciation</v>
      </c>
      <c r="D134" s="833" t="s">
        <v>781</v>
      </c>
      <c r="E134" s="834"/>
      <c r="F134" s="835">
        <f>F85+F101+F106+F111+F127+F132</f>
        <v>1261789797.153077</v>
      </c>
      <c r="G134" s="836">
        <f>G85+G101+G106+G111+G127+G132</f>
        <v>1300604573</v>
      </c>
      <c r="H134" s="837"/>
      <c r="I134" s="819"/>
      <c r="J134" s="522"/>
      <c r="K134" s="506"/>
      <c r="L134" s="506"/>
      <c r="M134" s="838"/>
    </row>
    <row r="135" spans="1:13" ht="12.75">
      <c r="A135" s="517"/>
      <c r="B135" s="507"/>
      <c r="C135" s="230"/>
      <c r="D135" s="463"/>
      <c r="E135" s="511"/>
      <c r="F135" s="230"/>
      <c r="G135" s="557"/>
      <c r="H135" s="472"/>
      <c r="I135" s="472"/>
      <c r="J135" s="466"/>
      <c r="K135" s="466"/>
      <c r="L135" s="466"/>
      <c r="M135" s="466"/>
    </row>
    <row r="136" spans="1:17" ht="13.5" thickBot="1">
      <c r="A136" s="817" t="s">
        <v>197</v>
      </c>
      <c r="B136" s="594"/>
      <c r="C136" s="387"/>
      <c r="D136" s="595"/>
      <c r="E136" s="596"/>
      <c r="F136" s="597"/>
      <c r="G136" s="208"/>
      <c r="H136" s="208"/>
      <c r="I136" s="208"/>
      <c r="J136" s="208"/>
      <c r="K136" s="208"/>
      <c r="L136" s="208"/>
      <c r="M136" s="208"/>
      <c r="N136" s="208"/>
      <c r="O136" s="208"/>
      <c r="P136" s="208"/>
      <c r="Q136" s="208"/>
    </row>
    <row r="137" spans="1:13" ht="12.75">
      <c r="A137" s="1243" t="s">
        <v>50</v>
      </c>
      <c r="B137" s="1244"/>
      <c r="C137" s="1244"/>
      <c r="D137" s="1244"/>
      <c r="E137" s="1244"/>
      <c r="F137" s="1245"/>
      <c r="G137" s="825" t="s">
        <v>603</v>
      </c>
      <c r="H137" s="826" t="s">
        <v>198</v>
      </c>
      <c r="I137" s="826" t="s">
        <v>199</v>
      </c>
      <c r="J137" s="826" t="s">
        <v>579</v>
      </c>
      <c r="K137" s="582"/>
      <c r="L137" s="618"/>
      <c r="M137" s="619"/>
    </row>
    <row r="138" spans="1:13" ht="12.75">
      <c r="A138" s="598"/>
      <c r="B138" s="599" t="s">
        <v>447</v>
      </c>
      <c r="C138" s="595"/>
      <c r="D138" s="209"/>
      <c r="E138" s="246"/>
      <c r="F138" s="233"/>
      <c r="G138" s="234"/>
      <c r="H138" s="209"/>
      <c r="I138" s="209"/>
      <c r="J138" s="620"/>
      <c r="K138" s="620"/>
      <c r="L138" s="621"/>
      <c r="M138" s="622"/>
    </row>
    <row r="139" spans="1:13" ht="15" customHeight="1">
      <c r="A139" s="600">
        <f>'Appendix A'!A47</f>
        <v>26</v>
      </c>
      <c r="B139" s="209"/>
      <c r="C139" s="601" t="str">
        <f>'Appendix A'!C47</f>
        <v>Accumulated Intangible Depreciation</v>
      </c>
      <c r="D139" s="595"/>
      <c r="E139" s="610"/>
      <c r="F139" s="1197" t="s">
        <v>200</v>
      </c>
      <c r="G139" s="949">
        <v>92302910</v>
      </c>
      <c r="H139" s="1116">
        <v>92302910</v>
      </c>
      <c r="I139" s="589"/>
      <c r="J139" s="623"/>
      <c r="K139" s="623"/>
      <c r="L139" s="624"/>
      <c r="M139" s="625"/>
    </row>
    <row r="140" spans="1:13" ht="12.75">
      <c r="A140" s="600">
        <f>'Appendix A'!A48</f>
        <v>27</v>
      </c>
      <c r="B140" s="209"/>
      <c r="C140" s="606" t="str">
        <f>'Appendix A'!C48</f>
        <v>Accumulated Common Amortization - Electric</v>
      </c>
      <c r="D140" s="595"/>
      <c r="E140" s="1211"/>
      <c r="F140" s="1198" t="s">
        <v>324</v>
      </c>
      <c r="G140" s="949">
        <v>0</v>
      </c>
      <c r="H140" s="1116">
        <v>0</v>
      </c>
      <c r="I140" s="589"/>
      <c r="J140" s="623"/>
      <c r="K140" s="623"/>
      <c r="L140" s="624"/>
      <c r="M140" s="625"/>
    </row>
    <row r="141" spans="1:13" ht="12.75">
      <c r="A141" s="600">
        <f>'Appendix A'!A49</f>
        <v>28</v>
      </c>
      <c r="B141" s="595"/>
      <c r="C141" s="606" t="str">
        <f>'Appendix A'!C49</f>
        <v>Common Plant Accumulated Depreciation (Electric Only)</v>
      </c>
      <c r="D141" s="595"/>
      <c r="E141" s="1211"/>
      <c r="F141" s="1198" t="s">
        <v>324</v>
      </c>
      <c r="G141" s="949">
        <v>0</v>
      </c>
      <c r="H141" s="1116">
        <v>0</v>
      </c>
      <c r="I141" s="589"/>
      <c r="J141" s="623"/>
      <c r="K141" s="623"/>
      <c r="L141" s="624"/>
      <c r="M141" s="625"/>
    </row>
    <row r="142" spans="1:13" ht="12.75">
      <c r="A142" s="598"/>
      <c r="B142" s="599" t="s">
        <v>407</v>
      </c>
      <c r="C142" s="595"/>
      <c r="D142" s="595"/>
      <c r="E142" s="602"/>
      <c r="F142" s="603"/>
      <c r="G142" s="234"/>
      <c r="H142" s="209"/>
      <c r="I142" s="210"/>
      <c r="J142" s="586"/>
      <c r="K142" s="586"/>
      <c r="L142" s="587"/>
      <c r="M142" s="588"/>
    </row>
    <row r="143" spans="1:13" ht="12.75">
      <c r="A143" s="600">
        <f>'Appendix A'!A33</f>
        <v>17</v>
      </c>
      <c r="B143" s="594"/>
      <c r="C143" s="606" t="str">
        <f>'Appendix A'!C33</f>
        <v>Common Plant (Electric Only)</v>
      </c>
      <c r="D143" s="391"/>
      <c r="E143" s="814"/>
      <c r="F143" s="1198" t="s">
        <v>324</v>
      </c>
      <c r="G143" s="1118">
        <v>0</v>
      </c>
      <c r="H143" s="1116">
        <v>0</v>
      </c>
      <c r="I143" s="589"/>
      <c r="J143" s="626"/>
      <c r="K143" s="626"/>
      <c r="L143" s="627"/>
      <c r="M143" s="628"/>
    </row>
    <row r="144" spans="1:13" ht="12.75">
      <c r="A144" s="600"/>
      <c r="B144" s="604" t="s">
        <v>351</v>
      </c>
      <c r="C144" s="606"/>
      <c r="D144" s="815"/>
      <c r="E144" s="814"/>
      <c r="F144" s="607"/>
      <c r="G144" s="234"/>
      <c r="H144" s="209"/>
      <c r="I144" s="209"/>
      <c r="J144" s="586"/>
      <c r="K144" s="586"/>
      <c r="L144" s="587"/>
      <c r="M144" s="588"/>
    </row>
    <row r="145" spans="1:13" ht="15.75" customHeight="1">
      <c r="A145" s="325">
        <f>'Appendix A'!A78</f>
        <v>42</v>
      </c>
      <c r="B145" s="210"/>
      <c r="C145" s="606" t="str">
        <f>'Appendix A'!C78</f>
        <v>Undistributed Stores Exp</v>
      </c>
      <c r="D145" s="815"/>
      <c r="E145" s="1212"/>
      <c r="F145" s="609" t="s">
        <v>214</v>
      </c>
      <c r="G145" s="949">
        <v>1453603</v>
      </c>
      <c r="H145" s="1116">
        <v>1453603</v>
      </c>
      <c r="I145" s="589"/>
      <c r="J145" s="629"/>
      <c r="K145" s="629"/>
      <c r="L145" s="624"/>
      <c r="M145" s="625"/>
    </row>
    <row r="146" spans="1:13" ht="12.75">
      <c r="A146" s="600"/>
      <c r="B146" s="599" t="s">
        <v>342</v>
      </c>
      <c r="C146" s="606"/>
      <c r="D146" s="815"/>
      <c r="E146" s="816"/>
      <c r="F146" s="609"/>
      <c r="G146" s="234"/>
      <c r="H146" s="209"/>
      <c r="I146" s="209"/>
      <c r="J146" s="586"/>
      <c r="K146" s="586"/>
      <c r="L146" s="587"/>
      <c r="M146" s="588"/>
    </row>
    <row r="147" spans="1:13" ht="12.75">
      <c r="A147" s="600">
        <f>'Appendix A'!A100</f>
        <v>55</v>
      </c>
      <c r="B147" s="599"/>
      <c r="C147" s="606" t="str">
        <f>'Appendix A'!C100</f>
        <v>     Plus Net Transmission Lease Payments</v>
      </c>
      <c r="D147" s="815"/>
      <c r="E147" s="816"/>
      <c r="F147" s="609" t="s">
        <v>290</v>
      </c>
      <c r="G147" s="1118">
        <v>0</v>
      </c>
      <c r="H147" s="1114">
        <v>0</v>
      </c>
      <c r="I147" s="210"/>
      <c r="J147" s="586"/>
      <c r="K147" s="586"/>
      <c r="L147" s="587"/>
      <c r="M147" s="588"/>
    </row>
    <row r="148" spans="1:13" ht="12.75">
      <c r="A148" s="600">
        <f>'Appendix A'!A104</f>
        <v>57</v>
      </c>
      <c r="B148" s="610"/>
      <c r="C148" s="606" t="str">
        <f>'Appendix A'!C104</f>
        <v>Common Plant O&amp;M</v>
      </c>
      <c r="D148" s="815"/>
      <c r="E148" s="202"/>
      <c r="F148" s="1198" t="s">
        <v>324</v>
      </c>
      <c r="G148" s="1118">
        <v>0</v>
      </c>
      <c r="H148" s="1114">
        <v>0</v>
      </c>
      <c r="I148" s="589"/>
      <c r="J148" s="623"/>
      <c r="K148" s="623"/>
      <c r="L148" s="624"/>
      <c r="M148" s="625"/>
    </row>
    <row r="149" spans="1:18" ht="12.75">
      <c r="A149" s="598"/>
      <c r="B149" s="611" t="s">
        <v>320</v>
      </c>
      <c r="C149" s="605"/>
      <c r="D149" s="595"/>
      <c r="E149" s="1213"/>
      <c r="F149" s="609"/>
      <c r="G149" s="815"/>
      <c r="H149" s="210"/>
      <c r="I149" s="210"/>
      <c r="J149" s="630"/>
      <c r="K149" s="630"/>
      <c r="L149" s="630"/>
      <c r="M149" s="631"/>
      <c r="O149" s="1174"/>
      <c r="P149" s="1174"/>
      <c r="Q149" s="1174"/>
      <c r="R149" s="1174"/>
    </row>
    <row r="150" spans="1:18" ht="15.75" customHeight="1">
      <c r="A150" s="612">
        <f>'Appendix A'!A136</f>
        <v>80</v>
      </c>
      <c r="B150" s="613"/>
      <c r="C150" s="605" t="str">
        <f>'Appendix A'!C136</f>
        <v>Intangible Amortization</v>
      </c>
      <c r="E150" s="1212"/>
      <c r="F150" s="1198" t="s">
        <v>573</v>
      </c>
      <c r="G150" s="949">
        <v>34446889</v>
      </c>
      <c r="H150" s="1116">
        <v>34446889</v>
      </c>
      <c r="I150" s="210"/>
      <c r="J150" s="623"/>
      <c r="K150" s="623"/>
      <c r="L150" s="624"/>
      <c r="M150" s="625"/>
      <c r="O150" s="1173"/>
      <c r="P150" s="1173"/>
      <c r="Q150" s="1173"/>
      <c r="R150" s="1173"/>
    </row>
    <row r="151" spans="1:18" ht="12.75">
      <c r="A151" s="612">
        <f>'Appendix A'!A141</f>
        <v>84</v>
      </c>
      <c r="B151" s="614"/>
      <c r="C151" s="605" t="str">
        <f>'Appendix A'!C141</f>
        <v>Common Depreciation - Electric Only</v>
      </c>
      <c r="D151" s="608"/>
      <c r="E151" s="1211"/>
      <c r="F151" s="1198" t="s">
        <v>477</v>
      </c>
      <c r="G151" s="949">
        <v>0</v>
      </c>
      <c r="H151" s="1114">
        <v>0</v>
      </c>
      <c r="I151" s="589"/>
      <c r="J151" s="593"/>
      <c r="K151" s="593"/>
      <c r="L151" s="593"/>
      <c r="M151" s="632"/>
      <c r="O151" s="1173"/>
      <c r="P151" s="1173"/>
      <c r="Q151" s="1173"/>
      <c r="R151" s="1173"/>
    </row>
    <row r="152" spans="1:18" ht="13.5" thickBot="1">
      <c r="A152" s="615">
        <f>'Appendix A'!A142</f>
        <v>85</v>
      </c>
      <c r="B152" s="616"/>
      <c r="C152" s="635" t="str">
        <f>'Appendix A'!C142</f>
        <v>Common Amortization - Electric Only</v>
      </c>
      <c r="D152" s="617"/>
      <c r="E152" s="1214"/>
      <c r="F152" s="1199" t="s">
        <v>476</v>
      </c>
      <c r="G152" s="638">
        <v>0</v>
      </c>
      <c r="H152" s="1117">
        <v>0</v>
      </c>
      <c r="I152" s="591"/>
      <c r="J152" s="633"/>
      <c r="K152" s="633"/>
      <c r="L152" s="633"/>
      <c r="M152" s="634"/>
      <c r="O152" s="1173"/>
      <c r="P152" s="1173"/>
      <c r="Q152" s="1173"/>
      <c r="R152" s="1173"/>
    </row>
    <row r="153" spans="1:17" ht="15.75">
      <c r="A153" s="232"/>
      <c r="B153" s="590"/>
      <c r="C153" s="583"/>
      <c r="D153" s="231"/>
      <c r="E153" s="584"/>
      <c r="F153" s="592"/>
      <c r="G153" s="585"/>
      <c r="H153" s="589"/>
      <c r="I153" s="585"/>
      <c r="J153" s="593"/>
      <c r="K153" s="593"/>
      <c r="L153" s="593"/>
      <c r="M153" s="593"/>
      <c r="N153" s="593"/>
      <c r="O153" s="593"/>
      <c r="P153" s="593"/>
      <c r="Q153" s="593"/>
    </row>
    <row r="154" ht="13.5" thickBot="1">
      <c r="A154" s="817" t="s">
        <v>655</v>
      </c>
    </row>
    <row r="155" spans="1:13" ht="50.25" customHeight="1" thickBot="1">
      <c r="A155" s="1252" t="s">
        <v>50</v>
      </c>
      <c r="B155" s="1253"/>
      <c r="C155" s="1253"/>
      <c r="D155" s="1253"/>
      <c r="E155" s="1253"/>
      <c r="F155" s="1254"/>
      <c r="G155" s="931" t="s">
        <v>754</v>
      </c>
      <c r="H155" s="827" t="s">
        <v>753</v>
      </c>
      <c r="I155" s="827" t="s">
        <v>503</v>
      </c>
      <c r="J155" s="1255" t="s">
        <v>579</v>
      </c>
      <c r="K155" s="1255"/>
      <c r="L155" s="1255"/>
      <c r="M155" s="1256"/>
    </row>
    <row r="156" spans="1:13" ht="12.75">
      <c r="A156" s="685">
        <f>+'Appendix A'!A68</f>
        <v>38</v>
      </c>
      <c r="B156" s="554"/>
      <c r="C156" s="686" t="str">
        <f>+'Appendix A'!B68</f>
        <v>Plant Held for Future Use </v>
      </c>
      <c r="D156" s="687"/>
      <c r="E156" s="1215" t="s">
        <v>487</v>
      </c>
      <c r="F156" s="474" t="s">
        <v>458</v>
      </c>
      <c r="G156" s="1118">
        <v>0</v>
      </c>
      <c r="H156" s="1118">
        <v>0</v>
      </c>
      <c r="I156" s="1118">
        <f>H156</f>
        <v>0</v>
      </c>
      <c r="J156" s="1017"/>
      <c r="K156" s="466"/>
      <c r="L156" s="466"/>
      <c r="M156" s="467"/>
    </row>
    <row r="157" spans="1:13" ht="12.75">
      <c r="A157" s="682"/>
      <c r="B157" s="683"/>
      <c r="C157" s="683"/>
      <c r="D157" s="683"/>
      <c r="E157" s="299"/>
      <c r="F157" s="516" t="s">
        <v>650</v>
      </c>
      <c r="G157" s="1118">
        <v>0</v>
      </c>
      <c r="H157" s="1118">
        <v>0</v>
      </c>
      <c r="I157" s="1118"/>
      <c r="J157" s="1017"/>
      <c r="K157" s="466"/>
      <c r="L157" s="466"/>
      <c r="M157" s="467"/>
    </row>
    <row r="158" spans="1:13" ht="13.5" thickBot="1">
      <c r="A158" s="490"/>
      <c r="B158" s="491"/>
      <c r="C158" s="491"/>
      <c r="D158" s="491"/>
      <c r="E158" s="491"/>
      <c r="F158" s="538" t="s">
        <v>604</v>
      </c>
      <c r="G158" s="1119">
        <f>G156-G157</f>
        <v>0</v>
      </c>
      <c r="H158" s="1120">
        <f>H156-H157</f>
        <v>0</v>
      </c>
      <c r="I158" s="1121">
        <f>+(G158+H158)/2</f>
        <v>0</v>
      </c>
      <c r="J158" s="1246"/>
      <c r="K158" s="1246"/>
      <c r="L158" s="1246"/>
      <c r="M158" s="1247"/>
    </row>
    <row r="159" spans="1:13" ht="12.75">
      <c r="A159" s="517"/>
      <c r="B159" s="517"/>
      <c r="C159" s="514"/>
      <c r="D159" s="527"/>
      <c r="E159" s="511"/>
      <c r="F159" s="230"/>
      <c r="G159" s="468"/>
      <c r="H159" s="468"/>
      <c r="I159" s="468"/>
      <c r="J159" s="466"/>
      <c r="K159" s="466"/>
      <c r="L159" s="466"/>
      <c r="M159" s="466"/>
    </row>
    <row r="160" ht="13.5" thickBot="1">
      <c r="A160" s="817" t="s">
        <v>673</v>
      </c>
    </row>
    <row r="161" spans="1:13" ht="61.5" customHeight="1" thickBot="1">
      <c r="A161" s="1252" t="s">
        <v>50</v>
      </c>
      <c r="B161" s="1253"/>
      <c r="C161" s="1253"/>
      <c r="D161" s="1253"/>
      <c r="E161" s="1253"/>
      <c r="F161" s="1254"/>
      <c r="G161" s="827" t="s">
        <v>603</v>
      </c>
      <c r="H161" s="827" t="s">
        <v>651</v>
      </c>
      <c r="I161" s="827" t="s">
        <v>605</v>
      </c>
      <c r="J161" s="1255" t="s">
        <v>579</v>
      </c>
      <c r="K161" s="1255"/>
      <c r="L161" s="1255"/>
      <c r="M161" s="1256"/>
    </row>
    <row r="162" spans="1:13" ht="12.75">
      <c r="A162" s="508"/>
      <c r="B162" s="509" t="s">
        <v>447</v>
      </c>
      <c r="C162" s="515"/>
      <c r="D162" s="299"/>
      <c r="E162" s="472"/>
      <c r="F162" s="474"/>
      <c r="G162" s="299"/>
      <c r="H162" s="299"/>
      <c r="I162" s="299"/>
      <c r="J162" s="1250"/>
      <c r="K162" s="1250"/>
      <c r="L162" s="1250"/>
      <c r="M162" s="1251"/>
    </row>
    <row r="163" spans="1:13" ht="12.75">
      <c r="A163" s="510">
        <f>'Appendix A'!A15</f>
        <v>6</v>
      </c>
      <c r="B163" s="299"/>
      <c r="C163" s="230" t="str">
        <f>'Appendix A'!C15</f>
        <v>Total Plant In Service</v>
      </c>
      <c r="D163" s="463"/>
      <c r="E163" s="511"/>
      <c r="F163" s="516" t="s">
        <v>489</v>
      </c>
      <c r="G163" s="949">
        <v>4111749591</v>
      </c>
      <c r="H163" s="416"/>
      <c r="I163" s="468"/>
      <c r="J163" s="1257"/>
      <c r="K163" s="1257"/>
      <c r="L163" s="1257"/>
      <c r="M163" s="1258"/>
    </row>
    <row r="164" spans="1:13" ht="12.75">
      <c r="A164" s="508"/>
      <c r="B164" s="509" t="s">
        <v>407</v>
      </c>
      <c r="C164" s="515"/>
      <c r="D164" s="463"/>
      <c r="E164" s="512"/>
      <c r="F164" s="516"/>
      <c r="G164" s="473"/>
      <c r="H164" s="331"/>
      <c r="I164" s="299"/>
      <c r="J164" s="1257"/>
      <c r="K164" s="1257"/>
      <c r="L164" s="1257"/>
      <c r="M164" s="1258"/>
    </row>
    <row r="165" spans="1:13" ht="12.75">
      <c r="A165" s="510">
        <f>+'Appendix A'!A28</f>
        <v>13</v>
      </c>
      <c r="B165" s="507"/>
      <c r="C165" s="230" t="str">
        <f>+'Appendix A'!C28</f>
        <v>Transmission Plant In Service</v>
      </c>
      <c r="D165" s="463"/>
      <c r="E165" s="511"/>
      <c r="F165" s="516" t="s">
        <v>336</v>
      </c>
      <c r="G165" s="949">
        <v>898571591</v>
      </c>
      <c r="H165" s="416"/>
      <c r="I165" s="472"/>
      <c r="J165" s="1257"/>
      <c r="K165" s="1257"/>
      <c r="L165" s="1257"/>
      <c r="M165" s="1258"/>
    </row>
    <row r="166" spans="1:13" ht="12.75">
      <c r="A166" s="508">
        <f>+'Appendix A'!A33</f>
        <v>17</v>
      </c>
      <c r="B166" s="299"/>
      <c r="C166" s="515" t="str">
        <f>+'Appendix A'!C33</f>
        <v>Common Plant (Electric Only)</v>
      </c>
      <c r="D166" s="299"/>
      <c r="E166" s="904"/>
      <c r="F166" s="516" t="s">
        <v>324</v>
      </c>
      <c r="G166" s="949">
        <v>0</v>
      </c>
      <c r="H166" s="416"/>
      <c r="I166" s="472"/>
      <c r="J166" s="1257"/>
      <c r="K166" s="1257"/>
      <c r="L166" s="1257"/>
      <c r="M166" s="1258"/>
    </row>
    <row r="167" spans="1:13" ht="12.75">
      <c r="A167" s="510"/>
      <c r="B167" s="509" t="s">
        <v>353</v>
      </c>
      <c r="C167" s="514"/>
      <c r="D167" s="530"/>
      <c r="E167" s="512"/>
      <c r="F167" s="516"/>
      <c r="G167" s="299"/>
      <c r="H167" s="331"/>
      <c r="I167" s="299"/>
      <c r="J167" s="299"/>
      <c r="K167" s="299"/>
      <c r="L167" s="299"/>
      <c r="M167" s="474"/>
    </row>
    <row r="168" spans="1:13" ht="13.5" thickBot="1">
      <c r="A168" s="519">
        <f>+'Appendix A'!A42</f>
        <v>22</v>
      </c>
      <c r="B168" s="533"/>
      <c r="C168" s="521" t="str">
        <f>+'Appendix A'!C42</f>
        <v>Transmission Accumulated Depreciation</v>
      </c>
      <c r="D168" s="506"/>
      <c r="E168" s="523"/>
      <c r="F168" s="538" t="s">
        <v>488</v>
      </c>
      <c r="G168" s="638">
        <v>244753716</v>
      </c>
      <c r="H168" s="1018"/>
      <c r="I168" s="475"/>
      <c r="J168" s="1246"/>
      <c r="K168" s="1246"/>
      <c r="L168" s="1246"/>
      <c r="M168" s="1247"/>
    </row>
    <row r="170" ht="13.5" thickBot="1">
      <c r="A170" s="817" t="s">
        <v>132</v>
      </c>
    </row>
    <row r="171" spans="1:13" ht="25.5" customHeight="1" thickBot="1">
      <c r="A171" s="1252" t="s">
        <v>50</v>
      </c>
      <c r="B171" s="1253"/>
      <c r="C171" s="1253"/>
      <c r="D171" s="1253"/>
      <c r="E171" s="1253"/>
      <c r="F171" s="1254"/>
      <c r="G171" s="931" t="s">
        <v>603</v>
      </c>
      <c r="H171" s="827" t="s">
        <v>218</v>
      </c>
      <c r="I171" s="827" t="s">
        <v>246</v>
      </c>
      <c r="J171" s="1255" t="s">
        <v>579</v>
      </c>
      <c r="K171" s="1255"/>
      <c r="L171" s="1255"/>
      <c r="M171" s="1256"/>
    </row>
    <row r="172" spans="1:29" ht="18">
      <c r="A172" s="510"/>
      <c r="B172" s="509" t="s">
        <v>342</v>
      </c>
      <c r="C172" s="504"/>
      <c r="D172" s="504"/>
      <c r="E172" s="469"/>
      <c r="F172" s="516"/>
      <c r="G172" s="202"/>
      <c r="H172" s="202"/>
      <c r="M172" s="474"/>
      <c r="P172" s="1060"/>
      <c r="Q172" s="1060"/>
      <c r="R172" s="202"/>
      <c r="S172" s="202"/>
      <c r="T172" s="202"/>
      <c r="U172" s="202"/>
      <c r="V172" s="202"/>
      <c r="W172" s="202"/>
      <c r="X172" s="202"/>
      <c r="Y172" s="202"/>
      <c r="Z172" s="202"/>
      <c r="AA172" s="202"/>
      <c r="AB172" s="202"/>
      <c r="AC172" s="202"/>
    </row>
    <row r="173" spans="1:29" ht="12.75">
      <c r="A173" s="510"/>
      <c r="B173" s="671"/>
      <c r="C173" s="545" t="s">
        <v>226</v>
      </c>
      <c r="D173" s="504"/>
      <c r="E173" s="469"/>
      <c r="F173" s="516"/>
      <c r="G173" s="949">
        <v>29425711</v>
      </c>
      <c r="H173" s="637">
        <v>4695030</v>
      </c>
      <c r="I173" s="637">
        <f>G173-H173</f>
        <v>24730681</v>
      </c>
      <c r="J173" s="280" t="s">
        <v>228</v>
      </c>
      <c r="M173" s="474"/>
      <c r="P173" s="202"/>
      <c r="Q173" s="202"/>
      <c r="R173" s="202"/>
      <c r="S173" s="202"/>
      <c r="T173" s="202"/>
      <c r="U173" s="202"/>
      <c r="V173" s="202"/>
      <c r="W173" s="202"/>
      <c r="X173" s="202"/>
      <c r="Y173" s="202"/>
      <c r="Z173" s="202"/>
      <c r="AA173" s="202"/>
      <c r="AB173" s="202"/>
      <c r="AC173" s="202"/>
    </row>
    <row r="174" spans="1:29" ht="18.75" thickBot="1">
      <c r="A174" s="510"/>
      <c r="B174" s="671"/>
      <c r="C174" s="545" t="s">
        <v>227</v>
      </c>
      <c r="D174" s="504"/>
      <c r="E174" s="469"/>
      <c r="F174" s="516" t="s">
        <v>847</v>
      </c>
      <c r="G174" s="638">
        <v>30241972</v>
      </c>
      <c r="H174" s="638">
        <v>4511996</v>
      </c>
      <c r="I174" s="638">
        <f>G174-H174</f>
        <v>25729976</v>
      </c>
      <c r="J174" s="1248" t="s">
        <v>225</v>
      </c>
      <c r="K174" s="1248"/>
      <c r="L174" s="1248"/>
      <c r="M174" s="1249"/>
      <c r="P174" s="1060"/>
      <c r="Q174" s="1060"/>
      <c r="R174" s="1060"/>
      <c r="S174" s="1060"/>
      <c r="T174" s="1060"/>
      <c r="U174" s="1060"/>
      <c r="V174" s="1060"/>
      <c r="W174" s="1060"/>
      <c r="X174" s="1060"/>
      <c r="Y174" s="1060"/>
      <c r="Z174" s="1060"/>
      <c r="AA174" s="202"/>
      <c r="AB174" s="202"/>
      <c r="AC174" s="202"/>
    </row>
    <row r="175" spans="1:29" ht="18">
      <c r="A175" s="510"/>
      <c r="B175" s="671"/>
      <c r="C175" s="504" t="s">
        <v>229</v>
      </c>
      <c r="E175" s="469"/>
      <c r="F175" s="516"/>
      <c r="G175" s="667">
        <f>G174-G173</f>
        <v>816261</v>
      </c>
      <c r="H175" s="459">
        <f>H174-H173</f>
        <v>-183034</v>
      </c>
      <c r="I175" s="667">
        <f>I174-I173</f>
        <v>999295</v>
      </c>
      <c r="J175" s="641"/>
      <c r="K175" s="466"/>
      <c r="L175" s="466"/>
      <c r="M175" s="467"/>
      <c r="P175" s="1060"/>
      <c r="Q175" s="1060"/>
      <c r="R175" s="1060"/>
      <c r="S175" s="1060"/>
      <c r="T175" s="1060"/>
      <c r="U175" s="1060"/>
      <c r="V175" s="1060"/>
      <c r="W175" s="1060"/>
      <c r="X175" s="1060"/>
      <c r="Y175" s="1060"/>
      <c r="Z175" s="1060"/>
      <c r="AA175" s="202"/>
      <c r="AB175" s="202"/>
      <c r="AC175" s="202"/>
    </row>
    <row r="176" spans="1:29" ht="12.75">
      <c r="A176" s="465"/>
      <c r="B176" s="545"/>
      <c r="C176" s="504"/>
      <c r="D176" s="504"/>
      <c r="E176" s="469"/>
      <c r="F176" s="516"/>
      <c r="G176" s="465"/>
      <c r="H176" s="299"/>
      <c r="I176" s="667"/>
      <c r="J176" s="641"/>
      <c r="K176" s="466"/>
      <c r="L176" s="466"/>
      <c r="M176" s="467"/>
      <c r="P176" s="202"/>
      <c r="Q176" s="202"/>
      <c r="R176" s="202"/>
      <c r="S176" s="202"/>
      <c r="T176" s="202"/>
      <c r="U176" s="202"/>
      <c r="V176" s="202"/>
      <c r="W176" s="202"/>
      <c r="X176" s="202"/>
      <c r="Y176" s="202"/>
      <c r="Z176" s="202"/>
      <c r="AA176" s="202"/>
      <c r="AB176" s="202"/>
      <c r="AC176" s="202"/>
    </row>
    <row r="177" spans="1:29" ht="18">
      <c r="A177" s="510"/>
      <c r="B177" s="504" t="s">
        <v>219</v>
      </c>
      <c r="D177" s="504"/>
      <c r="E177" s="469"/>
      <c r="F177" s="516"/>
      <c r="G177" s="465"/>
      <c r="H177" s="299"/>
      <c r="I177" s="299"/>
      <c r="J177" s="641"/>
      <c r="K177" s="466"/>
      <c r="L177" s="466"/>
      <c r="M177" s="467"/>
      <c r="P177" s="1060"/>
      <c r="Q177" s="1060"/>
      <c r="R177" s="1060"/>
      <c r="S177" s="1060"/>
      <c r="T177" s="1060"/>
      <c r="U177" s="1060"/>
      <c r="V177" s="1060"/>
      <c r="W177" s="1060"/>
      <c r="X177" s="1060"/>
      <c r="Y177" s="1060"/>
      <c r="Z177" s="1060"/>
      <c r="AA177" s="1060"/>
      <c r="AB177" s="1060"/>
      <c r="AC177" s="1060"/>
    </row>
    <row r="178" spans="1:13" ht="12.75">
      <c r="A178" s="510"/>
      <c r="B178" s="517">
        <v>1</v>
      </c>
      <c r="C178" s="280" t="s">
        <v>221</v>
      </c>
      <c r="E178" s="202">
        <v>0.05</v>
      </c>
      <c r="F178" s="516"/>
      <c r="G178" s="465"/>
      <c r="H178" s="299"/>
      <c r="I178" s="669"/>
      <c r="J178" s="641"/>
      <c r="K178" s="466"/>
      <c r="L178" s="466"/>
      <c r="M178" s="467"/>
    </row>
    <row r="179" spans="1:13" ht="12.75">
      <c r="A179" s="510"/>
      <c r="B179" s="517">
        <v>2</v>
      </c>
      <c r="C179" s="504" t="s">
        <v>220</v>
      </c>
      <c r="D179" s="504"/>
      <c r="E179" s="557">
        <f>IF('Appendix A'!G276=0,0,'Appendix A'!G276/1000/12)</f>
        <v>4.39945483579422</v>
      </c>
      <c r="F179" s="516"/>
      <c r="G179" s="465"/>
      <c r="H179" s="299"/>
      <c r="I179" s="299"/>
      <c r="J179" s="641"/>
      <c r="K179" s="466"/>
      <c r="L179" s="466"/>
      <c r="M179" s="467"/>
    </row>
    <row r="180" spans="1:13" ht="12.75">
      <c r="A180" s="510"/>
      <c r="B180" s="517">
        <v>3</v>
      </c>
      <c r="C180" s="504" t="s">
        <v>222</v>
      </c>
      <c r="D180" s="504"/>
      <c r="E180" s="669">
        <f>IF(E179=0,0,'Appendix A'!G270*E178/E179)</f>
        <v>1609200</v>
      </c>
      <c r="F180" s="516"/>
      <c r="G180" s="465"/>
      <c r="H180" s="299"/>
      <c r="I180" s="299"/>
      <c r="J180" s="641"/>
      <c r="K180" s="466"/>
      <c r="L180" s="466"/>
      <c r="M180" s="467"/>
    </row>
    <row r="181" spans="1:13" ht="12.75">
      <c r="A181" s="510"/>
      <c r="B181" s="517">
        <v>4</v>
      </c>
      <c r="C181" s="504" t="s">
        <v>223</v>
      </c>
      <c r="D181" s="504"/>
      <c r="E181" s="669">
        <f>IF('Appendix A'!G12=0,0,E180/'Appendix A'!G12)</f>
        <v>8723694.033942867</v>
      </c>
      <c r="F181" s="516" t="s">
        <v>224</v>
      </c>
      <c r="G181" s="465"/>
      <c r="H181" s="299"/>
      <c r="I181" s="299"/>
      <c r="J181" s="641"/>
      <c r="K181" s="466"/>
      <c r="L181" s="466"/>
      <c r="M181" s="467"/>
    </row>
    <row r="182" spans="1:13" ht="12.75">
      <c r="A182" s="510"/>
      <c r="B182" s="517">
        <v>5</v>
      </c>
      <c r="C182" s="504" t="s">
        <v>230</v>
      </c>
      <c r="D182" s="504"/>
      <c r="E182" s="557">
        <f>H175-E181</f>
        <v>-8906728.033942867</v>
      </c>
      <c r="F182" s="516"/>
      <c r="G182" s="465"/>
      <c r="H182" s="299"/>
      <c r="I182" s="299"/>
      <c r="J182" s="641"/>
      <c r="K182" s="466"/>
      <c r="L182" s="466"/>
      <c r="M182" s="467"/>
    </row>
    <row r="183" spans="1:13" ht="12.75">
      <c r="A183" s="510"/>
      <c r="B183" s="517">
        <v>6</v>
      </c>
      <c r="C183" s="230" t="s">
        <v>493</v>
      </c>
      <c r="D183" s="504"/>
      <c r="E183" s="557"/>
      <c r="F183" s="516"/>
      <c r="G183" s="465"/>
      <c r="H183" s="299"/>
      <c r="I183" s="299"/>
      <c r="J183" s="641"/>
      <c r="K183" s="466"/>
      <c r="L183" s="466"/>
      <c r="M183" s="467"/>
    </row>
    <row r="184" spans="1:13" ht="12.75">
      <c r="A184" s="510"/>
      <c r="B184" s="517"/>
      <c r="C184" s="230"/>
      <c r="D184" s="504"/>
      <c r="E184" s="557"/>
      <c r="F184" s="516"/>
      <c r="G184" s="465"/>
      <c r="H184" s="299"/>
      <c r="I184" s="299"/>
      <c r="J184" s="641"/>
      <c r="K184" s="466"/>
      <c r="L184" s="466"/>
      <c r="M184" s="467"/>
    </row>
    <row r="185" spans="1:13" ht="12.75">
      <c r="A185" s="510">
        <f>'Appendix A'!A106</f>
        <v>59</v>
      </c>
      <c r="B185" s="517"/>
      <c r="C185" s="230" t="str">
        <f>'Appendix A'!C106</f>
        <v>    Less PBOP Expense in Acct. 926 in Excess of Allowed Amount</v>
      </c>
      <c r="D185" s="504"/>
      <c r="E185" s="557">
        <v>0</v>
      </c>
      <c r="F185" s="516"/>
      <c r="G185" s="465"/>
      <c r="H185" s="299"/>
      <c r="I185" s="299"/>
      <c r="J185" s="641"/>
      <c r="K185" s="466"/>
      <c r="L185" s="466"/>
      <c r="M185" s="467"/>
    </row>
    <row r="186" spans="1:13" ht="12.75">
      <c r="A186" s="510"/>
      <c r="B186" s="509"/>
      <c r="C186" s="230"/>
      <c r="D186" s="504"/>
      <c r="E186" s="670"/>
      <c r="F186" s="516"/>
      <c r="G186" s="202"/>
      <c r="H186" s="202"/>
      <c r="I186" s="202"/>
      <c r="J186" s="641"/>
      <c r="K186" s="466"/>
      <c r="L186" s="466"/>
      <c r="M186" s="467"/>
    </row>
    <row r="187" spans="1:13" ht="13.5" thickBot="1">
      <c r="A187" s="519"/>
      <c r="B187" s="524"/>
      <c r="C187" s="521"/>
      <c r="D187" s="452"/>
      <c r="E187" s="523"/>
      <c r="F187" s="664"/>
      <c r="G187" s="672"/>
      <c r="H187" s="673"/>
      <c r="I187" s="499"/>
      <c r="J187" s="1246"/>
      <c r="K187" s="1246"/>
      <c r="L187" s="1246"/>
      <c r="M187" s="1247"/>
    </row>
    <row r="189" ht="13.5" thickBot="1">
      <c r="A189" s="817" t="s">
        <v>656</v>
      </c>
    </row>
    <row r="190" spans="1:13" ht="13.5" thickBot="1">
      <c r="A190" s="1252" t="s">
        <v>50</v>
      </c>
      <c r="B190" s="1253"/>
      <c r="C190" s="1253"/>
      <c r="D190" s="1253"/>
      <c r="E190" s="1253"/>
      <c r="F190" s="1254"/>
      <c r="G190" s="827" t="str">
        <f>+G161</f>
        <v>Form 1 Amount</v>
      </c>
      <c r="H190" s="827" t="s">
        <v>601</v>
      </c>
      <c r="I190" s="827"/>
      <c r="J190" s="1255" t="s">
        <v>579</v>
      </c>
      <c r="K190" s="1255"/>
      <c r="L190" s="1255"/>
      <c r="M190" s="1256"/>
    </row>
    <row r="191" spans="1:13" ht="12.75">
      <c r="A191" s="510"/>
      <c r="B191" s="509" t="s">
        <v>342</v>
      </c>
      <c r="C191" s="504"/>
      <c r="D191" s="504"/>
      <c r="E191" s="469"/>
      <c r="F191" s="516"/>
      <c r="G191" s="299"/>
      <c r="H191" s="299"/>
      <c r="I191" s="299"/>
      <c r="J191" s="1250"/>
      <c r="K191" s="1250"/>
      <c r="L191" s="1250"/>
      <c r="M191" s="1251"/>
    </row>
    <row r="192" spans="1:13" ht="13.5" thickBot="1">
      <c r="A192" s="519">
        <f>'Appendix A'!A110</f>
        <v>63</v>
      </c>
      <c r="B192" s="524"/>
      <c r="C192" s="521" t="str">
        <f>+'Appendix A'!C110</f>
        <v>    Less EPRI Dues</v>
      </c>
      <c r="D192" s="491"/>
      <c r="E192" s="523"/>
      <c r="F192" s="538" t="str">
        <f>+'Appendix A'!E110</f>
        <v>p352-353</v>
      </c>
      <c r="G192" s="638">
        <v>0</v>
      </c>
      <c r="H192" s="1117"/>
      <c r="I192" s="475"/>
      <c r="J192" s="1246"/>
      <c r="K192" s="1246"/>
      <c r="L192" s="1246"/>
      <c r="M192" s="1247"/>
    </row>
    <row r="194" ht="13.5" thickBot="1">
      <c r="A194" s="817" t="s">
        <v>657</v>
      </c>
    </row>
    <row r="195" spans="1:13" ht="13.5" thickBot="1">
      <c r="A195" s="1252" t="s">
        <v>50</v>
      </c>
      <c r="B195" s="1253"/>
      <c r="C195" s="1253"/>
      <c r="D195" s="1253"/>
      <c r="E195" s="1253"/>
      <c r="F195" s="1254"/>
      <c r="G195" s="827" t="s">
        <v>603</v>
      </c>
      <c r="H195" s="827" t="s">
        <v>604</v>
      </c>
      <c r="I195" s="827" t="s">
        <v>650</v>
      </c>
      <c r="J195" s="1255" t="s">
        <v>579</v>
      </c>
      <c r="K195" s="1255"/>
      <c r="L195" s="1255"/>
      <c r="M195" s="1256"/>
    </row>
    <row r="196" spans="1:13" ht="12.75">
      <c r="A196" s="510"/>
      <c r="B196" s="509" t="s">
        <v>341</v>
      </c>
      <c r="C196" s="502"/>
      <c r="D196" s="504"/>
      <c r="E196" s="531"/>
      <c r="F196" s="529"/>
      <c r="G196" s="309"/>
      <c r="H196" s="476"/>
      <c r="I196" s="1032"/>
      <c r="J196" s="299"/>
      <c r="K196" s="299"/>
      <c r="L196" s="299"/>
      <c r="M196" s="474"/>
    </row>
    <row r="197" spans="1:13" ht="13.5" customHeight="1" thickBot="1">
      <c r="A197" s="519">
        <f>'Appendix A'!A116</f>
        <v>67</v>
      </c>
      <c r="B197" s="520"/>
      <c r="C197" s="521" t="str">
        <f>+'Appendix A'!C116</f>
        <v>Regulatory Commission Exp Account 928</v>
      </c>
      <c r="D197" s="534"/>
      <c r="E197" s="523"/>
      <c r="F197" s="538" t="s">
        <v>264</v>
      </c>
      <c r="G197" s="638">
        <v>870027</v>
      </c>
      <c r="H197" s="638">
        <v>0</v>
      </c>
      <c r="I197" s="638">
        <f>G197-H197</f>
        <v>870027</v>
      </c>
      <c r="J197" s="1246" t="s">
        <v>291</v>
      </c>
      <c r="K197" s="1246"/>
      <c r="L197" s="1246"/>
      <c r="M197" s="1247"/>
    </row>
    <row r="199" ht="13.5" thickBot="1">
      <c r="A199" s="817" t="s">
        <v>658</v>
      </c>
    </row>
    <row r="200" spans="1:13" ht="12.75">
      <c r="A200" s="1243" t="s">
        <v>50</v>
      </c>
      <c r="B200" s="1244"/>
      <c r="C200" s="1244"/>
      <c r="D200" s="1244"/>
      <c r="E200" s="1244"/>
      <c r="F200" s="1245"/>
      <c r="G200" s="824" t="s">
        <v>603</v>
      </c>
      <c r="H200" s="824" t="s">
        <v>606</v>
      </c>
      <c r="I200" s="824" t="s">
        <v>652</v>
      </c>
      <c r="J200" s="1259" t="s">
        <v>579</v>
      </c>
      <c r="K200" s="1259"/>
      <c r="L200" s="1259"/>
      <c r="M200" s="1260"/>
    </row>
    <row r="201" spans="1:13" ht="12.75">
      <c r="A201" s="510"/>
      <c r="B201" s="509" t="s">
        <v>341</v>
      </c>
      <c r="C201" s="331"/>
      <c r="D201" s="504"/>
      <c r="E201" s="468"/>
      <c r="F201" s="500"/>
      <c r="G201" s="299"/>
      <c r="H201" s="299"/>
      <c r="I201" s="1033"/>
      <c r="J201" s="299"/>
      <c r="K201" s="299"/>
      <c r="L201" s="299"/>
      <c r="M201" s="474"/>
    </row>
    <row r="202" spans="1:13" ht="13.5" thickBot="1">
      <c r="A202" s="535">
        <f>'Appendix A'!A117</f>
        <v>68</v>
      </c>
      <c r="B202" s="520"/>
      <c r="C202" s="536" t="str">
        <f>+'Appendix A'!C121</f>
        <v>General Advertising Exp Account 930.1</v>
      </c>
      <c r="D202" s="522"/>
      <c r="E202" s="523"/>
      <c r="F202" s="538" t="s">
        <v>265</v>
      </c>
      <c r="G202" s="638">
        <v>1573959</v>
      </c>
      <c r="H202" s="638">
        <v>0</v>
      </c>
      <c r="I202" s="638">
        <f>G202</f>
        <v>1573959</v>
      </c>
      <c r="J202" s="1269" t="s">
        <v>4</v>
      </c>
      <c r="K202" s="1269"/>
      <c r="L202" s="1269"/>
      <c r="M202" s="1270"/>
    </row>
    <row r="204" ht="13.5" thickBot="1">
      <c r="A204" s="817" t="s">
        <v>602</v>
      </c>
    </row>
    <row r="205" spans="1:13" ht="12.75">
      <c r="A205" s="1243" t="s">
        <v>50</v>
      </c>
      <c r="B205" s="1244"/>
      <c r="C205" s="1244"/>
      <c r="D205" s="1244"/>
      <c r="E205" s="1244"/>
      <c r="F205" s="1245"/>
      <c r="G205" s="824" t="s">
        <v>607</v>
      </c>
      <c r="H205" s="824" t="s">
        <v>608</v>
      </c>
      <c r="I205" s="824" t="s">
        <v>609</v>
      </c>
      <c r="J205" s="824" t="s">
        <v>610</v>
      </c>
      <c r="K205" s="824" t="s">
        <v>611</v>
      </c>
      <c r="L205" s="1259" t="s">
        <v>579</v>
      </c>
      <c r="M205" s="1260"/>
    </row>
    <row r="206" spans="1:17" ht="12.75">
      <c r="A206" s="518" t="s">
        <v>325</v>
      </c>
      <c r="B206" s="539" t="s">
        <v>423</v>
      </c>
      <c r="C206" s="463"/>
      <c r="D206" s="463"/>
      <c r="E206" s="468"/>
      <c r="F206" s="540"/>
      <c r="G206" s="299"/>
      <c r="H206" s="299"/>
      <c r="I206" s="299"/>
      <c r="J206" s="299"/>
      <c r="K206" s="299"/>
      <c r="L206" s="299"/>
      <c r="M206" s="474"/>
      <c r="Q206" s="477"/>
    </row>
    <row r="207" spans="1:13" ht="12.75">
      <c r="A207" s="518"/>
      <c r="B207" s="539"/>
      <c r="C207" s="463"/>
      <c r="D207" s="463"/>
      <c r="E207" s="468"/>
      <c r="F207" s="540"/>
      <c r="G207" s="478" t="s">
        <v>9</v>
      </c>
      <c r="H207" s="309"/>
      <c r="I207" s="309"/>
      <c r="J207" s="309"/>
      <c r="K207" s="309"/>
      <c r="L207" s="1241"/>
      <c r="M207" s="1242"/>
    </row>
    <row r="208" spans="1:13" ht="13.5" thickBot="1">
      <c r="A208" s="535">
        <f>+'Appendix A'!A205</f>
        <v>125</v>
      </c>
      <c r="B208" s="533"/>
      <c r="C208" s="536" t="str">
        <f>+'Appendix A'!C205</f>
        <v>SIT=State Income Tax Rate or Composite</v>
      </c>
      <c r="D208" s="541"/>
      <c r="E208" s="537"/>
      <c r="F208" s="538"/>
      <c r="G208" s="798">
        <v>0.0999</v>
      </c>
      <c r="H208" s="479"/>
      <c r="I208" s="480"/>
      <c r="J208" s="480"/>
      <c r="K208" s="475"/>
      <c r="L208" s="1246"/>
      <c r="M208" s="1247"/>
    </row>
    <row r="210" ht="13.5" thickBot="1">
      <c r="A210" s="817" t="s">
        <v>670</v>
      </c>
    </row>
    <row r="211" spans="1:13" ht="12.75">
      <c r="A211" s="1243" t="s">
        <v>50</v>
      </c>
      <c r="B211" s="1244"/>
      <c r="C211" s="1244"/>
      <c r="D211" s="1244"/>
      <c r="E211" s="1244"/>
      <c r="F211" s="1245"/>
      <c r="G211" s="824" t="s">
        <v>603</v>
      </c>
      <c r="H211" s="824" t="s">
        <v>612</v>
      </c>
      <c r="I211" s="824" t="s">
        <v>613</v>
      </c>
      <c r="J211" s="1259" t="s">
        <v>579</v>
      </c>
      <c r="K211" s="1259"/>
      <c r="L211" s="1259"/>
      <c r="M211" s="1260"/>
    </row>
    <row r="212" spans="1:13" ht="12.75">
      <c r="A212" s="510"/>
      <c r="B212" s="509" t="s">
        <v>341</v>
      </c>
      <c r="C212" s="331"/>
      <c r="D212" s="504"/>
      <c r="E212" s="468"/>
      <c r="F212" s="500"/>
      <c r="G212" s="299"/>
      <c r="H212" s="299"/>
      <c r="I212" s="1032"/>
      <c r="J212" s="299"/>
      <c r="K212" s="299"/>
      <c r="L212" s="299"/>
      <c r="M212" s="474"/>
    </row>
    <row r="213" spans="1:13" ht="13.5" thickBot="1">
      <c r="A213" s="535">
        <f>+'Appendix A'!A117</f>
        <v>68</v>
      </c>
      <c r="B213" s="520"/>
      <c r="C213" s="536" t="str">
        <f>+'Appendix A'!C117</f>
        <v>General Advertising Exp Account 930.1</v>
      </c>
      <c r="D213" s="525"/>
      <c r="E213" s="523"/>
      <c r="F213" s="538" t="s">
        <v>265</v>
      </c>
      <c r="G213" s="638">
        <v>1573959</v>
      </c>
      <c r="H213" s="638">
        <v>0</v>
      </c>
      <c r="I213" s="638">
        <f>G213-H213</f>
        <v>1573959</v>
      </c>
      <c r="J213" s="1284" t="str">
        <f>+J202</f>
        <v>None</v>
      </c>
      <c r="K213" s="1284"/>
      <c r="L213" s="1284"/>
      <c r="M213" s="1285"/>
    </row>
    <row r="214" ht="12.75">
      <c r="F214" s="202"/>
    </row>
    <row r="215" ht="13.5" thickBot="1">
      <c r="A215" s="817" t="s">
        <v>672</v>
      </c>
    </row>
    <row r="216" spans="1:13" ht="26.25" thickBot="1">
      <c r="A216" s="1279" t="s">
        <v>50</v>
      </c>
      <c r="B216" s="1280"/>
      <c r="C216" s="1280"/>
      <c r="D216" s="1280"/>
      <c r="E216" s="1280"/>
      <c r="F216" s="1281"/>
      <c r="G216" s="932" t="str">
        <f>+C218</f>
        <v>Excluded Transmission Facilities</v>
      </c>
      <c r="H216" s="1282" t="s">
        <v>615</v>
      </c>
      <c r="I216" s="1282"/>
      <c r="J216" s="1282"/>
      <c r="K216" s="1282"/>
      <c r="L216" s="1282"/>
      <c r="M216" s="1283"/>
    </row>
    <row r="217" spans="1:13" ht="12.75">
      <c r="A217" s="542"/>
      <c r="B217" s="483" t="s">
        <v>344</v>
      </c>
      <c r="C217" s="509"/>
      <c r="D217" s="543"/>
      <c r="E217" s="476"/>
      <c r="F217" s="544"/>
      <c r="G217" s="299"/>
      <c r="H217" s="299"/>
      <c r="I217" s="299"/>
      <c r="J217" s="299"/>
      <c r="K217" s="299"/>
      <c r="L217" s="299"/>
      <c r="M217" s="474"/>
    </row>
    <row r="218" spans="1:13" ht="12.75" customHeight="1">
      <c r="A218" s="510">
        <f>+'Appendix A'!A239</f>
        <v>145</v>
      </c>
      <c r="B218" s="517"/>
      <c r="C218" s="230" t="str">
        <f>+'Appendix A'!C239</f>
        <v>Excluded Transmission Facilities</v>
      </c>
      <c r="D218" s="543"/>
      <c r="E218" s="511"/>
      <c r="F218" s="528"/>
      <c r="G218" s="484">
        <v>0</v>
      </c>
      <c r="H218" s="1241" t="s">
        <v>617</v>
      </c>
      <c r="I218" s="1241"/>
      <c r="J218" s="1241"/>
      <c r="K218" s="1241"/>
      <c r="L218" s="1241"/>
      <c r="M218" s="1242"/>
    </row>
    <row r="219" spans="1:13" ht="12.75">
      <c r="A219" s="510"/>
      <c r="B219" s="517"/>
      <c r="C219" s="545"/>
      <c r="D219" s="543"/>
      <c r="E219" s="512"/>
      <c r="F219" s="513"/>
      <c r="G219" s="299"/>
      <c r="H219" s="299"/>
      <c r="I219" s="299"/>
      <c r="J219" s="299"/>
      <c r="K219" s="299"/>
      <c r="L219" s="299"/>
      <c r="M219" s="474"/>
    </row>
    <row r="220" spans="1:13" ht="12.75">
      <c r="A220" s="510"/>
      <c r="B220" s="517"/>
      <c r="C220" s="545" t="s">
        <v>14</v>
      </c>
      <c r="D220" s="543"/>
      <c r="E220" s="512"/>
      <c r="F220" s="513"/>
      <c r="G220" s="309" t="s">
        <v>614</v>
      </c>
      <c r="H220" s="1241" t="s">
        <v>4</v>
      </c>
      <c r="I220" s="1241"/>
      <c r="J220" s="1241"/>
      <c r="K220" s="1241"/>
      <c r="L220" s="1241"/>
      <c r="M220" s="1242"/>
    </row>
    <row r="221" spans="1:13" ht="49.5" customHeight="1">
      <c r="A221" s="510"/>
      <c r="B221" s="546">
        <v>1</v>
      </c>
      <c r="C221" s="1271" t="s">
        <v>739</v>
      </c>
      <c r="D221" s="1271"/>
      <c r="E221" s="1271"/>
      <c r="F221" s="1272"/>
      <c r="G221" s="485"/>
      <c r="H221" s="1241"/>
      <c r="I221" s="1241"/>
      <c r="J221" s="1241"/>
      <c r="K221" s="1241"/>
      <c r="L221" s="1241"/>
      <c r="M221" s="1242"/>
    </row>
    <row r="222" spans="1:13" ht="12.75">
      <c r="A222" s="510"/>
      <c r="B222" s="517">
        <v>2</v>
      </c>
      <c r="C222" s="545" t="s">
        <v>15</v>
      </c>
      <c r="D222" s="543"/>
      <c r="E222" s="512"/>
      <c r="F222" s="513"/>
      <c r="G222" s="309" t="s">
        <v>46</v>
      </c>
      <c r="H222" s="1241"/>
      <c r="I222" s="1241"/>
      <c r="J222" s="1241"/>
      <c r="K222" s="1241"/>
      <c r="L222" s="1241"/>
      <c r="M222" s="1242"/>
    </row>
    <row r="223" spans="1:13" ht="12.75">
      <c r="A223" s="510"/>
      <c r="B223" s="517"/>
      <c r="C223" s="545" t="s">
        <v>16</v>
      </c>
      <c r="D223" s="332" t="s">
        <v>19</v>
      </c>
      <c r="E223" s="512"/>
      <c r="F223" s="513"/>
      <c r="G223" s="309" t="str">
        <f>+G220</f>
        <v>Enter $</v>
      </c>
      <c r="H223" s="1241"/>
      <c r="I223" s="1241"/>
      <c r="J223" s="1241"/>
      <c r="K223" s="1241"/>
      <c r="L223" s="1241"/>
      <c r="M223" s="1242"/>
    </row>
    <row r="224" spans="1:13" ht="12.75">
      <c r="A224" s="486"/>
      <c r="B224" s="487" t="s">
        <v>327</v>
      </c>
      <c r="C224" s="545" t="s">
        <v>17</v>
      </c>
      <c r="D224" s="488">
        <v>1000000</v>
      </c>
      <c r="E224" s="331"/>
      <c r="F224" s="489"/>
      <c r="G224" s="485"/>
      <c r="H224" s="1241"/>
      <c r="I224" s="1241"/>
      <c r="J224" s="1241"/>
      <c r="K224" s="1241"/>
      <c r="L224" s="1241"/>
      <c r="M224" s="1242"/>
    </row>
    <row r="225" spans="1:13" ht="12.75">
      <c r="A225" s="486"/>
      <c r="B225" s="487" t="s">
        <v>459</v>
      </c>
      <c r="C225" s="545" t="s">
        <v>44</v>
      </c>
      <c r="D225" s="488">
        <v>500000</v>
      </c>
      <c r="E225" s="331"/>
      <c r="F225" s="489"/>
      <c r="G225" s="485"/>
      <c r="H225" s="1241"/>
      <c r="I225" s="1241"/>
      <c r="J225" s="1241"/>
      <c r="K225" s="1241"/>
      <c r="L225" s="1241"/>
      <c r="M225" s="1242"/>
    </row>
    <row r="226" spans="1:13" ht="12.75">
      <c r="A226" s="486"/>
      <c r="B226" s="487" t="s">
        <v>308</v>
      </c>
      <c r="C226" s="545" t="s">
        <v>45</v>
      </c>
      <c r="D226" s="488">
        <v>400000</v>
      </c>
      <c r="E226" s="331"/>
      <c r="F226" s="489"/>
      <c r="G226" s="485"/>
      <c r="H226" s="1241"/>
      <c r="I226" s="1241"/>
      <c r="J226" s="1241"/>
      <c r="K226" s="1241"/>
      <c r="L226" s="1241"/>
      <c r="M226" s="1242"/>
    </row>
    <row r="227" spans="1:13" ht="12.75">
      <c r="A227" s="486"/>
      <c r="B227" s="487" t="s">
        <v>328</v>
      </c>
      <c r="C227" s="545" t="s">
        <v>18</v>
      </c>
      <c r="D227" s="488">
        <f>+D224*(D226/(D225+D226))</f>
        <v>444444.44444444444</v>
      </c>
      <c r="E227" s="331"/>
      <c r="F227" s="489"/>
      <c r="G227" s="485"/>
      <c r="H227" s="1241"/>
      <c r="I227" s="1241"/>
      <c r="J227" s="1241"/>
      <c r="K227" s="1241"/>
      <c r="L227" s="1241"/>
      <c r="M227" s="1242"/>
    </row>
    <row r="228" spans="1:13" ht="13.5" thickBot="1">
      <c r="A228" s="490"/>
      <c r="B228" s="491"/>
      <c r="C228" s="491"/>
      <c r="D228" s="491"/>
      <c r="E228" s="491"/>
      <c r="F228" s="492"/>
      <c r="G228" s="491"/>
      <c r="H228" s="491"/>
      <c r="I228" s="491"/>
      <c r="J228" s="491"/>
      <c r="K228" s="493" t="s">
        <v>616</v>
      </c>
      <c r="L228" s="491"/>
      <c r="M228" s="492"/>
    </row>
    <row r="229" spans="1:13" ht="12.75">
      <c r="A229" s="299"/>
      <c r="B229" s="299"/>
      <c r="C229" s="299"/>
      <c r="D229" s="299"/>
      <c r="E229" s="299"/>
      <c r="F229" s="299"/>
      <c r="G229" s="299"/>
      <c r="H229" s="299"/>
      <c r="I229" s="299"/>
      <c r="J229" s="299"/>
      <c r="K229" s="494"/>
      <c r="L229" s="299"/>
      <c r="M229" s="299"/>
    </row>
    <row r="230" ht="16.5" customHeight="1" thickBot="1">
      <c r="A230" s="817" t="s">
        <v>36</v>
      </c>
    </row>
    <row r="231" spans="1:13" ht="59.25" customHeight="1" thickBot="1">
      <c r="A231" s="1252" t="s">
        <v>50</v>
      </c>
      <c r="B231" s="1253"/>
      <c r="C231" s="1253"/>
      <c r="D231" s="1253"/>
      <c r="E231" s="1253"/>
      <c r="F231" s="1254"/>
      <c r="G231" s="931" t="s">
        <v>754</v>
      </c>
      <c r="H231" s="827" t="s">
        <v>753</v>
      </c>
      <c r="I231" s="827" t="s">
        <v>503</v>
      </c>
      <c r="J231" s="827" t="s">
        <v>37</v>
      </c>
      <c r="K231" s="827" t="s">
        <v>756</v>
      </c>
      <c r="L231" s="827" t="s">
        <v>579</v>
      </c>
      <c r="M231" s="933"/>
    </row>
    <row r="232" spans="1:25" ht="16.5" customHeight="1">
      <c r="A232" s="572">
        <f>'Appendix A'!A71</f>
        <v>39</v>
      </c>
      <c r="B232" s="509" t="s">
        <v>333</v>
      </c>
      <c r="C232" s="331"/>
      <c r="D232" s="504"/>
      <c r="E232" s="469"/>
      <c r="F232" s="683"/>
      <c r="G232" s="495"/>
      <c r="H232" s="496" t="s">
        <v>614</v>
      </c>
      <c r="I232" s="496"/>
      <c r="J232" s="496"/>
      <c r="K232" s="496" t="s">
        <v>572</v>
      </c>
      <c r="L232" s="299"/>
      <c r="M232" s="474"/>
      <c r="P232" s="1059"/>
      <c r="Q232" s="1059"/>
      <c r="R232" s="202"/>
      <c r="S232" s="202"/>
      <c r="T232" s="202"/>
      <c r="U232" s="202"/>
      <c r="V232" s="202"/>
      <c r="W232" s="202"/>
      <c r="X232" s="202"/>
      <c r="Y232" s="202"/>
    </row>
    <row r="233" spans="1:25" ht="16.5" customHeight="1">
      <c r="A233" s="510"/>
      <c r="B233" s="509"/>
      <c r="C233" s="331" t="s">
        <v>38</v>
      </c>
      <c r="D233" s="504"/>
      <c r="E233" s="468"/>
      <c r="F233" s="683"/>
      <c r="G233" s="842"/>
      <c r="I233" s="299"/>
      <c r="J233" s="497"/>
      <c r="K233" s="299"/>
      <c r="L233" s="299"/>
      <c r="M233" s="474"/>
      <c r="P233" s="202"/>
      <c r="Q233" s="202"/>
      <c r="R233" s="202"/>
      <c r="S233" s="202"/>
      <c r="T233" s="202"/>
      <c r="U233" s="202"/>
      <c r="V233" s="202"/>
      <c r="W233" s="202"/>
      <c r="X233" s="202"/>
      <c r="Y233" s="202"/>
    </row>
    <row r="234" spans="1:25" ht="16.5" customHeight="1">
      <c r="A234" s="510"/>
      <c r="B234" s="509"/>
      <c r="C234" s="331"/>
      <c r="D234" s="504" t="s">
        <v>548</v>
      </c>
      <c r="E234" s="468"/>
      <c r="F234" s="683"/>
      <c r="G234" s="949">
        <v>0</v>
      </c>
      <c r="H234" s="637">
        <v>0</v>
      </c>
      <c r="I234" s="573">
        <f>IF('Appendix A'!$I$1=1,('5 - Cost Support 1'!G234+'5 - Cost Support 1'!H234)/2,H234)</f>
        <v>0</v>
      </c>
      <c r="J234" s="497"/>
      <c r="K234" s="299"/>
      <c r="L234" s="299"/>
      <c r="M234" s="474"/>
      <c r="P234" s="1059"/>
      <c r="Q234" s="1060"/>
      <c r="R234" s="1060"/>
      <c r="S234" s="1060"/>
      <c r="T234" s="1060"/>
      <c r="U234" s="1060"/>
      <c r="V234" s="1060"/>
      <c r="W234" s="202"/>
      <c r="X234" s="1060"/>
      <c r="Y234" s="202"/>
    </row>
    <row r="235" spans="1:25" ht="16.5" customHeight="1">
      <c r="A235" s="510"/>
      <c r="B235" s="509"/>
      <c r="C235" s="331"/>
      <c r="D235" s="504" t="s">
        <v>133</v>
      </c>
      <c r="E235" s="468"/>
      <c r="F235" s="573"/>
      <c r="G235" s="840">
        <v>0</v>
      </c>
      <c r="H235" s="799">
        <v>0</v>
      </c>
      <c r="I235" s="906">
        <f>IF('Appendix A'!$I$1=1,('5 - Cost Support 1'!G235+'5 - Cost Support 1'!H235)/2,H235)</f>
        <v>0</v>
      </c>
      <c r="J235" s="299"/>
      <c r="K235" s="299"/>
      <c r="L235" s="299"/>
      <c r="M235" s="474"/>
      <c r="O235" s="280" t="s">
        <v>271</v>
      </c>
      <c r="P235" s="202"/>
      <c r="Q235" s="202"/>
      <c r="R235" s="202"/>
      <c r="S235" s="202"/>
      <c r="T235" s="202"/>
      <c r="U235" s="202"/>
      <c r="V235" s="202"/>
      <c r="W235" s="202"/>
      <c r="X235" s="202"/>
      <c r="Y235" s="202"/>
    </row>
    <row r="236" spans="1:25" ht="16.5" customHeight="1">
      <c r="A236" s="510"/>
      <c r="B236" s="509"/>
      <c r="C236" s="331"/>
      <c r="D236" s="504"/>
      <c r="E236" s="468"/>
      <c r="F236" s="573"/>
      <c r="G236" s="841">
        <f>SUM(G234:G235)</f>
        <v>0</v>
      </c>
      <c r="H236" s="574">
        <f>SUM(H234:H235)</f>
        <v>0</v>
      </c>
      <c r="I236" s="573">
        <f>SUM(I234:I235)</f>
        <v>0</v>
      </c>
      <c r="J236" s="828">
        <v>1</v>
      </c>
      <c r="K236" s="496">
        <f>I236*J236</f>
        <v>0</v>
      </c>
      <c r="L236" s="299"/>
      <c r="M236" s="474"/>
      <c r="P236" s="1059"/>
      <c r="Q236" s="1060"/>
      <c r="R236" s="1060"/>
      <c r="S236" s="1060"/>
      <c r="T236" s="1060"/>
      <c r="U236" s="1060"/>
      <c r="V236" s="1060"/>
      <c r="W236" s="202"/>
      <c r="X236" s="202"/>
      <c r="Y236" s="1060"/>
    </row>
    <row r="237" spans="1:25" ht="16.5" customHeight="1">
      <c r="A237" s="510"/>
      <c r="B237" s="509"/>
      <c r="C237" s="331"/>
      <c r="D237" s="504"/>
      <c r="E237" s="468"/>
      <c r="F237" s="573"/>
      <c r="G237" s="842"/>
      <c r="H237" s="573"/>
      <c r="I237" s="573"/>
      <c r="J237" s="497"/>
      <c r="K237" s="496"/>
      <c r="L237" s="299"/>
      <c r="M237" s="474"/>
      <c r="P237" s="1059"/>
      <c r="Q237" s="1060"/>
      <c r="R237" s="1060"/>
      <c r="S237" s="1060"/>
      <c r="T237" s="1060"/>
      <c r="U237" s="1060"/>
      <c r="V237" s="1060"/>
      <c r="W237" s="202"/>
      <c r="X237" s="202"/>
      <c r="Y237" s="1060"/>
    </row>
    <row r="238" spans="1:25" ht="16.5" customHeight="1">
      <c r="A238" s="510"/>
      <c r="B238" s="509"/>
      <c r="C238" s="331" t="s">
        <v>39</v>
      </c>
      <c r="D238" s="504"/>
      <c r="E238" s="468"/>
      <c r="F238" s="573"/>
      <c r="G238" s="1008"/>
      <c r="H238" s="786"/>
      <c r="I238" s="573"/>
      <c r="J238" s="299"/>
      <c r="K238" s="515"/>
      <c r="L238" s="299"/>
      <c r="M238" s="474"/>
      <c r="P238" s="1059"/>
      <c r="Q238" s="1060"/>
      <c r="R238" s="1060"/>
      <c r="S238" s="1060"/>
      <c r="T238" s="1060"/>
      <c r="U238" s="1060"/>
      <c r="V238" s="1060"/>
      <c r="W238" s="202"/>
      <c r="X238" s="202"/>
      <c r="Y238" s="1060"/>
    </row>
    <row r="239" spans="1:25" ht="16.5" customHeight="1">
      <c r="A239" s="510"/>
      <c r="B239" s="509"/>
      <c r="C239" s="331"/>
      <c r="D239" s="504" t="s">
        <v>134</v>
      </c>
      <c r="E239" s="469"/>
      <c r="F239" s="573"/>
      <c r="G239" s="949">
        <v>1269300</v>
      </c>
      <c r="H239" s="637">
        <v>1151812</v>
      </c>
      <c r="I239" s="573">
        <f>IF('Appendix A'!$I$1=1,('5 - Cost Support 1'!G239+'5 - Cost Support 1'!H239)/2,H239)</f>
        <v>1210556</v>
      </c>
      <c r="J239" s="907"/>
      <c r="K239" s="496"/>
      <c r="L239" s="299"/>
      <c r="M239" s="474"/>
      <c r="O239" s="280" t="s">
        <v>271</v>
      </c>
      <c r="P239" s="202"/>
      <c r="Q239" s="202"/>
      <c r="R239" s="202"/>
      <c r="S239" s="202"/>
      <c r="T239" s="202"/>
      <c r="U239" s="202"/>
      <c r="V239" s="202"/>
      <c r="W239" s="202"/>
      <c r="X239" s="202"/>
      <c r="Y239" s="202"/>
    </row>
    <row r="240" spans="1:25" ht="16.5" customHeight="1">
      <c r="A240" s="510"/>
      <c r="B240" s="509"/>
      <c r="C240" s="331"/>
      <c r="D240" s="504" t="s">
        <v>135</v>
      </c>
      <c r="E240" s="202"/>
      <c r="F240" s="202"/>
      <c r="G240" s="949">
        <v>1905704</v>
      </c>
      <c r="H240" s="637">
        <v>2232083</v>
      </c>
      <c r="I240" s="573">
        <f>IF('Appendix A'!$I$1=1,('5 - Cost Support 1'!G240+'5 - Cost Support 1'!H240)/2,H240)</f>
        <v>2068893.5</v>
      </c>
      <c r="L240" s="667"/>
      <c r="M240" s="474"/>
      <c r="O240" s="280" t="s">
        <v>271</v>
      </c>
      <c r="P240" s="202"/>
      <c r="Q240" s="1058"/>
      <c r="R240" s="1058"/>
      <c r="S240" s="202"/>
      <c r="T240" s="670"/>
      <c r="U240" s="573"/>
      <c r="V240" s="202"/>
      <c r="W240" s="202"/>
      <c r="X240" s="202"/>
      <c r="Y240" s="202"/>
    </row>
    <row r="241" spans="1:25" ht="16.5" customHeight="1">
      <c r="A241" s="510"/>
      <c r="B241" s="509"/>
      <c r="C241" s="919"/>
      <c r="D241" s="504" t="s">
        <v>136</v>
      </c>
      <c r="E241" s="469"/>
      <c r="F241" s="573"/>
      <c r="G241" s="949">
        <v>0</v>
      </c>
      <c r="H241" s="637">
        <v>0</v>
      </c>
      <c r="I241" s="573">
        <f>IF('Appendix A'!$I$1=1,('5 - Cost Support 1'!G241+'5 - Cost Support 1'!H241)/2,H241)</f>
        <v>0</v>
      </c>
      <c r="J241" s="907"/>
      <c r="K241" s="496"/>
      <c r="L241" s="299"/>
      <c r="M241" s="474"/>
      <c r="O241" s="280" t="s">
        <v>271</v>
      </c>
      <c r="P241" s="202"/>
      <c r="Q241" s="202"/>
      <c r="R241" s="202"/>
      <c r="S241" s="202"/>
      <c r="T241" s="202"/>
      <c r="U241" s="202"/>
      <c r="V241" s="202"/>
      <c r="W241" s="202"/>
      <c r="X241" s="202"/>
      <c r="Y241" s="202"/>
    </row>
    <row r="242" spans="1:25" ht="16.5" customHeight="1">
      <c r="A242" s="510"/>
      <c r="B242" s="509"/>
      <c r="C242" s="331"/>
      <c r="D242" s="504" t="s">
        <v>140</v>
      </c>
      <c r="E242" s="469"/>
      <c r="F242" s="202"/>
      <c r="G242" s="949">
        <v>8992839</v>
      </c>
      <c r="H242" s="637">
        <v>5347673</v>
      </c>
      <c r="I242" s="573">
        <f>IF('Appendix A'!$I$1=1,('5 - Cost Support 1'!G242+'5 - Cost Support 1'!H242)/2,H242)</f>
        <v>7170256</v>
      </c>
      <c r="L242" s="667"/>
      <c r="M242" s="474"/>
      <c r="O242" s="280" t="s">
        <v>271</v>
      </c>
      <c r="P242" s="1059"/>
      <c r="Q242" s="1059"/>
      <c r="R242" s="1059"/>
      <c r="S242" s="1059"/>
      <c r="T242" s="1059"/>
      <c r="U242" s="1059"/>
      <c r="V242" s="1059"/>
      <c r="W242" s="202"/>
      <c r="X242" s="202"/>
      <c r="Y242" s="202"/>
    </row>
    <row r="243" spans="1:25" ht="16.5" customHeight="1">
      <c r="A243" s="510"/>
      <c r="B243" s="509"/>
      <c r="C243" s="331"/>
      <c r="D243" s="504" t="s">
        <v>138</v>
      </c>
      <c r="E243" s="469"/>
      <c r="F243" s="573"/>
      <c r="G243" s="949">
        <v>1828000</v>
      </c>
      <c r="H243" s="637">
        <v>1938000</v>
      </c>
      <c r="I243" s="573">
        <f>IF('Appendix A'!$I$1=1,('5 - Cost Support 1'!G243+'5 - Cost Support 1'!H243)/2,H243)</f>
        <v>1883000</v>
      </c>
      <c r="J243" s="907"/>
      <c r="K243" s="496"/>
      <c r="L243" s="299"/>
      <c r="M243" s="474"/>
      <c r="O243" s="280" t="s">
        <v>271</v>
      </c>
      <c r="P243" s="202"/>
      <c r="Q243" s="202"/>
      <c r="R243" s="202"/>
      <c r="S243" s="202"/>
      <c r="T243" s="202"/>
      <c r="U243" s="202"/>
      <c r="V243" s="202"/>
      <c r="W243" s="202"/>
      <c r="X243" s="202"/>
      <c r="Y243" s="202"/>
    </row>
    <row r="244" spans="1:21" ht="16.5" customHeight="1">
      <c r="A244" s="510"/>
      <c r="B244" s="509"/>
      <c r="C244" s="331"/>
      <c r="D244" s="504" t="s">
        <v>137</v>
      </c>
      <c r="E244" s="469"/>
      <c r="F244" s="573"/>
      <c r="G244" s="949">
        <v>-428658</v>
      </c>
      <c r="H244" s="637">
        <v>0</v>
      </c>
      <c r="I244" s="573">
        <f>IF('Appendix A'!$I$1=1,('5 - Cost Support 1'!G244+'5 - Cost Support 1'!H244)/2,H244)</f>
        <v>-214329</v>
      </c>
      <c r="J244" s="907"/>
      <c r="K244" s="496"/>
      <c r="L244" s="299"/>
      <c r="M244" s="474"/>
      <c r="P244" s="202"/>
      <c r="Q244" s="202"/>
      <c r="R244" s="202"/>
      <c r="S244" s="202"/>
      <c r="T244" s="202"/>
      <c r="U244" s="202"/>
    </row>
    <row r="245" spans="1:21" ht="16.5" customHeight="1">
      <c r="A245" s="510"/>
      <c r="B245" s="509"/>
      <c r="C245" s="919"/>
      <c r="D245" s="504" t="s">
        <v>283</v>
      </c>
      <c r="E245" s="469"/>
      <c r="F245" s="573"/>
      <c r="G245" s="840">
        <v>11031152</v>
      </c>
      <c r="H245" s="799">
        <v>13747491</v>
      </c>
      <c r="I245" s="906">
        <f>IF('Appendix A'!$I$1=1,('5 - Cost Support 1'!G245+'5 - Cost Support 1'!H245)/2,H245)</f>
        <v>12389321.5</v>
      </c>
      <c r="K245" s="573"/>
      <c r="L245" s="667"/>
      <c r="M245" s="474"/>
      <c r="O245" s="280" t="s">
        <v>271</v>
      </c>
      <c r="P245" s="1058"/>
      <c r="Q245" s="1058"/>
      <c r="R245" s="1058"/>
      <c r="S245" s="202"/>
      <c r="T245" s="202"/>
      <c r="U245" s="573"/>
    </row>
    <row r="246" spans="1:21" ht="16.5" customHeight="1">
      <c r="A246" s="510"/>
      <c r="B246" s="509"/>
      <c r="C246" s="331"/>
      <c r="D246" s="504"/>
      <c r="E246" s="469"/>
      <c r="F246" s="573"/>
      <c r="G246" s="842">
        <f>SUM(G238:G245)</f>
        <v>24598337</v>
      </c>
      <c r="H246" s="573">
        <f>SUM(H238:H245)</f>
        <v>24417059</v>
      </c>
      <c r="I246" s="573">
        <f>SUM(I239:I245)</f>
        <v>24507698</v>
      </c>
      <c r="J246" s="498">
        <f>+'Appendix A'!G12</f>
        <v>0.18446314069920292</v>
      </c>
      <c r="K246" s="496">
        <f>I246*J246</f>
        <v>4520766.944387574</v>
      </c>
      <c r="L246" s="299"/>
      <c r="M246" s="474"/>
      <c r="P246" s="202"/>
      <c r="Q246" s="202"/>
      <c r="R246" s="202"/>
      <c r="S246" s="202"/>
      <c r="T246" s="202"/>
      <c r="U246" s="202"/>
    </row>
    <row r="247" spans="1:21" ht="16.5" customHeight="1">
      <c r="A247" s="510"/>
      <c r="B247" s="509"/>
      <c r="C247" s="331"/>
      <c r="D247" s="504"/>
      <c r="E247" s="469"/>
      <c r="F247" s="573"/>
      <c r="G247" s="842"/>
      <c r="H247" s="573"/>
      <c r="I247" s="573"/>
      <c r="J247" s="498"/>
      <c r="K247" s="496"/>
      <c r="L247" s="299"/>
      <c r="M247" s="474"/>
      <c r="P247" s="202"/>
      <c r="Q247" s="202"/>
      <c r="R247" s="202"/>
      <c r="S247" s="202"/>
      <c r="T247" s="202"/>
      <c r="U247" s="202"/>
    </row>
    <row r="248" spans="1:21" ht="16.5" customHeight="1">
      <c r="A248" s="510"/>
      <c r="B248" s="509"/>
      <c r="C248" s="331" t="s">
        <v>567</v>
      </c>
      <c r="D248" s="504" t="s">
        <v>872</v>
      </c>
      <c r="E248" s="469"/>
      <c r="F248" s="573"/>
      <c r="G248" s="840">
        <v>538641</v>
      </c>
      <c r="H248" s="799">
        <v>0</v>
      </c>
      <c r="I248" s="906">
        <f>IF('Appendix A'!$I$1=1,('5 - Cost Support 1'!G248+'5 - Cost Support 1'!H248)/2,H248)</f>
        <v>269320.5</v>
      </c>
      <c r="J248" s="498"/>
      <c r="K248" s="496"/>
      <c r="L248" s="299"/>
      <c r="M248" s="474"/>
      <c r="P248" s="202"/>
      <c r="Q248" s="202"/>
      <c r="R248" s="202"/>
      <c r="S248" s="202"/>
      <c r="T248" s="202"/>
      <c r="U248" s="202"/>
    </row>
    <row r="249" spans="1:21" ht="16.5" customHeight="1">
      <c r="A249" s="510"/>
      <c r="B249" s="509"/>
      <c r="C249" s="331"/>
      <c r="D249" s="504"/>
      <c r="E249" s="469"/>
      <c r="F249" s="573"/>
      <c r="G249" s="842">
        <f>SUM(G248)</f>
        <v>538641</v>
      </c>
      <c r="H249" s="573">
        <f>SUM(H248)</f>
        <v>0</v>
      </c>
      <c r="I249" s="573">
        <f>SUM(I248)</f>
        <v>269320.5</v>
      </c>
      <c r="J249" s="498">
        <f>'Appendix A'!G23</f>
        <v>0.2632866573880302</v>
      </c>
      <c r="K249" s="496">
        <f>I249*J249</f>
        <v>70908.49421107299</v>
      </c>
      <c r="L249" s="299"/>
      <c r="M249" s="474"/>
      <c r="P249" s="202"/>
      <c r="Q249" s="202"/>
      <c r="R249" s="202"/>
      <c r="S249" s="202"/>
      <c r="T249" s="202"/>
      <c r="U249" s="202"/>
    </row>
    <row r="250" spans="1:21" ht="16.5" customHeight="1">
      <c r="A250" s="510"/>
      <c r="B250" s="509"/>
      <c r="C250" s="331" t="s">
        <v>613</v>
      </c>
      <c r="D250" s="504"/>
      <c r="E250" s="469"/>
      <c r="F250" s="573"/>
      <c r="G250" s="842"/>
      <c r="H250" s="573"/>
      <c r="I250" s="573"/>
      <c r="J250" s="299"/>
      <c r="K250" s="299"/>
      <c r="L250" s="299"/>
      <c r="M250" s="474"/>
      <c r="P250" s="202"/>
      <c r="Q250" s="202"/>
      <c r="R250" s="202"/>
      <c r="S250" s="202"/>
      <c r="T250" s="202"/>
      <c r="U250" s="202"/>
    </row>
    <row r="251" spans="1:21" ht="16.5" customHeight="1">
      <c r="A251" s="510"/>
      <c r="B251" s="509"/>
      <c r="C251" s="331"/>
      <c r="D251" s="504" t="s">
        <v>141</v>
      </c>
      <c r="E251" s="469"/>
      <c r="F251" s="573"/>
      <c r="G251" s="949">
        <v>0</v>
      </c>
      <c r="H251" s="637">
        <v>0</v>
      </c>
      <c r="I251" s="573">
        <f>IF('Appendix A'!$I$1=1,('5 - Cost Support 1'!G251+'5 - Cost Support 1'!H251)/2,H251)</f>
        <v>0</v>
      </c>
      <c r="J251" s="907"/>
      <c r="K251" s="496"/>
      <c r="L251" s="299"/>
      <c r="M251" s="474"/>
      <c r="O251" s="280" t="s">
        <v>271</v>
      </c>
      <c r="P251" s="202"/>
      <c r="Q251" s="202"/>
      <c r="R251" s="202"/>
      <c r="S251" s="202"/>
      <c r="T251" s="202"/>
      <c r="U251" s="202"/>
    </row>
    <row r="252" spans="1:21" ht="16.5" customHeight="1">
      <c r="A252" s="510"/>
      <c r="B252" s="509"/>
      <c r="C252" s="942"/>
      <c r="D252" s="504" t="s">
        <v>110</v>
      </c>
      <c r="E252" s="670"/>
      <c r="F252" s="573"/>
      <c r="G252" s="949">
        <v>200000</v>
      </c>
      <c r="H252" s="637">
        <v>0</v>
      </c>
      <c r="I252" s="573">
        <f>IF('Appendix A'!$I$1=1,('5 - Cost Support 1'!G252+'5 - Cost Support 1'!H252)/2,H252)</f>
        <v>100000</v>
      </c>
      <c r="L252" s="299"/>
      <c r="M252" s="474"/>
      <c r="O252" s="280" t="s">
        <v>271</v>
      </c>
      <c r="P252" s="1058"/>
      <c r="Q252" s="1058"/>
      <c r="R252" s="1058"/>
      <c r="S252" s="202"/>
      <c r="T252" s="202"/>
      <c r="U252" s="202"/>
    </row>
    <row r="253" spans="1:21" ht="16.5" customHeight="1">
      <c r="A253" s="510"/>
      <c r="B253" s="509"/>
      <c r="C253" s="942"/>
      <c r="D253" s="504" t="s">
        <v>104</v>
      </c>
      <c r="E253" s="469"/>
      <c r="F253" s="202"/>
      <c r="G253" s="949">
        <v>3421968</v>
      </c>
      <c r="H253" s="637">
        <v>3465393</v>
      </c>
      <c r="I253" s="573">
        <f>IF('Appendix A'!$I$1=1,('5 - Cost Support 1'!G253+'5 - Cost Support 1'!H253)/2,H253)</f>
        <v>3443680.5</v>
      </c>
      <c r="L253" s="667"/>
      <c r="M253" s="474"/>
      <c r="O253" s="280" t="s">
        <v>271</v>
      </c>
      <c r="P253" s="1058"/>
      <c r="Q253" s="1058"/>
      <c r="R253" s="1058"/>
      <c r="S253" s="202"/>
      <c r="T253" s="202"/>
      <c r="U253" s="573"/>
    </row>
    <row r="254" spans="1:21" ht="16.5" customHeight="1">
      <c r="A254" s="510"/>
      <c r="B254" s="509"/>
      <c r="C254" s="942"/>
      <c r="D254" s="504" t="s">
        <v>613</v>
      </c>
      <c r="E254" s="469"/>
      <c r="F254" s="202"/>
      <c r="G254" s="840">
        <v>5441365</v>
      </c>
      <c r="H254" s="799">
        <v>611557</v>
      </c>
      <c r="I254" s="906">
        <f>IF('Appendix A'!$I$1=1,('5 - Cost Support 1'!G254+'5 - Cost Support 1'!H254)/2,H254)</f>
        <v>3026461</v>
      </c>
      <c r="L254" s="667"/>
      <c r="M254" s="474"/>
      <c r="O254" s="280" t="s">
        <v>271</v>
      </c>
      <c r="P254" s="1058"/>
      <c r="Q254" s="1058"/>
      <c r="R254" s="1058"/>
      <c r="S254" s="202"/>
      <c r="T254" s="202"/>
      <c r="U254" s="573"/>
    </row>
    <row r="255" spans="1:13" ht="16.5" customHeight="1">
      <c r="A255" s="510"/>
      <c r="B255" s="509"/>
      <c r="C255" s="331"/>
      <c r="D255" s="504"/>
      <c r="E255" s="468"/>
      <c r="F255" s="573"/>
      <c r="G255" s="842">
        <f>SUM(G251:G254)</f>
        <v>9063333</v>
      </c>
      <c r="H255" s="573">
        <f>SUM(H251:H254)</f>
        <v>4076950</v>
      </c>
      <c r="I255" s="573">
        <f>SUM(I251:I254)</f>
        <v>6570141.5</v>
      </c>
      <c r="J255" s="907">
        <v>0</v>
      </c>
      <c r="K255" s="496">
        <f>I255*J255</f>
        <v>0</v>
      </c>
      <c r="L255" s="299"/>
      <c r="M255" s="474"/>
    </row>
    <row r="256" spans="1:13" ht="16.5" customHeight="1">
      <c r="A256" s="510"/>
      <c r="B256" s="509"/>
      <c r="C256" s="331"/>
      <c r="D256" s="968"/>
      <c r="E256" s="468"/>
      <c r="F256" s="573"/>
      <c r="G256" s="842"/>
      <c r="H256" s="573"/>
      <c r="I256" s="573"/>
      <c r="J256" s="498"/>
      <c r="K256" s="496"/>
      <c r="L256" s="299"/>
      <c r="M256" s="474"/>
    </row>
    <row r="257" spans="1:18" ht="16.5" customHeight="1" thickBot="1">
      <c r="A257" s="571"/>
      <c r="B257" s="520"/>
      <c r="C257" s="536" t="s">
        <v>49</v>
      </c>
      <c r="D257" s="918"/>
      <c r="E257" s="918"/>
      <c r="F257" s="1216"/>
      <c r="G257" s="499">
        <f>G236+G246+G249+G255</f>
        <v>34200311</v>
      </c>
      <c r="H257" s="499">
        <f>H236+H246+H255+H249</f>
        <v>28494009</v>
      </c>
      <c r="I257" s="499">
        <f>I236+I246+I255+I249</f>
        <v>31347160</v>
      </c>
      <c r="J257" s="479"/>
      <c r="K257" s="499">
        <f>K236+K246+K255+K249</f>
        <v>4591675.438598647</v>
      </c>
      <c r="L257" s="481"/>
      <c r="M257" s="471"/>
      <c r="O257" s="420"/>
      <c r="P257" s="423"/>
      <c r="Q257" s="202"/>
      <c r="R257" s="202"/>
    </row>
    <row r="258" spans="1:18" ht="12.75">
      <c r="A258" s="517"/>
      <c r="B258" s="517"/>
      <c r="C258" s="517"/>
      <c r="D258" s="517"/>
      <c r="E258" s="511"/>
      <c r="F258" s="517"/>
      <c r="G258" s="667"/>
      <c r="H258" s="299"/>
      <c r="I258" s="667"/>
      <c r="J258" s="299"/>
      <c r="K258" s="494"/>
      <c r="L258" s="299"/>
      <c r="M258" s="299"/>
      <c r="O258" s="420"/>
      <c r="P258" s="202"/>
      <c r="Q258" s="202"/>
      <c r="R258" s="202"/>
    </row>
    <row r="259" spans="1:8" ht="13.5" thickBot="1">
      <c r="A259" s="817"/>
      <c r="G259" s="663"/>
      <c r="H259" s="663"/>
    </row>
    <row r="260" spans="1:13" ht="26.25" thickBot="1">
      <c r="A260" s="934" t="s">
        <v>50</v>
      </c>
      <c r="B260" s="935"/>
      <c r="C260" s="935"/>
      <c r="D260" s="936"/>
      <c r="E260" s="936"/>
      <c r="F260" s="937"/>
      <c r="G260" s="931" t="s">
        <v>754</v>
      </c>
      <c r="H260" s="827" t="s">
        <v>753</v>
      </c>
      <c r="I260" s="827" t="s">
        <v>503</v>
      </c>
      <c r="J260" s="827" t="s">
        <v>37</v>
      </c>
      <c r="K260" s="827" t="s">
        <v>756</v>
      </c>
      <c r="L260" s="827" t="s">
        <v>579</v>
      </c>
      <c r="M260" s="933"/>
    </row>
    <row r="261" spans="1:25" ht="18">
      <c r="A261" s="564">
        <f>+'Appendix A'!A74</f>
        <v>40</v>
      </c>
      <c r="B261" s="514" t="s">
        <v>395</v>
      </c>
      <c r="C261" s="547"/>
      <c r="D261" s="299"/>
      <c r="E261" s="299"/>
      <c r="F261" s="683"/>
      <c r="G261" s="1023"/>
      <c r="H261" s="346"/>
      <c r="I261" s="555"/>
      <c r="J261" s="463"/>
      <c r="K261" s="549" t="s">
        <v>582</v>
      </c>
      <c r="L261" s="463"/>
      <c r="M261" s="500"/>
      <c r="P261" s="1059"/>
      <c r="Q261" s="1059"/>
      <c r="R261" s="202"/>
      <c r="S261" s="202"/>
      <c r="T261" s="202"/>
      <c r="U261" s="202"/>
      <c r="V261" s="202"/>
      <c r="W261" s="202"/>
      <c r="X261" s="202"/>
      <c r="Y261" s="202"/>
    </row>
    <row r="262" spans="1:25" ht="12.75">
      <c r="A262" s="510"/>
      <c r="B262" s="517"/>
      <c r="C262" s="501" t="s">
        <v>570</v>
      </c>
      <c r="D262" s="504" t="s">
        <v>267</v>
      </c>
      <c r="E262" s="331"/>
      <c r="F262" s="566"/>
      <c r="G262" s="949">
        <v>0</v>
      </c>
      <c r="H262" s="637">
        <v>0</v>
      </c>
      <c r="I262" s="573">
        <f>IF('Appendix A'!$I$1=1,('5 - Cost Support 1'!G262+'5 - Cost Support 1'!H262)/2,H262)</f>
        <v>0</v>
      </c>
      <c r="J262" s="662">
        <f>'Appendix A'!$G$12</f>
        <v>0.18446314069920292</v>
      </c>
      <c r="K262" s="550">
        <f>I262*J262</f>
        <v>0</v>
      </c>
      <c r="L262" s="466"/>
      <c r="M262" s="467"/>
      <c r="O262" s="280" t="s">
        <v>271</v>
      </c>
      <c r="P262" s="202"/>
      <c r="Q262" s="202"/>
      <c r="R262" s="202"/>
      <c r="S262" s="202"/>
      <c r="T262" s="202"/>
      <c r="U262" s="202"/>
      <c r="V262" s="202"/>
      <c r="W262" s="202"/>
      <c r="X262" s="202"/>
      <c r="Y262" s="202"/>
    </row>
    <row r="263" spans="1:25" ht="17.25" customHeight="1">
      <c r="A263" s="510"/>
      <c r="B263" s="517"/>
      <c r="C263" s="299"/>
      <c r="D263" s="504" t="s">
        <v>142</v>
      </c>
      <c r="E263" s="331"/>
      <c r="F263" s="566"/>
      <c r="G263" s="949">
        <v>871798</v>
      </c>
      <c r="H263" s="637">
        <v>7409760</v>
      </c>
      <c r="I263" s="573">
        <f>IF('Appendix A'!$I$1=1,('5 - Cost Support 1'!G263+'5 - Cost Support 1'!H263)/2,H263)</f>
        <v>4140779</v>
      </c>
      <c r="J263" s="662">
        <f>'Appendix A'!$G$12</f>
        <v>0.18446314069920292</v>
      </c>
      <c r="K263" s="550">
        <f aca="true" t="shared" si="0" ref="K263:K271">I263*J263</f>
        <v>763821.0992813047</v>
      </c>
      <c r="L263" s="502"/>
      <c r="M263" s="503"/>
      <c r="O263" s="280" t="s">
        <v>271</v>
      </c>
      <c r="P263" s="1059"/>
      <c r="Q263" s="1060"/>
      <c r="R263" s="1060"/>
      <c r="S263" s="1060"/>
      <c r="T263" s="1060"/>
      <c r="U263" s="1060"/>
      <c r="V263" s="1060"/>
      <c r="W263" s="202"/>
      <c r="X263" s="1060"/>
      <c r="Y263" s="202"/>
    </row>
    <row r="264" spans="1:25" ht="17.25" customHeight="1">
      <c r="A264" s="510"/>
      <c r="B264" s="517"/>
      <c r="C264" s="299"/>
      <c r="D264" s="504" t="s">
        <v>145</v>
      </c>
      <c r="E264" s="331"/>
      <c r="F264" s="566"/>
      <c r="G264" s="949">
        <v>0</v>
      </c>
      <c r="H264" s="637">
        <v>0</v>
      </c>
      <c r="I264" s="573">
        <f>IF('Appendix A'!$I$1=1,('5 - Cost Support 1'!G264+'5 - Cost Support 1'!H264)/2,H264)</f>
        <v>0</v>
      </c>
      <c r="J264" s="662">
        <f>'Appendix A'!$G$12</f>
        <v>0.18446314069920292</v>
      </c>
      <c r="K264" s="550">
        <f t="shared" si="0"/>
        <v>0</v>
      </c>
      <c r="L264" s="502"/>
      <c r="M264" s="503"/>
      <c r="O264" s="280" t="s">
        <v>271</v>
      </c>
      <c r="P264" s="202"/>
      <c r="Q264" s="202"/>
      <c r="R264" s="202"/>
      <c r="S264" s="202"/>
      <c r="T264" s="202"/>
      <c r="U264" s="202"/>
      <c r="V264" s="202"/>
      <c r="W264" s="202"/>
      <c r="X264" s="202"/>
      <c r="Y264" s="202"/>
    </row>
    <row r="265" spans="1:25" ht="17.25" customHeight="1">
      <c r="A265" s="510"/>
      <c r="B265" s="517"/>
      <c r="C265" s="299"/>
      <c r="D265" s="504" t="s">
        <v>146</v>
      </c>
      <c r="E265" s="331"/>
      <c r="F265" s="566"/>
      <c r="G265" s="949">
        <v>0</v>
      </c>
      <c r="H265" s="637">
        <v>0</v>
      </c>
      <c r="I265" s="573">
        <f>IF('Appendix A'!$I$1=1,('5 - Cost Support 1'!G265+'5 - Cost Support 1'!H265)/2,H265)</f>
        <v>0</v>
      </c>
      <c r="J265" s="662">
        <f>'Appendix A'!$G$12</f>
        <v>0.18446314069920292</v>
      </c>
      <c r="K265" s="550">
        <f t="shared" si="0"/>
        <v>0</v>
      </c>
      <c r="L265" s="502"/>
      <c r="M265" s="503"/>
      <c r="O265" s="280" t="s">
        <v>271</v>
      </c>
      <c r="P265" s="1059"/>
      <c r="Q265" s="1060"/>
      <c r="R265" s="1060"/>
      <c r="S265" s="1060"/>
      <c r="T265" s="1060"/>
      <c r="U265" s="1060"/>
      <c r="V265" s="1060"/>
      <c r="W265" s="202"/>
      <c r="X265" s="202"/>
      <c r="Y265" s="1060"/>
    </row>
    <row r="266" spans="1:25" ht="17.25" customHeight="1">
      <c r="A266" s="510"/>
      <c r="B266" s="517"/>
      <c r="C266" s="299"/>
      <c r="D266" s="504" t="s">
        <v>147</v>
      </c>
      <c r="E266" s="331"/>
      <c r="F266" s="566"/>
      <c r="G266" s="949">
        <v>0</v>
      </c>
      <c r="H266" s="637">
        <v>0</v>
      </c>
      <c r="I266" s="573">
        <f>IF('Appendix A'!$I$1=1,('5 - Cost Support 1'!G266+'5 - Cost Support 1'!H266)/2,H266)</f>
        <v>0</v>
      </c>
      <c r="J266" s="662">
        <f>'Appendix A'!$G$12</f>
        <v>0.18446314069920292</v>
      </c>
      <c r="K266" s="550">
        <f t="shared" si="0"/>
        <v>0</v>
      </c>
      <c r="L266" s="299"/>
      <c r="M266" s="503"/>
      <c r="O266" s="280" t="s">
        <v>271</v>
      </c>
      <c r="P266" s="1059"/>
      <c r="Q266" s="1060"/>
      <c r="R266" s="1060"/>
      <c r="S266" s="1060"/>
      <c r="T266" s="1060"/>
      <c r="U266" s="1060"/>
      <c r="V266" s="1060"/>
      <c r="W266" s="202"/>
      <c r="X266" s="202"/>
      <c r="Y266" s="1060"/>
    </row>
    <row r="267" spans="1:25" ht="17.25" customHeight="1">
      <c r="A267" s="510"/>
      <c r="B267" s="517"/>
      <c r="C267" s="299"/>
      <c r="D267" s="504" t="s">
        <v>139</v>
      </c>
      <c r="E267" s="202"/>
      <c r="F267" s="566"/>
      <c r="G267" s="949">
        <v>4588105</v>
      </c>
      <c r="H267" s="637">
        <v>489455</v>
      </c>
      <c r="I267" s="573">
        <f>IF('Appendix A'!$I$1=1,('5 - Cost Support 1'!G267+'5 - Cost Support 1'!H267)/2,H267)</f>
        <v>2538780</v>
      </c>
      <c r="J267" s="662">
        <f>'Appendix A'!$G$12</f>
        <v>0.18446314069920292</v>
      </c>
      <c r="K267" s="550">
        <f t="shared" si="0"/>
        <v>468311.33234432235</v>
      </c>
      <c r="L267" s="299"/>
      <c r="M267" s="503"/>
      <c r="O267" s="280" t="s">
        <v>271</v>
      </c>
      <c r="P267" s="1059"/>
      <c r="Q267" s="1060"/>
      <c r="R267" s="1060"/>
      <c r="S267" s="1060"/>
      <c r="T267" s="1060"/>
      <c r="U267" s="1060"/>
      <c r="V267" s="1060"/>
      <c r="W267" s="202"/>
      <c r="X267" s="202"/>
      <c r="Y267" s="1060"/>
    </row>
    <row r="268" spans="1:13" ht="17.25" customHeight="1">
      <c r="A268" s="510"/>
      <c r="B268" s="517"/>
      <c r="D268" s="331"/>
      <c r="E268" s="459"/>
      <c r="F268" s="331"/>
      <c r="G268" s="465"/>
      <c r="H268" s="331"/>
      <c r="I268" s="573"/>
      <c r="J268" s="299"/>
      <c r="K268" s="556"/>
      <c r="L268" s="502"/>
      <c r="M268" s="503"/>
    </row>
    <row r="269" spans="1:15" ht="17.25" customHeight="1">
      <c r="A269" s="510"/>
      <c r="B269" s="517"/>
      <c r="C269" s="299" t="s">
        <v>613</v>
      </c>
      <c r="D269" s="504" t="s">
        <v>268</v>
      </c>
      <c r="E269" s="459"/>
      <c r="F269" s="566"/>
      <c r="G269" s="949">
        <v>1474217</v>
      </c>
      <c r="H269" s="637">
        <v>1472290</v>
      </c>
      <c r="I269" s="573">
        <f>IF('Appendix A'!$I$1=1,('5 - Cost Support 1'!G269+'5 - Cost Support 1'!H269)/2,H269)</f>
        <v>1473253.5</v>
      </c>
      <c r="J269" s="662">
        <v>0</v>
      </c>
      <c r="K269" s="550">
        <f t="shared" si="0"/>
        <v>0</v>
      </c>
      <c r="L269" s="502"/>
      <c r="M269" s="503"/>
      <c r="O269" s="280" t="s">
        <v>271</v>
      </c>
    </row>
    <row r="270" spans="1:13" ht="17.25" customHeight="1">
      <c r="A270" s="510"/>
      <c r="B270" s="517"/>
      <c r="C270" s="299"/>
      <c r="D270" s="504"/>
      <c r="E270" s="459"/>
      <c r="F270" s="566"/>
      <c r="G270" s="465"/>
      <c r="H270" s="331"/>
      <c r="I270" s="573"/>
      <c r="J270" s="662"/>
      <c r="K270" s="550"/>
      <c r="L270" s="502"/>
      <c r="M270" s="503"/>
    </row>
    <row r="271" spans="1:15" ht="17.25" customHeight="1">
      <c r="A271" s="510"/>
      <c r="B271" s="517"/>
      <c r="C271" s="331" t="s">
        <v>567</v>
      </c>
      <c r="D271" s="504" t="s">
        <v>143</v>
      </c>
      <c r="E271" s="459"/>
      <c r="F271" s="566"/>
      <c r="G271" s="840">
        <v>0</v>
      </c>
      <c r="H271" s="799">
        <v>73209</v>
      </c>
      <c r="I271" s="906">
        <f>IF('Appendix A'!$I$1=1,('5 - Cost Support 1'!G271+'5 - Cost Support 1'!H271)/2,H271)</f>
        <v>36604.5</v>
      </c>
      <c r="J271" s="551">
        <f>'Appendix A'!G23</f>
        <v>0.2632866573880302</v>
      </c>
      <c r="K271" s="552">
        <f t="shared" si="0"/>
        <v>9637.476450360151</v>
      </c>
      <c r="L271" s="502"/>
      <c r="M271" s="503"/>
      <c r="O271" s="280" t="s">
        <v>271</v>
      </c>
    </row>
    <row r="272" spans="1:13" ht="12.75">
      <c r="A272" s="510"/>
      <c r="B272" s="517"/>
      <c r="C272" s="331"/>
      <c r="D272" s="943"/>
      <c r="E272" s="299"/>
      <c r="F272" s="459"/>
      <c r="G272" s="839"/>
      <c r="H272" s="667"/>
      <c r="I272" s="556"/>
      <c r="J272" s="299"/>
      <c r="K272" s="556"/>
      <c r="L272" s="293"/>
      <c r="M272" s="467"/>
    </row>
    <row r="273" spans="1:13" ht="13.5" thickBot="1">
      <c r="A273" s="519"/>
      <c r="B273" s="524"/>
      <c r="C273" s="464"/>
      <c r="D273" s="491"/>
      <c r="E273" s="920"/>
      <c r="F273" s="1216"/>
      <c r="G273" s="499">
        <f>SUM(G262:G271)</f>
        <v>6934120</v>
      </c>
      <c r="H273" s="499">
        <f>SUM(H262:H271)</f>
        <v>9444714</v>
      </c>
      <c r="I273" s="905">
        <f>SUM(I262:I271)</f>
        <v>8189417</v>
      </c>
      <c r="J273" s="553"/>
      <c r="K273" s="1204">
        <f>SUM(K262:K271)</f>
        <v>1241769.9080759871</v>
      </c>
      <c r="L273" s="470"/>
      <c r="M273" s="471"/>
    </row>
    <row r="274" spans="1:13" ht="12.75">
      <c r="A274" s="517"/>
      <c r="B274" s="517"/>
      <c r="C274" s="517"/>
      <c r="D274" s="517"/>
      <c r="E274" s="511"/>
      <c r="F274" s="554"/>
      <c r="G274" s="505"/>
      <c r="H274" s="299"/>
      <c r="I274" s="299"/>
      <c r="J274" s="299"/>
      <c r="K274" s="494"/>
      <c r="L274" s="299"/>
      <c r="M274" s="299"/>
    </row>
    <row r="275" spans="1:14" ht="13.5" thickBot="1">
      <c r="A275" s="817" t="s">
        <v>663</v>
      </c>
      <c r="F275" s="491"/>
      <c r="G275" s="299"/>
      <c r="H275" s="299"/>
      <c r="N275" s="202"/>
    </row>
    <row r="276" spans="1:14" ht="26.25" thickBot="1">
      <c r="A276" s="934" t="s">
        <v>50</v>
      </c>
      <c r="B276" s="935"/>
      <c r="C276" s="935"/>
      <c r="D276" s="936"/>
      <c r="E276" s="936"/>
      <c r="F276" s="937"/>
      <c r="G276" s="931" t="s">
        <v>754</v>
      </c>
      <c r="H276" s="827" t="s">
        <v>844</v>
      </c>
      <c r="I276" s="827" t="s">
        <v>503</v>
      </c>
      <c r="J276" s="827"/>
      <c r="K276" s="827"/>
      <c r="L276" s="827"/>
      <c r="M276" s="933"/>
      <c r="N276" s="679"/>
    </row>
    <row r="277" spans="1:14" ht="12.75">
      <c r="A277" s="564"/>
      <c r="B277" s="514"/>
      <c r="C277" s="547"/>
      <c r="D277" s="299"/>
      <c r="E277" s="299"/>
      <c r="F277" s="299"/>
      <c r="G277" s="636"/>
      <c r="H277" s="548"/>
      <c r="I277" s="555"/>
      <c r="J277" s="504"/>
      <c r="K277" s="549"/>
      <c r="L277" s="504"/>
      <c r="M277" s="516"/>
      <c r="N277" s="202"/>
    </row>
    <row r="278" spans="1:15" ht="12.75">
      <c r="A278" s="486"/>
      <c r="C278" s="280" t="s">
        <v>664</v>
      </c>
      <c r="D278" s="202" t="s">
        <v>665</v>
      </c>
      <c r="E278" s="331"/>
      <c r="F278" s="566"/>
      <c r="G278" s="949">
        <v>1762098</v>
      </c>
      <c r="H278" s="637">
        <v>1453603</v>
      </c>
      <c r="I278" s="637">
        <f>IF('Appendix A'!$I$1=1,('5 - Cost Support 1'!G278+'5 - Cost Support 1'!H278)/2,H278)</f>
        <v>1607850.5</v>
      </c>
      <c r="J278" s="675"/>
      <c r="K278" s="550"/>
      <c r="L278" s="466"/>
      <c r="M278" s="467"/>
      <c r="O278" s="280" t="s">
        <v>271</v>
      </c>
    </row>
    <row r="279" spans="1:15" ht="17.25" customHeight="1">
      <c r="A279" s="565"/>
      <c r="B279" s="563"/>
      <c r="C279" s="802" t="s">
        <v>666</v>
      </c>
      <c r="D279" s="800" t="s">
        <v>717</v>
      </c>
      <c r="E279" s="1122"/>
      <c r="F279" s="1122"/>
      <c r="G279" s="840">
        <v>0</v>
      </c>
      <c r="H279" s="799">
        <v>0</v>
      </c>
      <c r="I279" s="799">
        <f>IF('Appendix A'!$I$1=1,('5 - Cost Support 1'!G279+'5 - Cost Support 1'!H279)/2,H279)</f>
        <v>0</v>
      </c>
      <c r="J279" s="675"/>
      <c r="K279" s="550"/>
      <c r="L279" s="502"/>
      <c r="M279" s="503"/>
      <c r="O279" s="280" t="s">
        <v>271</v>
      </c>
    </row>
    <row r="280" spans="1:13" ht="15.75">
      <c r="A280" s="510">
        <f>'Appendix A'!A78</f>
        <v>42</v>
      </c>
      <c r="B280" s="517"/>
      <c r="C280" s="463" t="str">
        <f>'Appendix A'!C78</f>
        <v>Undistributed Stores Exp</v>
      </c>
      <c r="D280" s="231"/>
      <c r="E280" s="780"/>
      <c r="F280" s="780"/>
      <c r="G280" s="784">
        <f>G278+G279</f>
        <v>1762098</v>
      </c>
      <c r="H280" s="566">
        <f>H278+H279</f>
        <v>1453603</v>
      </c>
      <c r="I280" s="566">
        <f>SUM(I278:I279)</f>
        <v>1607850.5</v>
      </c>
      <c r="J280" s="675"/>
      <c r="K280" s="550"/>
      <c r="L280" s="502"/>
      <c r="M280" s="503"/>
    </row>
    <row r="281" spans="1:13" ht="17.25" customHeight="1">
      <c r="A281" s="510"/>
      <c r="B281" s="517"/>
      <c r="C281" s="649"/>
      <c r="D281" s="231"/>
      <c r="E281" s="780"/>
      <c r="F281" s="780"/>
      <c r="G281" s="770"/>
      <c r="H281" s="566"/>
      <c r="I281" s="556"/>
      <c r="J281" s="675"/>
      <c r="K281" s="550"/>
      <c r="L281" s="502"/>
      <c r="M281" s="503"/>
    </row>
    <row r="282" spans="1:15" ht="17.25" customHeight="1" thickBot="1">
      <c r="A282" s="519">
        <f>'Appendix A'!A81</f>
        <v>45</v>
      </c>
      <c r="B282" s="524"/>
      <c r="C282" s="491" t="str">
        <f>'Appendix A'!C81</f>
        <v>Transmission Materials &amp; Supplies</v>
      </c>
      <c r="D282" s="522" t="s">
        <v>667</v>
      </c>
      <c r="E282" s="1123"/>
      <c r="F282" s="1216"/>
      <c r="G282" s="638">
        <v>3607060</v>
      </c>
      <c r="H282" s="638">
        <v>2254553</v>
      </c>
      <c r="I282" s="917">
        <f>IF('Appendix A'!$I$1=1,('5 - Cost Support 1'!G282+'5 - Cost Support 1'!H282)/2,H282)</f>
        <v>2930806.5</v>
      </c>
      <c r="J282" s="676"/>
      <c r="K282" s="677"/>
      <c r="L282" s="452"/>
      <c r="M282" s="678"/>
      <c r="O282" s="280" t="s">
        <v>271</v>
      </c>
    </row>
    <row r="283" spans="1:13" ht="15.75">
      <c r="A283" s="517"/>
      <c r="B283" s="517"/>
      <c r="C283" s="772"/>
      <c r="D283" s="769"/>
      <c r="E283" s="769"/>
      <c r="F283" s="769"/>
      <c r="G283" s="773"/>
      <c r="H283" s="562"/>
      <c r="I283" s="556"/>
      <c r="J283" s="562"/>
      <c r="K283" s="562"/>
      <c r="L283" s="466"/>
      <c r="M283" s="466"/>
    </row>
    <row r="284" spans="1:13" ht="16.5" thickBot="1">
      <c r="A284" s="514" t="s">
        <v>292</v>
      </c>
      <c r="B284" s="517"/>
      <c r="C284" s="232"/>
      <c r="D284" s="232"/>
      <c r="E284" s="584"/>
      <c r="F284" s="232"/>
      <c r="G284" s="769"/>
      <c r="H284" s="299"/>
      <c r="I284" s="299"/>
      <c r="J284" s="299"/>
      <c r="K284" s="494"/>
      <c r="L284" s="299"/>
      <c r="M284" s="299"/>
    </row>
    <row r="285" spans="1:13" ht="16.5" thickBot="1">
      <c r="A285" s="1252" t="s">
        <v>50</v>
      </c>
      <c r="B285" s="1253"/>
      <c r="C285" s="1275"/>
      <c r="D285" s="1275"/>
      <c r="E285" s="1275"/>
      <c r="F285" s="1276"/>
      <c r="G285" s="938" t="s">
        <v>458</v>
      </c>
      <c r="H285" s="928" t="s">
        <v>37</v>
      </c>
      <c r="I285" s="928" t="s">
        <v>562</v>
      </c>
      <c r="J285" s="928"/>
      <c r="K285" s="928"/>
      <c r="L285" s="928"/>
      <c r="M285" s="929"/>
    </row>
    <row r="286" spans="1:13" ht="15.75">
      <c r="A286" s="510"/>
      <c r="B286" s="517"/>
      <c r="C286" s="232"/>
      <c r="D286" s="232"/>
      <c r="E286" s="232"/>
      <c r="F286" s="774"/>
      <c r="G286" s="775"/>
      <c r="H286" s="299"/>
      <c r="I286" s="299"/>
      <c r="J286" s="299"/>
      <c r="K286" s="494"/>
      <c r="L286" s="299"/>
      <c r="M286" s="474"/>
    </row>
    <row r="287" spans="1:13" ht="15.75">
      <c r="A287" s="510">
        <f>'Appendix A'!A100</f>
        <v>55</v>
      </c>
      <c r="B287" s="517"/>
      <c r="C287" s="517" t="str">
        <f>'Appendix A'!C100</f>
        <v>     Plus Net Transmission Lease Payments</v>
      </c>
      <c r="D287" s="232"/>
      <c r="E287" s="232"/>
      <c r="F287" s="774"/>
      <c r="G287" s="770"/>
      <c r="H287" s="299"/>
      <c r="I287" s="665"/>
      <c r="J287" s="665"/>
      <c r="K287" s="494"/>
      <c r="L287" s="299"/>
      <c r="M287" s="474"/>
    </row>
    <row r="288" spans="1:13" ht="16.5" thickBot="1">
      <c r="A288" s="519"/>
      <c r="B288" s="524"/>
      <c r="C288" s="776"/>
      <c r="D288" s="776"/>
      <c r="E288" s="777"/>
      <c r="F288" s="778"/>
      <c r="G288" s="779"/>
      <c r="H288" s="491"/>
      <c r="I288" s="491"/>
      <c r="J288" s="491"/>
      <c r="K288" s="493"/>
      <c r="L288" s="491"/>
      <c r="M288" s="492"/>
    </row>
    <row r="289" spans="1:15" ht="15.75">
      <c r="A289" s="517"/>
      <c r="B289" s="517"/>
      <c r="C289" s="232"/>
      <c r="D289" s="232"/>
      <c r="E289" s="584"/>
      <c r="F289" s="232"/>
      <c r="G289" s="769"/>
      <c r="H289" s="299"/>
      <c r="I289" s="299"/>
      <c r="J289" s="299"/>
      <c r="K289" s="494"/>
      <c r="L289" s="299"/>
      <c r="M289" s="299"/>
      <c r="O289" s="663"/>
    </row>
    <row r="290" spans="1:7" ht="16.5" thickBot="1">
      <c r="A290" s="817" t="str">
        <f>+'Appendix A'!C268</f>
        <v>Facility Credits under Section 30.9 of the PJM OATT</v>
      </c>
      <c r="C290" s="649"/>
      <c r="D290" s="649"/>
      <c r="E290" s="649"/>
      <c r="F290" s="649"/>
      <c r="G290" s="649"/>
    </row>
    <row r="291" spans="1:13" ht="16.5" customHeight="1" thickBot="1">
      <c r="A291" s="1252" t="s">
        <v>50</v>
      </c>
      <c r="B291" s="1253"/>
      <c r="C291" s="1275"/>
      <c r="D291" s="1275"/>
      <c r="E291" s="1275"/>
      <c r="F291" s="1276"/>
      <c r="G291" s="939" t="s">
        <v>572</v>
      </c>
      <c r="H291" s="1255" t="s">
        <v>618</v>
      </c>
      <c r="I291" s="1255"/>
      <c r="J291" s="1255"/>
      <c r="K291" s="1255"/>
      <c r="L291" s="1255"/>
      <c r="M291" s="1256"/>
    </row>
    <row r="292" spans="1:13" ht="15.75">
      <c r="A292" s="510"/>
      <c r="B292" s="483" t="str">
        <f>+'Appendix A'!C265</f>
        <v>Net Revenue Requirement</v>
      </c>
      <c r="C292" s="780"/>
      <c r="D292" s="780"/>
      <c r="E292" s="781"/>
      <c r="F292" s="782"/>
      <c r="G292" s="769"/>
      <c r="H292" s="299"/>
      <c r="I292" s="299"/>
      <c r="J292" s="299"/>
      <c r="K292" s="299"/>
      <c r="L292" s="299"/>
      <c r="M292" s="474"/>
    </row>
    <row r="293" spans="1:13" ht="16.5" thickBot="1">
      <c r="A293" s="519">
        <f>+'Appendix A'!A268</f>
        <v>166</v>
      </c>
      <c r="B293" s="533"/>
      <c r="C293" s="521" t="str">
        <f>+'Appendix A'!C268</f>
        <v>Facility Credits under Section 30.9 of the PJM OATT</v>
      </c>
      <c r="D293" s="771"/>
      <c r="E293" s="776"/>
      <c r="F293" s="776"/>
      <c r="G293" s="801">
        <v>0</v>
      </c>
      <c r="H293" s="1267"/>
      <c r="I293" s="1267"/>
      <c r="J293" s="1267"/>
      <c r="K293" s="1267"/>
      <c r="L293" s="1267"/>
      <c r="M293" s="1268"/>
    </row>
    <row r="294" spans="1:13" ht="15.75">
      <c r="A294" s="517"/>
      <c r="B294" s="517"/>
      <c r="C294" s="232"/>
      <c r="D294" s="232"/>
      <c r="E294" s="584"/>
      <c r="F294" s="232"/>
      <c r="G294" s="769"/>
      <c r="H294" s="299"/>
      <c r="I294" s="299"/>
      <c r="J294" s="299"/>
      <c r="K294" s="494"/>
      <c r="L294" s="299"/>
      <c r="M294" s="299"/>
    </row>
    <row r="295" spans="1:7" ht="16.5" thickBot="1">
      <c r="A295" s="817" t="s">
        <v>671</v>
      </c>
      <c r="C295" s="649"/>
      <c r="D295" s="649"/>
      <c r="E295" s="649"/>
      <c r="F295" s="649"/>
      <c r="G295" s="649"/>
    </row>
    <row r="296" spans="1:13" ht="16.5" customHeight="1" thickBot="1">
      <c r="A296" s="1252" t="s">
        <v>50</v>
      </c>
      <c r="B296" s="1253"/>
      <c r="C296" s="1275"/>
      <c r="D296" s="1275"/>
      <c r="E296" s="1275"/>
      <c r="F296" s="1276"/>
      <c r="G296" s="939" t="str">
        <f>+C298</f>
        <v>1 CP Peak</v>
      </c>
      <c r="H296" s="1255" t="s">
        <v>618</v>
      </c>
      <c r="I296" s="1255"/>
      <c r="J296" s="1255"/>
      <c r="K296" s="1255"/>
      <c r="L296" s="1255"/>
      <c r="M296" s="1256"/>
    </row>
    <row r="297" spans="1:13" ht="15.75">
      <c r="A297" s="510"/>
      <c r="B297" s="483" t="s">
        <v>598</v>
      </c>
      <c r="C297" s="780"/>
      <c r="D297" s="780"/>
      <c r="E297" s="781"/>
      <c r="F297" s="782"/>
      <c r="G297" s="769"/>
      <c r="H297" s="299"/>
      <c r="I297" s="299"/>
      <c r="J297" s="299"/>
      <c r="K297" s="299"/>
      <c r="L297" s="299"/>
      <c r="M297" s="474"/>
    </row>
    <row r="298" spans="1:19" ht="40.5" customHeight="1" thickBot="1">
      <c r="A298" s="519">
        <f>+'Appendix A'!A273</f>
        <v>168</v>
      </c>
      <c r="B298" s="524"/>
      <c r="C298" s="521" t="str">
        <f>+'Appendix A'!C273</f>
        <v>1 CP Peak</v>
      </c>
      <c r="D298" s="771"/>
      <c r="E298" s="777"/>
      <c r="F298" s="526" t="s">
        <v>858</v>
      </c>
      <c r="G298" s="638">
        <v>2682</v>
      </c>
      <c r="H298" s="1267"/>
      <c r="I298" s="1267"/>
      <c r="J298" s="1267"/>
      <c r="K298" s="1267"/>
      <c r="L298" s="1267"/>
      <c r="M298" s="1268"/>
      <c r="P298" s="1059"/>
      <c r="Q298" s="1059"/>
      <c r="R298" s="1059"/>
      <c r="S298" s="1060"/>
    </row>
    <row r="299" spans="3:7" ht="15.75">
      <c r="C299" s="649"/>
      <c r="D299" s="649"/>
      <c r="E299" s="649"/>
      <c r="F299" s="649"/>
      <c r="G299" s="649"/>
    </row>
    <row r="300" ht="13.5" thickBot="1">
      <c r="A300" s="817" t="s">
        <v>491</v>
      </c>
    </row>
    <row r="301" spans="1:13" ht="13.5" thickBot="1">
      <c r="A301" s="1252" t="s">
        <v>50</v>
      </c>
      <c r="B301" s="1253"/>
      <c r="C301" s="1253"/>
      <c r="D301" s="1253"/>
      <c r="E301" s="1253"/>
      <c r="F301" s="1253"/>
      <c r="G301" s="940"/>
      <c r="H301" s="1273"/>
      <c r="I301" s="1273"/>
      <c r="J301" s="1273"/>
      <c r="K301" s="1273"/>
      <c r="L301" s="1273"/>
      <c r="M301" s="1274"/>
    </row>
    <row r="302" spans="1:33" ht="18">
      <c r="A302" s="510"/>
      <c r="B302" s="703" t="str">
        <f>+'Appendix A'!B158</f>
        <v>Long Term Interest</v>
      </c>
      <c r="C302" s="331"/>
      <c r="D302" s="331"/>
      <c r="E302" s="416"/>
      <c r="F302" s="416" t="s">
        <v>572</v>
      </c>
      <c r="G302" s="416"/>
      <c r="H302" s="331"/>
      <c r="I302" s="331"/>
      <c r="J302" s="331"/>
      <c r="K302" s="331"/>
      <c r="L302" s="331"/>
      <c r="M302" s="489"/>
      <c r="P302" s="1059"/>
      <c r="Q302" s="1059"/>
      <c r="R302" s="1060"/>
      <c r="S302" s="202"/>
      <c r="T302" s="1172"/>
      <c r="U302" s="1172"/>
      <c r="V302" s="1060"/>
      <c r="W302" s="1060"/>
      <c r="X302" s="1172"/>
      <c r="Y302" s="202"/>
      <c r="Z302" s="202"/>
      <c r="AA302" s="202"/>
      <c r="AB302" s="202"/>
      <c r="AC302" s="202"/>
      <c r="AD302" s="202"/>
      <c r="AE302" s="202"/>
      <c r="AF302" s="202"/>
      <c r="AG302" s="202"/>
    </row>
    <row r="303" spans="1:33" ht="12.75">
      <c r="A303" s="510">
        <f>+'Appendix A'!A159</f>
        <v>92</v>
      </c>
      <c r="B303" s="517"/>
      <c r="C303" s="230" t="str">
        <f>+'Appendix A'!C159</f>
        <v>Long Term Interest</v>
      </c>
      <c r="D303" s="504" t="s">
        <v>122</v>
      </c>
      <c r="E303" s="331"/>
      <c r="F303" s="573">
        <f>+H330</f>
        <v>47729482</v>
      </c>
      <c r="G303" s="1157"/>
      <c r="H303" s="1277"/>
      <c r="I303" s="1277"/>
      <c r="J303" s="1277"/>
      <c r="K303" s="1277"/>
      <c r="L303" s="1277"/>
      <c r="M303" s="1278"/>
      <c r="P303" s="202"/>
      <c r="Q303" s="202"/>
      <c r="R303" s="202"/>
      <c r="S303" s="202"/>
      <c r="T303" s="202"/>
      <c r="U303" s="202"/>
      <c r="V303" s="202"/>
      <c r="W303" s="202"/>
      <c r="X303" s="202"/>
      <c r="Y303" s="202"/>
      <c r="Z303" s="202"/>
      <c r="AA303" s="202"/>
      <c r="AB303" s="202"/>
      <c r="AC303" s="202"/>
      <c r="AD303" s="202"/>
      <c r="AE303" s="202"/>
      <c r="AF303" s="202"/>
      <c r="AG303" s="202"/>
    </row>
    <row r="304" spans="1:33" ht="12.75">
      <c r="A304" s="704">
        <f>+'Appendix A'!A177</f>
        <v>105</v>
      </c>
      <c r="B304" s="331"/>
      <c r="C304" s="331" t="str">
        <f>+'Appendix A'!C177</f>
        <v>Long Term Debt</v>
      </c>
      <c r="D304" s="504" t="s">
        <v>501</v>
      </c>
      <c r="E304" s="331"/>
      <c r="F304" s="459">
        <f>+G330</f>
        <v>1074905000</v>
      </c>
      <c r="G304" s="670"/>
      <c r="H304" s="331"/>
      <c r="I304" s="331"/>
      <c r="J304" s="331"/>
      <c r="K304" s="331"/>
      <c r="L304" s="331"/>
      <c r="M304" s="489"/>
      <c r="P304" s="202"/>
      <c r="Q304" s="202"/>
      <c r="R304" s="202"/>
      <c r="S304" s="202"/>
      <c r="T304" s="202"/>
      <c r="U304" s="202"/>
      <c r="V304" s="202"/>
      <c r="W304" s="202"/>
      <c r="X304" s="202"/>
      <c r="Y304" s="202"/>
      <c r="Z304" s="202"/>
      <c r="AA304" s="202"/>
      <c r="AB304" s="202"/>
      <c r="AC304" s="202"/>
      <c r="AD304" s="202"/>
      <c r="AE304" s="202"/>
      <c r="AF304" s="202"/>
      <c r="AG304" s="202"/>
    </row>
    <row r="305" spans="1:33" ht="12.75">
      <c r="A305" s="486"/>
      <c r="B305" s="331"/>
      <c r="C305" s="331"/>
      <c r="D305" s="331"/>
      <c r="E305" s="331"/>
      <c r="F305" s="705"/>
      <c r="G305" s="705"/>
      <c r="H305" s="331"/>
      <c r="I305" s="331"/>
      <c r="J305" s="331"/>
      <c r="K305" s="331"/>
      <c r="L305" s="331"/>
      <c r="M305" s="489"/>
      <c r="P305" s="202"/>
      <c r="Q305" s="202"/>
      <c r="R305" s="202"/>
      <c r="S305" s="202"/>
      <c r="T305" s="202"/>
      <c r="U305" s="202"/>
      <c r="V305" s="202"/>
      <c r="W305" s="202"/>
      <c r="X305" s="202"/>
      <c r="Y305" s="202"/>
      <c r="Z305" s="202"/>
      <c r="AA305" s="202"/>
      <c r="AB305" s="202"/>
      <c r="AC305" s="202"/>
      <c r="AD305" s="202"/>
      <c r="AE305" s="202"/>
      <c r="AF305" s="202"/>
      <c r="AG305" s="202"/>
    </row>
    <row r="306" spans="1:33" ht="18">
      <c r="A306" s="486"/>
      <c r="B306" s="331"/>
      <c r="C306" s="416" t="s">
        <v>327</v>
      </c>
      <c r="D306" s="416" t="s">
        <v>459</v>
      </c>
      <c r="E306" s="416" t="s">
        <v>308</v>
      </c>
      <c r="F306" s="416" t="s">
        <v>328</v>
      </c>
      <c r="G306" s="416" t="s">
        <v>326</v>
      </c>
      <c r="H306" s="416" t="s">
        <v>619</v>
      </c>
      <c r="I306" s="416"/>
      <c r="J306" s="416"/>
      <c r="K306" s="331"/>
      <c r="L306" s="331"/>
      <c r="M306" s="489"/>
      <c r="P306" s="1059"/>
      <c r="Q306" s="1060"/>
      <c r="R306" s="1060"/>
      <c r="S306" s="1060"/>
      <c r="T306" s="1060"/>
      <c r="U306" s="1060"/>
      <c r="V306" s="1060"/>
      <c r="W306" s="202"/>
      <c r="X306" s="1060"/>
      <c r="Y306" s="202"/>
      <c r="Z306" s="202"/>
      <c r="AA306" s="202"/>
      <c r="AB306" s="202"/>
      <c r="AC306" s="202"/>
      <c r="AD306" s="202"/>
      <c r="AE306" s="202"/>
      <c r="AF306" s="202"/>
      <c r="AG306" s="202"/>
    </row>
    <row r="307" spans="1:33" ht="39" customHeight="1">
      <c r="A307" s="486"/>
      <c r="B307" s="331" t="s">
        <v>496</v>
      </c>
      <c r="C307" s="1158" t="s">
        <v>495</v>
      </c>
      <c r="D307" s="1159" t="s">
        <v>497</v>
      </c>
      <c r="E307" s="1159" t="s">
        <v>499</v>
      </c>
      <c r="F307" s="1159" t="s">
        <v>498</v>
      </c>
      <c r="G307" s="1159" t="s">
        <v>500</v>
      </c>
      <c r="H307" s="1159" t="s">
        <v>643</v>
      </c>
      <c r="I307" s="706"/>
      <c r="J307" s="706"/>
      <c r="K307" s="331"/>
      <c r="L307" s="331"/>
      <c r="M307" s="489"/>
      <c r="P307" s="202"/>
      <c r="Q307" s="202"/>
      <c r="R307" s="202"/>
      <c r="S307" s="202"/>
      <c r="T307" s="202"/>
      <c r="U307" s="202"/>
      <c r="V307" s="202"/>
      <c r="W307" s="202"/>
      <c r="X307" s="202"/>
      <c r="Y307" s="202"/>
      <c r="Z307" s="202"/>
      <c r="AA307" s="202"/>
      <c r="AB307" s="202"/>
      <c r="AC307" s="202"/>
      <c r="AD307" s="202"/>
      <c r="AE307" s="202"/>
      <c r="AF307" s="202"/>
      <c r="AG307" s="202"/>
    </row>
    <row r="308" spans="1:33" ht="18">
      <c r="A308" s="486"/>
      <c r="B308" s="331">
        <v>221</v>
      </c>
      <c r="C308" s="1115" t="s">
        <v>850</v>
      </c>
      <c r="D308" s="1114">
        <v>160000000</v>
      </c>
      <c r="E308" s="1114">
        <v>160000000</v>
      </c>
      <c r="F308" s="1162">
        <v>12</v>
      </c>
      <c r="G308" s="916">
        <f aca="true" t="shared" si="1" ref="G308:G313">+E308*F308/12</f>
        <v>160000000</v>
      </c>
      <c r="H308" s="1114">
        <v>7952000</v>
      </c>
      <c r="I308" s="1160"/>
      <c r="J308" s="459"/>
      <c r="K308" s="331"/>
      <c r="L308" s="331"/>
      <c r="M308" s="489"/>
      <c r="P308" s="1060"/>
      <c r="Q308" s="1060"/>
      <c r="R308" s="1060"/>
      <c r="S308" s="1060"/>
      <c r="T308" s="1060"/>
      <c r="U308" s="1060"/>
      <c r="V308" s="1060"/>
      <c r="W308" s="1060"/>
      <c r="X308" s="1060"/>
      <c r="Y308" s="1060"/>
      <c r="Z308" s="1060"/>
      <c r="AA308" s="1060"/>
      <c r="AB308" s="202"/>
      <c r="AC308" s="202"/>
      <c r="AD308" s="202"/>
      <c r="AE308" s="202"/>
      <c r="AF308" s="202"/>
      <c r="AG308" s="202"/>
    </row>
    <row r="309" spans="1:33" ht="18" customHeight="1">
      <c r="A309" s="486"/>
      <c r="B309" s="331">
        <v>221</v>
      </c>
      <c r="C309" s="1115" t="s">
        <v>862</v>
      </c>
      <c r="D309" s="1114">
        <v>200000000</v>
      </c>
      <c r="E309" s="1114">
        <v>200000000</v>
      </c>
      <c r="F309" s="1162">
        <v>12</v>
      </c>
      <c r="G309" s="916">
        <f t="shared" si="1"/>
        <v>200000000</v>
      </c>
      <c r="H309" s="1114">
        <v>9520000</v>
      </c>
      <c r="I309" s="1160"/>
      <c r="J309" s="459"/>
      <c r="K309" s="331"/>
      <c r="L309" s="331"/>
      <c r="M309" s="489"/>
      <c r="P309" s="202"/>
      <c r="Q309" s="202"/>
      <c r="R309" s="202"/>
      <c r="S309" s="202"/>
      <c r="T309" s="202"/>
      <c r="U309" s="202"/>
      <c r="V309" s="202"/>
      <c r="W309" s="202"/>
      <c r="X309" s="202"/>
      <c r="Y309" s="202"/>
      <c r="Z309" s="202"/>
      <c r="AA309" s="202"/>
      <c r="AB309" s="202"/>
      <c r="AC309" s="202"/>
      <c r="AD309" s="202"/>
      <c r="AE309" s="202"/>
      <c r="AF309" s="202"/>
      <c r="AG309" s="202"/>
    </row>
    <row r="310" spans="1:33" ht="18" customHeight="1">
      <c r="A310" s="486"/>
      <c r="B310" s="331">
        <v>221</v>
      </c>
      <c r="C310" s="1115" t="s">
        <v>863</v>
      </c>
      <c r="D310" s="1114">
        <v>45000000</v>
      </c>
      <c r="E310" s="1114">
        <v>45000000</v>
      </c>
      <c r="F310" s="1162">
        <v>12</v>
      </c>
      <c r="G310" s="916">
        <f t="shared" si="1"/>
        <v>45000000</v>
      </c>
      <c r="H310" s="1114">
        <v>2259000</v>
      </c>
      <c r="I310" s="1160"/>
      <c r="J310" s="459"/>
      <c r="K310" s="331"/>
      <c r="L310" s="331"/>
      <c r="M310" s="489"/>
      <c r="P310" s="202"/>
      <c r="Q310" s="202"/>
      <c r="R310" s="202"/>
      <c r="S310" s="202"/>
      <c r="T310" s="202"/>
      <c r="U310" s="202"/>
      <c r="V310" s="202"/>
      <c r="W310" s="202"/>
      <c r="X310" s="202"/>
      <c r="Y310" s="202"/>
      <c r="Z310" s="202"/>
      <c r="AA310" s="202"/>
      <c r="AB310" s="202"/>
      <c r="AC310" s="202"/>
      <c r="AD310" s="202"/>
      <c r="AE310" s="202"/>
      <c r="AF310" s="202"/>
      <c r="AG310" s="202"/>
    </row>
    <row r="311" spans="1:33" ht="18" customHeight="1">
      <c r="A311" s="486"/>
      <c r="B311" s="331">
        <v>221</v>
      </c>
      <c r="C311" s="1161" t="s">
        <v>867</v>
      </c>
      <c r="D311" s="1114">
        <v>85000000</v>
      </c>
      <c r="E311" s="1114">
        <v>85000000</v>
      </c>
      <c r="F311" s="1162">
        <v>12</v>
      </c>
      <c r="G311" s="916">
        <f t="shared" si="1"/>
        <v>85000000</v>
      </c>
      <c r="H311" s="1114">
        <v>4352000</v>
      </c>
      <c r="I311" s="1160"/>
      <c r="J311" s="459"/>
      <c r="K311" s="331"/>
      <c r="L311" s="331"/>
      <c r="M311" s="489"/>
      <c r="P311" s="202"/>
      <c r="Q311" s="202"/>
      <c r="R311" s="202"/>
      <c r="S311" s="202"/>
      <c r="T311" s="202"/>
      <c r="U311" s="202"/>
      <c r="V311" s="202"/>
      <c r="W311" s="202"/>
      <c r="X311" s="202"/>
      <c r="Y311" s="202"/>
      <c r="Z311" s="202"/>
      <c r="AA311" s="202"/>
      <c r="AB311" s="202"/>
      <c r="AC311" s="202"/>
      <c r="AD311" s="202"/>
      <c r="AE311" s="202"/>
      <c r="AF311" s="202"/>
      <c r="AG311" s="202"/>
    </row>
    <row r="312" spans="1:33" ht="18" customHeight="1">
      <c r="A312" s="486"/>
      <c r="B312" s="331">
        <v>221</v>
      </c>
      <c r="C312" s="1161" t="s">
        <v>864</v>
      </c>
      <c r="D312" s="1114">
        <v>100000000</v>
      </c>
      <c r="E312" s="1114">
        <v>100000000</v>
      </c>
      <c r="F312" s="1162">
        <v>12</v>
      </c>
      <c r="G312" s="1162">
        <f t="shared" si="1"/>
        <v>100000000</v>
      </c>
      <c r="H312" s="1114">
        <v>3780000</v>
      </c>
      <c r="I312" s="1160"/>
      <c r="J312" s="459"/>
      <c r="K312" s="1164"/>
      <c r="L312" s="331"/>
      <c r="M312" s="489"/>
      <c r="P312" s="202"/>
      <c r="Q312" s="202"/>
      <c r="R312" s="202"/>
      <c r="S312" s="202"/>
      <c r="T312" s="202"/>
      <c r="U312" s="202"/>
      <c r="V312" s="202"/>
      <c r="W312" s="202"/>
      <c r="X312" s="202"/>
      <c r="Y312" s="202"/>
      <c r="Z312" s="202"/>
      <c r="AA312" s="202"/>
      <c r="AB312" s="202"/>
      <c r="AC312" s="202"/>
      <c r="AD312" s="202"/>
      <c r="AE312" s="202"/>
      <c r="AF312" s="202"/>
      <c r="AG312" s="202"/>
    </row>
    <row r="313" spans="1:33" ht="18" customHeight="1">
      <c r="A313" s="486"/>
      <c r="B313" s="331">
        <v>221</v>
      </c>
      <c r="C313" s="1161" t="s">
        <v>865</v>
      </c>
      <c r="D313" s="1114">
        <v>200000000</v>
      </c>
      <c r="E313" s="1114">
        <v>200000000</v>
      </c>
      <c r="F313" s="1162">
        <v>12</v>
      </c>
      <c r="G313" s="1162">
        <f t="shared" si="1"/>
        <v>200000000</v>
      </c>
      <c r="H313" s="1114">
        <v>7860000</v>
      </c>
      <c r="I313" s="1160"/>
      <c r="J313" s="459"/>
      <c r="K313" s="1164"/>
      <c r="L313" s="331"/>
      <c r="M313" s="489"/>
      <c r="P313" s="202"/>
      <c r="Q313" s="202"/>
      <c r="R313" s="202"/>
      <c r="S313" s="202"/>
      <c r="T313" s="202"/>
      <c r="U313" s="202"/>
      <c r="V313" s="202"/>
      <c r="W313" s="202"/>
      <c r="X313" s="202"/>
      <c r="Y313" s="202"/>
      <c r="Z313" s="202"/>
      <c r="AA313" s="202"/>
      <c r="AB313" s="202"/>
      <c r="AC313" s="202"/>
      <c r="AD313" s="202"/>
      <c r="AE313" s="202"/>
      <c r="AF313" s="202"/>
      <c r="AG313" s="202"/>
    </row>
    <row r="314" spans="1:33" ht="18" customHeight="1">
      <c r="A314" s="486"/>
      <c r="B314" s="331">
        <v>221</v>
      </c>
      <c r="C314" s="1161" t="s">
        <v>866</v>
      </c>
      <c r="D314" s="1114">
        <v>160000000</v>
      </c>
      <c r="E314" s="1114">
        <v>160000000</v>
      </c>
      <c r="F314" s="1162">
        <v>12</v>
      </c>
      <c r="G314" s="1162">
        <f>+E314*F314/12</f>
        <v>160000000</v>
      </c>
      <c r="H314" s="1114">
        <v>6288000</v>
      </c>
      <c r="I314" s="1160"/>
      <c r="J314" s="459"/>
      <c r="K314" s="1164"/>
      <c r="L314" s="331"/>
      <c r="M314" s="489"/>
      <c r="P314" s="202"/>
      <c r="Q314" s="202"/>
      <c r="R314" s="202"/>
      <c r="S314" s="202"/>
      <c r="T314" s="202"/>
      <c r="U314" s="202"/>
      <c r="V314" s="202"/>
      <c r="W314" s="202"/>
      <c r="X314" s="202"/>
      <c r="Y314" s="202"/>
      <c r="Z314" s="202"/>
      <c r="AA314" s="202"/>
      <c r="AB314" s="202"/>
      <c r="AC314" s="202"/>
      <c r="AD314" s="202"/>
      <c r="AE314" s="202"/>
      <c r="AF314" s="202"/>
      <c r="AG314" s="202"/>
    </row>
    <row r="315" spans="1:33" ht="18" customHeight="1">
      <c r="A315" s="486"/>
      <c r="B315" s="331">
        <v>221</v>
      </c>
      <c r="C315" s="1115" t="s">
        <v>876</v>
      </c>
      <c r="D315" s="1114">
        <v>60000000</v>
      </c>
      <c r="E315" s="1114">
        <v>60000000</v>
      </c>
      <c r="F315" s="1162">
        <v>3</v>
      </c>
      <c r="G315" s="1162">
        <f>+E315*F315/12</f>
        <v>15000000</v>
      </c>
      <c r="H315" s="1114">
        <v>560267</v>
      </c>
      <c r="I315" s="1160"/>
      <c r="J315" s="459"/>
      <c r="K315" s="1164"/>
      <c r="L315" s="331"/>
      <c r="M315" s="489"/>
      <c r="P315" s="202"/>
      <c r="Q315" s="202"/>
      <c r="R315" s="202"/>
      <c r="S315" s="202"/>
      <c r="T315" s="202"/>
      <c r="U315" s="202"/>
      <c r="V315" s="202"/>
      <c r="W315" s="202"/>
      <c r="X315" s="202"/>
      <c r="Y315" s="202"/>
      <c r="Z315" s="202"/>
      <c r="AA315" s="202"/>
      <c r="AB315" s="202"/>
      <c r="AC315" s="202"/>
      <c r="AD315" s="202"/>
      <c r="AE315" s="202"/>
      <c r="AF315" s="202"/>
      <c r="AG315" s="202"/>
    </row>
    <row r="316" spans="1:33" ht="18" customHeight="1">
      <c r="A316" s="486"/>
      <c r="B316" s="331"/>
      <c r="C316" s="1115"/>
      <c r="D316" s="1114"/>
      <c r="E316" s="1114"/>
      <c r="F316" s="1162"/>
      <c r="G316" s="916"/>
      <c r="H316" s="1114"/>
      <c r="I316" s="1076"/>
      <c r="J316" s="459"/>
      <c r="K316" s="1164"/>
      <c r="L316" s="331"/>
      <c r="M316" s="489"/>
      <c r="P316" s="202"/>
      <c r="Q316" s="202"/>
      <c r="R316" s="202"/>
      <c r="S316" s="202"/>
      <c r="T316" s="202"/>
      <c r="U316" s="202"/>
      <c r="V316" s="202"/>
      <c r="W316" s="202"/>
      <c r="X316" s="202"/>
      <c r="Y316" s="202"/>
      <c r="Z316" s="202"/>
      <c r="AA316" s="202"/>
      <c r="AB316" s="202"/>
      <c r="AC316" s="202"/>
      <c r="AD316" s="202"/>
      <c r="AE316" s="202"/>
      <c r="AF316" s="202"/>
      <c r="AG316" s="202"/>
    </row>
    <row r="317" spans="1:13" ht="18" customHeight="1">
      <c r="A317" s="486"/>
      <c r="B317" s="331">
        <v>224</v>
      </c>
      <c r="C317" s="1115" t="s">
        <v>492</v>
      </c>
      <c r="D317" s="1114"/>
      <c r="E317" s="1114"/>
      <c r="F317" s="1162"/>
      <c r="G317" s="916"/>
      <c r="H317" s="1114"/>
      <c r="I317" s="1076"/>
      <c r="J317" s="459"/>
      <c r="K317" s="1164"/>
      <c r="L317" s="331"/>
      <c r="M317" s="489"/>
    </row>
    <row r="318" spans="1:13" ht="18" customHeight="1">
      <c r="A318" s="486"/>
      <c r="B318" s="331">
        <v>224</v>
      </c>
      <c r="C318" s="1115" t="s">
        <v>718</v>
      </c>
      <c r="D318" s="1114">
        <v>13700000</v>
      </c>
      <c r="E318" s="1114">
        <v>13700000</v>
      </c>
      <c r="F318" s="1162">
        <v>12</v>
      </c>
      <c r="G318" s="916">
        <f>+E318*F318/12</f>
        <v>13700000</v>
      </c>
      <c r="H318" s="1114">
        <v>650750</v>
      </c>
      <c r="I318" s="1160"/>
      <c r="J318" s="459"/>
      <c r="K318" s="1164"/>
      <c r="L318" s="331"/>
      <c r="M318" s="489"/>
    </row>
    <row r="319" spans="1:13" ht="18" customHeight="1">
      <c r="A319" s="486"/>
      <c r="B319" s="331">
        <v>224</v>
      </c>
      <c r="C319" s="1115" t="s">
        <v>719</v>
      </c>
      <c r="D319" s="1114">
        <v>18000000</v>
      </c>
      <c r="E319" s="1114">
        <v>18000000</v>
      </c>
      <c r="F319" s="1162">
        <v>12</v>
      </c>
      <c r="G319" s="916">
        <f>+E319*F319/12</f>
        <v>18000000</v>
      </c>
      <c r="H319" s="1114">
        <v>855000</v>
      </c>
      <c r="I319" s="1160"/>
      <c r="J319" s="459"/>
      <c r="K319" s="331"/>
      <c r="L319" s="331"/>
      <c r="M319" s="489"/>
    </row>
    <row r="320" spans="1:25" ht="18" customHeight="1">
      <c r="A320" s="486"/>
      <c r="B320" s="331">
        <v>224</v>
      </c>
      <c r="C320" s="1115" t="s">
        <v>720</v>
      </c>
      <c r="D320" s="1114">
        <v>44250000</v>
      </c>
      <c r="E320" s="1114">
        <v>44250000</v>
      </c>
      <c r="F320" s="1162">
        <v>12</v>
      </c>
      <c r="G320" s="916">
        <f>+E320*F320/12</f>
        <v>44250000</v>
      </c>
      <c r="H320" s="1114">
        <v>1991250</v>
      </c>
      <c r="I320" s="1160"/>
      <c r="J320" s="459"/>
      <c r="K320" s="331"/>
      <c r="L320" s="331"/>
      <c r="M320" s="489"/>
      <c r="P320" s="1059"/>
      <c r="Q320" s="1060"/>
      <c r="R320" s="1060"/>
      <c r="S320" s="1060"/>
      <c r="T320" s="1060"/>
      <c r="U320" s="1060"/>
      <c r="V320" s="1060"/>
      <c r="W320" s="202"/>
      <c r="X320" s="202"/>
      <c r="Y320" s="1060"/>
    </row>
    <row r="321" spans="1:13" ht="18" customHeight="1">
      <c r="A321" s="486"/>
      <c r="B321" s="331">
        <v>224</v>
      </c>
      <c r="C321" s="1115" t="s">
        <v>722</v>
      </c>
      <c r="D321" s="1114">
        <v>25000000</v>
      </c>
      <c r="E321" s="1114">
        <v>0</v>
      </c>
      <c r="F321" s="1162">
        <v>12</v>
      </c>
      <c r="G321" s="916">
        <f>+E321*F321/12</f>
        <v>0</v>
      </c>
      <c r="H321" s="1114">
        <v>5753</v>
      </c>
      <c r="I321" s="1160"/>
      <c r="J321" s="459"/>
      <c r="K321" s="331"/>
      <c r="L321" s="331"/>
      <c r="M321" s="489"/>
    </row>
    <row r="322" spans="1:13" ht="18" customHeight="1">
      <c r="A322" s="486"/>
      <c r="B322" s="331">
        <v>224</v>
      </c>
      <c r="C322" s="1115" t="s">
        <v>721</v>
      </c>
      <c r="D322" s="1114">
        <v>75500000</v>
      </c>
      <c r="E322" s="1114">
        <v>0</v>
      </c>
      <c r="F322" s="1162">
        <v>12</v>
      </c>
      <c r="G322" s="916">
        <f>+E322*F322/12</f>
        <v>0</v>
      </c>
      <c r="H322" s="1114">
        <v>17373</v>
      </c>
      <c r="I322" s="1160"/>
      <c r="J322" s="459"/>
      <c r="K322" s="331"/>
      <c r="L322" s="331"/>
      <c r="M322" s="489"/>
    </row>
    <row r="323" spans="1:13" ht="18" customHeight="1">
      <c r="A323" s="486"/>
      <c r="B323" s="331"/>
      <c r="C323" s="1115"/>
      <c r="D323" s="1114"/>
      <c r="E323" s="1114"/>
      <c r="F323" s="1162"/>
      <c r="G323" s="916"/>
      <c r="H323" s="1114"/>
      <c r="I323" s="1076"/>
      <c r="J323" s="459"/>
      <c r="K323" s="331"/>
      <c r="L323" s="331"/>
      <c r="M323" s="489"/>
    </row>
    <row r="324" spans="1:13" ht="18" customHeight="1">
      <c r="A324" s="486"/>
      <c r="B324" s="820">
        <v>224</v>
      </c>
      <c r="C324" s="1115" t="s">
        <v>494</v>
      </c>
      <c r="D324" s="1114"/>
      <c r="E324" s="1114"/>
      <c r="F324" s="1162"/>
      <c r="G324" s="916"/>
      <c r="H324" s="1114"/>
      <c r="I324" s="1076"/>
      <c r="J324" s="459"/>
      <c r="K324" s="331"/>
      <c r="L324" s="331"/>
      <c r="M324" s="489"/>
    </row>
    <row r="325" spans="1:13" s="822" customFormat="1" ht="18" customHeight="1">
      <c r="A325" s="1171"/>
      <c r="B325" s="331">
        <v>224</v>
      </c>
      <c r="C325" s="1115" t="s">
        <v>722</v>
      </c>
      <c r="D325" s="1114">
        <v>71000000</v>
      </c>
      <c r="E325" s="1114">
        <v>0</v>
      </c>
      <c r="F325" s="1162">
        <v>12</v>
      </c>
      <c r="G325" s="916">
        <f>+E325*F325/12</f>
        <v>0</v>
      </c>
      <c r="H325" s="1114">
        <v>16332</v>
      </c>
      <c r="I325" s="1160"/>
      <c r="J325" s="820"/>
      <c r="K325" s="820"/>
      <c r="L325" s="820"/>
      <c r="M325" s="821"/>
    </row>
    <row r="326" spans="1:13" ht="18" customHeight="1">
      <c r="A326" s="486"/>
      <c r="B326" s="331">
        <v>224</v>
      </c>
      <c r="C326" s="1115" t="s">
        <v>723</v>
      </c>
      <c r="D326" s="1114">
        <v>13500000</v>
      </c>
      <c r="E326" s="1114">
        <v>0</v>
      </c>
      <c r="F326" s="1162">
        <v>12</v>
      </c>
      <c r="G326" s="916">
        <f>+E326*F326/12</f>
        <v>0</v>
      </c>
      <c r="H326" s="1114">
        <v>3106</v>
      </c>
      <c r="I326" s="1160"/>
      <c r="J326" s="459"/>
      <c r="K326" s="331"/>
      <c r="L326" s="331"/>
      <c r="M326" s="489"/>
    </row>
    <row r="327" spans="1:13" ht="18" customHeight="1">
      <c r="A327" s="486"/>
      <c r="B327" s="331">
        <v>224</v>
      </c>
      <c r="C327" s="1115" t="s">
        <v>724</v>
      </c>
      <c r="D327" s="1114">
        <v>20500000</v>
      </c>
      <c r="E327" s="1114">
        <v>0</v>
      </c>
      <c r="F327" s="1162">
        <v>12</v>
      </c>
      <c r="G327" s="916">
        <f>+E327*F327/12</f>
        <v>0</v>
      </c>
      <c r="H327" s="1114">
        <v>4717</v>
      </c>
      <c r="I327" s="1160"/>
      <c r="J327" s="459"/>
      <c r="K327" s="331"/>
      <c r="L327" s="331"/>
      <c r="M327" s="489"/>
    </row>
    <row r="328" spans="1:13" ht="18" customHeight="1">
      <c r="A328" s="486"/>
      <c r="B328" s="331">
        <v>224</v>
      </c>
      <c r="C328" s="1115" t="s">
        <v>725</v>
      </c>
      <c r="D328" s="1114">
        <v>33955000</v>
      </c>
      <c r="E328" s="1114">
        <v>33955000</v>
      </c>
      <c r="F328" s="1162">
        <v>12</v>
      </c>
      <c r="G328" s="916">
        <f>+E328*F328/12</f>
        <v>33955000</v>
      </c>
      <c r="H328" s="1114">
        <v>1612863</v>
      </c>
      <c r="I328" s="1160"/>
      <c r="J328" s="459"/>
      <c r="K328" s="331"/>
      <c r="L328" s="331"/>
      <c r="M328" s="489"/>
    </row>
    <row r="329" spans="1:13" ht="18" customHeight="1">
      <c r="A329" s="486"/>
      <c r="B329" s="331">
        <v>224</v>
      </c>
      <c r="C329" s="1115" t="s">
        <v>725</v>
      </c>
      <c r="D329" s="1114">
        <v>4655000</v>
      </c>
      <c r="E329" s="1114">
        <v>0</v>
      </c>
      <c r="F329" s="1162">
        <v>12</v>
      </c>
      <c r="G329" s="916">
        <f>+E329*F329/12</f>
        <v>0</v>
      </c>
      <c r="H329" s="1114">
        <v>1071</v>
      </c>
      <c r="I329" s="1160"/>
      <c r="J329" s="459"/>
      <c r="K329" s="331"/>
      <c r="L329" s="331"/>
      <c r="M329" s="489"/>
    </row>
    <row r="330" spans="1:13" ht="12.75">
      <c r="A330" s="486"/>
      <c r="B330" s="331"/>
      <c r="C330" s="1158" t="s">
        <v>458</v>
      </c>
      <c r="D330" s="459"/>
      <c r="F330" s="1076"/>
      <c r="G330" s="459">
        <f>SUM(G308:G329)</f>
        <v>1074905000</v>
      </c>
      <c r="H330" s="459">
        <f>SUM(H308:H329)</f>
        <v>47729482</v>
      </c>
      <c r="I330" s="1160"/>
      <c r="J330" s="202"/>
      <c r="K330" s="331"/>
      <c r="L330" s="331"/>
      <c r="M330" s="489"/>
    </row>
    <row r="331" spans="1:13" s="491" customFormat="1" ht="13.5" thickBot="1">
      <c r="A331" s="571"/>
      <c r="B331" s="452"/>
      <c r="C331" s="452" t="s">
        <v>842</v>
      </c>
      <c r="D331" s="452"/>
      <c r="E331" s="452"/>
      <c r="F331" s="452"/>
      <c r="G331" s="452"/>
      <c r="H331" s="452"/>
      <c r="I331" s="452"/>
      <c r="J331" s="452"/>
      <c r="K331" s="452"/>
      <c r="L331" s="452"/>
      <c r="M331" s="707"/>
    </row>
    <row r="332" ht="12.75">
      <c r="J332" s="663"/>
    </row>
    <row r="333" spans="4:24" ht="14.25">
      <c r="D333" s="459"/>
      <c r="E333" s="1178"/>
      <c r="F333" s="1175"/>
      <c r="G333" s="459"/>
      <c r="H333" s="1178"/>
      <c r="I333" s="1179"/>
      <c r="J333" s="1179"/>
      <c r="K333" s="331"/>
      <c r="L333" s="331"/>
      <c r="M333" s="331"/>
      <c r="N333" s="331"/>
      <c r="O333" s="331"/>
      <c r="P333" s="331"/>
      <c r="Q333" s="331"/>
      <c r="R333" s="331"/>
      <c r="S333" s="331"/>
      <c r="T333" s="331"/>
      <c r="U333" s="331"/>
      <c r="V333" s="331"/>
      <c r="W333" s="331"/>
      <c r="X333" s="331"/>
    </row>
    <row r="334" spans="4:24" ht="14.25">
      <c r="D334" s="459"/>
      <c r="E334" s="459"/>
      <c r="F334" s="1175"/>
      <c r="G334" s="331"/>
      <c r="H334" s="1180"/>
      <c r="I334" s="1180"/>
      <c r="J334" s="1179"/>
      <c r="K334" s="331"/>
      <c r="L334" s="331"/>
      <c r="M334" s="331"/>
      <c r="N334" s="331"/>
      <c r="O334" s="331"/>
      <c r="P334" s="331"/>
      <c r="Q334" s="331"/>
      <c r="R334" s="331"/>
      <c r="S334" s="331"/>
      <c r="T334" s="331"/>
      <c r="U334" s="331"/>
      <c r="V334" s="331"/>
      <c r="W334" s="331"/>
      <c r="X334" s="331"/>
    </row>
    <row r="335" spans="4:24" ht="14.25">
      <c r="D335" s="1181"/>
      <c r="E335" s="1181"/>
      <c r="F335" s="331"/>
      <c r="G335" s="1181"/>
      <c r="H335" s="1179"/>
      <c r="I335" s="1180"/>
      <c r="J335" s="1179"/>
      <c r="K335" s="331"/>
      <c r="L335" s="331"/>
      <c r="M335" s="331"/>
      <c r="N335" s="331"/>
      <c r="O335" s="331"/>
      <c r="P335" s="331"/>
      <c r="Q335" s="331"/>
      <c r="R335" s="331"/>
      <c r="S335" s="331"/>
      <c r="T335" s="331"/>
      <c r="U335" s="331"/>
      <c r="V335" s="331"/>
      <c r="W335" s="331"/>
      <c r="X335" s="331"/>
    </row>
    <row r="336" spans="4:24" ht="14.25">
      <c r="D336" s="1181"/>
      <c r="E336" s="1181"/>
      <c r="F336" s="331"/>
      <c r="G336" s="1181"/>
      <c r="H336" s="1178"/>
      <c r="I336" s="1180"/>
      <c r="J336" s="1179"/>
      <c r="K336" s="331"/>
      <c r="L336" s="331"/>
      <c r="M336" s="331"/>
      <c r="N336" s="331"/>
      <c r="O336" s="331"/>
      <c r="P336" s="331"/>
      <c r="Q336" s="331"/>
      <c r="R336" s="331"/>
      <c r="S336" s="331"/>
      <c r="T336" s="331"/>
      <c r="U336" s="331"/>
      <c r="V336" s="331"/>
      <c r="W336" s="331"/>
      <c r="X336" s="331"/>
    </row>
    <row r="337" spans="4:24" ht="14.25">
      <c r="D337" s="1181"/>
      <c r="E337" s="1181"/>
      <c r="F337" s="459"/>
      <c r="G337" s="1181"/>
      <c r="H337" s="1178"/>
      <c r="I337" s="1180"/>
      <c r="J337" s="1179"/>
      <c r="K337" s="331"/>
      <c r="L337" s="331"/>
      <c r="M337" s="331"/>
      <c r="N337" s="331"/>
      <c r="O337" s="331"/>
      <c r="P337" s="331"/>
      <c r="Q337" s="331"/>
      <c r="R337" s="331"/>
      <c r="S337" s="331"/>
      <c r="T337" s="331"/>
      <c r="U337" s="331"/>
      <c r="V337" s="331"/>
      <c r="W337" s="331"/>
      <c r="X337" s="331"/>
    </row>
    <row r="338" spans="4:24" ht="15">
      <c r="D338" s="469"/>
      <c r="E338" s="469"/>
      <c r="F338" s="331"/>
      <c r="G338" s="469"/>
      <c r="H338" s="1010"/>
      <c r="I338" s="1180"/>
      <c r="J338" s="1179"/>
      <c r="K338" s="331"/>
      <c r="L338" s="331"/>
      <c r="M338" s="331"/>
      <c r="N338" s="331"/>
      <c r="O338" s="331"/>
      <c r="P338" s="331"/>
      <c r="Q338" s="331"/>
      <c r="R338" s="331"/>
      <c r="S338" s="331"/>
      <c r="T338" s="331"/>
      <c r="U338" s="331"/>
      <c r="V338" s="331"/>
      <c r="W338" s="331"/>
      <c r="X338" s="331"/>
    </row>
    <row r="339" spans="4:24" ht="12.75">
      <c r="D339" s="331"/>
      <c r="E339" s="331"/>
      <c r="F339" s="331"/>
      <c r="G339" s="331"/>
      <c r="H339" s="966"/>
      <c r="I339" s="331"/>
      <c r="J339" s="459"/>
      <c r="K339" s="331"/>
      <c r="L339" s="331"/>
      <c r="M339" s="331"/>
      <c r="N339" s="331"/>
      <c r="O339" s="331"/>
      <c r="P339" s="331"/>
      <c r="Q339" s="331"/>
      <c r="R339" s="331"/>
      <c r="S339" s="331"/>
      <c r="T339" s="331"/>
      <c r="U339" s="331"/>
      <c r="V339" s="331"/>
      <c r="W339" s="331"/>
      <c r="X339" s="331"/>
    </row>
    <row r="340" spans="4:24" ht="15.75">
      <c r="D340" s="1176"/>
      <c r="E340" s="1176"/>
      <c r="F340" s="331"/>
      <c r="G340" s="1176"/>
      <c r="H340" s="1176"/>
      <c r="I340" s="1182"/>
      <c r="J340" s="1020"/>
      <c r="K340" s="99"/>
      <c r="L340" s="99"/>
      <c r="M340" s="99"/>
      <c r="N340" s="99"/>
      <c r="O340" s="99"/>
      <c r="P340" s="331"/>
      <c r="Q340" s="331"/>
      <c r="R340" s="331"/>
      <c r="S340" s="331"/>
      <c r="T340" s="331"/>
      <c r="U340" s="331"/>
      <c r="V340" s="331"/>
      <c r="W340" s="331"/>
      <c r="X340" s="331"/>
    </row>
    <row r="341" spans="4:24" ht="15.75">
      <c r="D341" s="1177"/>
      <c r="E341" s="1177"/>
      <c r="F341" s="331"/>
      <c r="G341" s="1177"/>
      <c r="H341" s="1177"/>
      <c r="I341" s="99"/>
      <c r="J341" s="1020"/>
      <c r="K341" s="99"/>
      <c r="L341" s="99"/>
      <c r="M341" s="99"/>
      <c r="N341" s="99"/>
      <c r="O341" s="99"/>
      <c r="P341" s="331"/>
      <c r="Q341" s="331"/>
      <c r="R341" s="331"/>
      <c r="S341" s="331"/>
      <c r="T341" s="331"/>
      <c r="U341" s="331"/>
      <c r="V341" s="331"/>
      <c r="W341" s="331"/>
      <c r="X341" s="331"/>
    </row>
    <row r="342" spans="4:24" ht="12.75">
      <c r="D342" s="331"/>
      <c r="E342" s="331"/>
      <c r="F342" s="331"/>
      <c r="G342" s="331"/>
      <c r="H342" s="331"/>
      <c r="I342" s="459"/>
      <c r="J342" s="331"/>
      <c r="K342" s="331"/>
      <c r="L342" s="331"/>
      <c r="M342" s="331"/>
      <c r="N342" s="331"/>
      <c r="O342" s="331"/>
      <c r="P342" s="331"/>
      <c r="Q342" s="331"/>
      <c r="R342" s="331"/>
      <c r="S342" s="331"/>
      <c r="T342" s="331"/>
      <c r="U342" s="331"/>
      <c r="V342" s="331"/>
      <c r="W342" s="331"/>
      <c r="X342" s="331"/>
    </row>
    <row r="343" spans="3:24" ht="12.75">
      <c r="C343" s="1024"/>
      <c r="D343" s="331"/>
      <c r="E343" s="331"/>
      <c r="F343" s="331"/>
      <c r="G343" s="331"/>
      <c r="H343" s="966"/>
      <c r="I343" s="331"/>
      <c r="J343" s="331"/>
      <c r="K343" s="331"/>
      <c r="L343" s="331"/>
      <c r="M343" s="331"/>
      <c r="N343" s="331"/>
      <c r="O343" s="331"/>
      <c r="P343" s="331"/>
      <c r="Q343" s="331"/>
      <c r="R343" s="331"/>
      <c r="S343" s="331"/>
      <c r="T343" s="331"/>
      <c r="U343" s="331"/>
      <c r="V343" s="331"/>
      <c r="W343" s="331"/>
      <c r="X343" s="331"/>
    </row>
    <row r="344" spans="4:24" ht="12.75">
      <c r="D344" s="331"/>
      <c r="E344" s="1164"/>
      <c r="F344" s="331"/>
      <c r="G344" s="331"/>
      <c r="H344" s="966"/>
      <c r="I344" s="331"/>
      <c r="J344" s="331"/>
      <c r="K344" s="331"/>
      <c r="L344" s="331"/>
      <c r="M344" s="331"/>
      <c r="N344" s="331"/>
      <c r="O344" s="331"/>
      <c r="P344" s="331"/>
      <c r="Q344" s="331"/>
      <c r="R344" s="331"/>
      <c r="S344" s="331"/>
      <c r="T344" s="331"/>
      <c r="U344" s="331"/>
      <c r="V344" s="331"/>
      <c r="W344" s="331"/>
      <c r="X344" s="331"/>
    </row>
    <row r="345" spans="4:24" ht="12.75">
      <c r="D345" s="331"/>
      <c r="E345" s="331"/>
      <c r="F345" s="331"/>
      <c r="G345" s="331"/>
      <c r="H345" s="331"/>
      <c r="I345" s="331"/>
      <c r="J345" s="331"/>
      <c r="K345" s="331"/>
      <c r="L345" s="331"/>
      <c r="M345" s="331"/>
      <c r="N345" s="331"/>
      <c r="O345" s="331"/>
      <c r="P345" s="331"/>
      <c r="Q345" s="331"/>
      <c r="R345" s="331"/>
      <c r="S345" s="331"/>
      <c r="T345" s="331"/>
      <c r="U345" s="331"/>
      <c r="V345" s="331"/>
      <c r="W345" s="331"/>
      <c r="X345" s="331"/>
    </row>
    <row r="346" spans="4:24" ht="12.75">
      <c r="D346" s="331"/>
      <c r="E346" s="331"/>
      <c r="F346" s="331"/>
      <c r="G346" s="331"/>
      <c r="H346" s="331"/>
      <c r="I346" s="331"/>
      <c r="J346" s="331"/>
      <c r="K346" s="331"/>
      <c r="L346" s="331"/>
      <c r="M346" s="331"/>
      <c r="N346" s="331"/>
      <c r="O346" s="331"/>
      <c r="P346" s="331"/>
      <c r="Q346" s="331"/>
      <c r="R346" s="331"/>
      <c r="S346" s="331"/>
      <c r="T346" s="331"/>
      <c r="U346" s="331"/>
      <c r="V346" s="331"/>
      <c r="W346" s="331"/>
      <c r="X346" s="331"/>
    </row>
    <row r="347" spans="4:24" ht="12.75">
      <c r="D347" s="331"/>
      <c r="E347" s="331"/>
      <c r="F347" s="331"/>
      <c r="G347" s="331"/>
      <c r="H347" s="331"/>
      <c r="I347" s="331"/>
      <c r="J347" s="331"/>
      <c r="K347" s="331"/>
      <c r="L347" s="331"/>
      <c r="M347" s="331"/>
      <c r="N347" s="331"/>
      <c r="O347" s="331"/>
      <c r="P347" s="331"/>
      <c r="Q347" s="331"/>
      <c r="R347" s="331"/>
      <c r="S347" s="331"/>
      <c r="T347" s="331"/>
      <c r="U347" s="331"/>
      <c r="V347" s="331"/>
      <c r="W347" s="331"/>
      <c r="X347" s="331"/>
    </row>
    <row r="348" spans="4:24" ht="12.75">
      <c r="D348" s="331"/>
      <c r="E348" s="331"/>
      <c r="F348" s="331"/>
      <c r="G348" s="331"/>
      <c r="H348" s="331"/>
      <c r="I348" s="331"/>
      <c r="J348" s="331"/>
      <c r="K348" s="331"/>
      <c r="L348" s="331"/>
      <c r="M348" s="331"/>
      <c r="N348" s="331"/>
      <c r="O348" s="331"/>
      <c r="P348" s="331"/>
      <c r="Q348" s="331"/>
      <c r="R348" s="331"/>
      <c r="S348" s="331"/>
      <c r="T348" s="331"/>
      <c r="U348" s="331"/>
      <c r="V348" s="331"/>
      <c r="W348" s="331"/>
      <c r="X348" s="331"/>
    </row>
  </sheetData>
  <sheetProtection/>
  <mergeCells count="60">
    <mergeCell ref="A211:F211"/>
    <mergeCell ref="A216:F216"/>
    <mergeCell ref="H226:M226"/>
    <mergeCell ref="A285:F285"/>
    <mergeCell ref="H216:M216"/>
    <mergeCell ref="H221:M221"/>
    <mergeCell ref="H222:M222"/>
    <mergeCell ref="J213:M213"/>
    <mergeCell ref="H218:M218"/>
    <mergeCell ref="A231:F231"/>
    <mergeCell ref="H227:M227"/>
    <mergeCell ref="C221:F221"/>
    <mergeCell ref="H301:M301"/>
    <mergeCell ref="A291:F291"/>
    <mergeCell ref="H224:M224"/>
    <mergeCell ref="H303:M303"/>
    <mergeCell ref="A296:F296"/>
    <mergeCell ref="H296:M296"/>
    <mergeCell ref="H298:M298"/>
    <mergeCell ref="A301:F301"/>
    <mergeCell ref="J162:M162"/>
    <mergeCell ref="H293:M293"/>
    <mergeCell ref="H291:M291"/>
    <mergeCell ref="L208:M208"/>
    <mergeCell ref="J211:M211"/>
    <mergeCell ref="H223:M223"/>
    <mergeCell ref="J202:M202"/>
    <mergeCell ref="L205:M205"/>
    <mergeCell ref="H225:M225"/>
    <mergeCell ref="H220:M220"/>
    <mergeCell ref="J200:M200"/>
    <mergeCell ref="J195:M195"/>
    <mergeCell ref="J190:M190"/>
    <mergeCell ref="J168:M168"/>
    <mergeCell ref="A2:F2"/>
    <mergeCell ref="J2:M2"/>
    <mergeCell ref="A70:F70"/>
    <mergeCell ref="J70:M70"/>
    <mergeCell ref="A137:F137"/>
    <mergeCell ref="J164:M164"/>
    <mergeCell ref="J158:M158"/>
    <mergeCell ref="A155:F155"/>
    <mergeCell ref="J171:M171"/>
    <mergeCell ref="A171:F171"/>
    <mergeCell ref="J161:M161"/>
    <mergeCell ref="J165:M165"/>
    <mergeCell ref="J166:M166"/>
    <mergeCell ref="A161:F161"/>
    <mergeCell ref="J163:M163"/>
    <mergeCell ref="J155:M155"/>
    <mergeCell ref="L207:M207"/>
    <mergeCell ref="A205:F205"/>
    <mergeCell ref="J187:M187"/>
    <mergeCell ref="J174:M174"/>
    <mergeCell ref="J191:M191"/>
    <mergeCell ref="A200:F200"/>
    <mergeCell ref="A190:F190"/>
    <mergeCell ref="A195:F195"/>
    <mergeCell ref="J197:M197"/>
    <mergeCell ref="J192:M192"/>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AH414"/>
  <sheetViews>
    <sheetView zoomScale="70" zoomScaleNormal="70" zoomScalePageLayoutView="0" workbookViewId="0" topLeftCell="A76">
      <selection activeCell="D182" sqref="D182"/>
    </sheetView>
  </sheetViews>
  <sheetFormatPr defaultColWidth="9.140625" defaultRowHeight="12.75"/>
  <cols>
    <col min="1" max="1" width="4.00390625" style="415" customWidth="1"/>
    <col min="2" max="3" width="7.140625" style="415" customWidth="1"/>
    <col min="4" max="4" width="16.28125" style="202" customWidth="1"/>
    <col min="5" max="5" width="18.57421875" style="202" customWidth="1"/>
    <col min="6" max="6" width="16.8515625" style="202" customWidth="1"/>
    <col min="7" max="7" width="19.421875" style="202" customWidth="1"/>
    <col min="8" max="8" width="22.28125" style="202" customWidth="1"/>
    <col min="9" max="9" width="14.28125" style="202" customWidth="1"/>
    <col min="10" max="10" width="21.00390625" style="202" bestFit="1" customWidth="1"/>
    <col min="11" max="11" width="13.140625" style="202" customWidth="1"/>
    <col min="12" max="12" width="17.00390625" style="202" customWidth="1"/>
    <col min="13" max="13" width="22.28125" style="202" customWidth="1"/>
    <col min="14" max="14" width="16.57421875" style="202" customWidth="1"/>
    <col min="15" max="15" width="18.57421875" style="202" customWidth="1"/>
    <col min="16" max="16" width="15.7109375" style="202" customWidth="1"/>
    <col min="17" max="17" width="16.421875" style="202" bestFit="1" customWidth="1"/>
    <col min="18" max="18" width="15.57421875" style="202" customWidth="1"/>
    <col min="19" max="19" width="16.00390625" style="202" bestFit="1" customWidth="1"/>
    <col min="20" max="20" width="13.7109375" style="202" bestFit="1" customWidth="1"/>
    <col min="21" max="21" width="3.57421875" style="202" customWidth="1"/>
    <col min="22" max="22" width="26.7109375" style="202" bestFit="1" customWidth="1"/>
    <col min="23" max="24" width="9.140625" style="202" customWidth="1"/>
    <col min="25" max="25" width="16.421875" style="202" bestFit="1" customWidth="1"/>
    <col min="26" max="26" width="16.00390625" style="202" bestFit="1" customWidth="1"/>
    <col min="27" max="27" width="17.28125" style="202" customWidth="1"/>
    <col min="28" max="28" width="12.8515625" style="202" bestFit="1" customWidth="1"/>
    <col min="29" max="29" width="23.421875" style="202" bestFit="1" customWidth="1"/>
    <col min="30" max="30" width="13.8515625" style="202" bestFit="1" customWidth="1"/>
    <col min="31" max="31" width="21.00390625" style="202" bestFit="1" customWidth="1"/>
    <col min="32" max="32" width="13.8515625" style="202" bestFit="1" customWidth="1"/>
    <col min="33" max="33" width="16.00390625" style="202" bestFit="1" customWidth="1"/>
    <col min="34" max="34" width="23.57421875" style="202" bestFit="1" customWidth="1"/>
    <col min="35" max="16384" width="9.140625" style="202" customWidth="1"/>
  </cols>
  <sheetData>
    <row r="1" ht="12.75">
      <c r="A1" s="407" t="s">
        <v>626</v>
      </c>
    </row>
    <row r="2" spans="1:5" ht="12.75">
      <c r="A2" s="415" t="s">
        <v>622</v>
      </c>
      <c r="B2" s="415" t="s">
        <v>623</v>
      </c>
      <c r="C2" s="415" t="s">
        <v>624</v>
      </c>
      <c r="D2" s="415" t="s">
        <v>625</v>
      </c>
      <c r="E2" s="415"/>
    </row>
    <row r="3" spans="1:5" ht="12.75">
      <c r="A3" s="415">
        <v>1</v>
      </c>
      <c r="B3" s="415" t="s">
        <v>627</v>
      </c>
      <c r="C3" s="415" t="s">
        <v>21</v>
      </c>
      <c r="D3" s="417" t="s">
        <v>263</v>
      </c>
      <c r="E3" s="417"/>
    </row>
    <row r="4" spans="1:5" ht="12.75">
      <c r="A4" s="415">
        <v>2</v>
      </c>
      <c r="B4" s="415" t="str">
        <f>+B3</f>
        <v>April</v>
      </c>
      <c r="C4" s="415" t="str">
        <f>+C3</f>
        <v>Year 2</v>
      </c>
      <c r="D4" s="417" t="s">
        <v>161</v>
      </c>
      <c r="E4" s="417"/>
    </row>
    <row r="5" spans="1:5" ht="12.75">
      <c r="A5" s="415">
        <v>3</v>
      </c>
      <c r="B5" s="415" t="s">
        <v>627</v>
      </c>
      <c r="C5" s="415" t="str">
        <f>+C4</f>
        <v>Year 2</v>
      </c>
      <c r="D5"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7"/>
    </row>
    <row r="6" spans="1:5" ht="12.75">
      <c r="A6" s="415">
        <v>4</v>
      </c>
      <c r="B6" s="415" t="s">
        <v>628</v>
      </c>
      <c r="C6" s="415" t="str">
        <f>+C5</f>
        <v>Year 2</v>
      </c>
      <c r="D6" s="417" t="s">
        <v>390</v>
      </c>
      <c r="E6" s="417"/>
    </row>
    <row r="7" spans="1:5" ht="12.75">
      <c r="A7" s="415">
        <v>5</v>
      </c>
      <c r="B7" s="418" t="s">
        <v>629</v>
      </c>
      <c r="C7" s="415" t="str">
        <f>+C6</f>
        <v>Year 2</v>
      </c>
      <c r="D7" s="417" t="s">
        <v>391</v>
      </c>
      <c r="E7" s="417"/>
    </row>
    <row r="8" spans="1:5" ht="12.75">
      <c r="A8" s="415">
        <v>6</v>
      </c>
      <c r="B8" s="415" t="str">
        <f>+B3</f>
        <v>April</v>
      </c>
      <c r="C8" s="415" t="s">
        <v>20</v>
      </c>
      <c r="D8" s="417" t="s">
        <v>392</v>
      </c>
      <c r="E8" s="417"/>
    </row>
    <row r="9" spans="1:14" ht="12.75">
      <c r="A9" s="415">
        <v>7</v>
      </c>
      <c r="B9" s="415" t="str">
        <f>+B12</f>
        <v>April</v>
      </c>
      <c r="C9" s="415" t="str">
        <f>+C12</f>
        <v>Year 3</v>
      </c>
      <c r="D9" s="417" t="s">
        <v>272</v>
      </c>
      <c r="E9" s="570"/>
      <c r="F9" s="413"/>
      <c r="G9" s="413"/>
      <c r="H9" s="413"/>
      <c r="I9" s="413"/>
      <c r="J9" s="413"/>
      <c r="K9" s="413"/>
      <c r="L9" s="413"/>
      <c r="M9" s="413"/>
      <c r="N9" s="413"/>
    </row>
    <row r="10" spans="1:14" ht="12.75">
      <c r="A10" s="415">
        <v>8</v>
      </c>
      <c r="B10" s="415" t="str">
        <f>+B9</f>
        <v>April</v>
      </c>
      <c r="C10" s="415" t="str">
        <f>+C9</f>
        <v>Year 3</v>
      </c>
      <c r="D10" s="1286" t="str">
        <f>"Reconciliation - TO calculates interest and amortization associated with the true up calculated in Step 7 and applies that amount to line "&amp;'Appendix A'!A266&amp;"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286"/>
      <c r="F10" s="1237"/>
      <c r="G10" s="1237"/>
      <c r="H10" s="1237"/>
      <c r="I10" s="1237"/>
      <c r="J10" s="1237"/>
      <c r="K10" s="1237"/>
      <c r="L10" s="1237"/>
      <c r="M10" s="1237"/>
      <c r="N10" s="1237"/>
    </row>
    <row r="11" spans="4:14" ht="12.75">
      <c r="D11" s="1237"/>
      <c r="E11" s="1237"/>
      <c r="F11" s="1237"/>
      <c r="G11" s="1237"/>
      <c r="H11" s="1237"/>
      <c r="I11" s="1237"/>
      <c r="J11" s="1237"/>
      <c r="K11" s="1237"/>
      <c r="L11" s="1237"/>
      <c r="M11" s="1237"/>
      <c r="N11" s="1237"/>
    </row>
    <row r="12" spans="1:5" ht="12.75">
      <c r="A12" s="415">
        <v>9</v>
      </c>
      <c r="B12" s="415" t="str">
        <f>+B8</f>
        <v>April</v>
      </c>
      <c r="C12" s="415" t="str">
        <f>+C8</f>
        <v>Year 3</v>
      </c>
      <c r="D12" s="417" t="s">
        <v>167</v>
      </c>
      <c r="E12" s="417"/>
    </row>
    <row r="13" spans="1:5" ht="12.75">
      <c r="A13" s="415">
        <v>10</v>
      </c>
      <c r="B13" s="415" t="s">
        <v>627</v>
      </c>
      <c r="C13" s="415" t="str">
        <f>+C12</f>
        <v>Year 3</v>
      </c>
      <c r="D13"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7"/>
    </row>
    <row r="14" spans="1:5" ht="12.75">
      <c r="A14" s="415">
        <v>11</v>
      </c>
      <c r="B14" s="415" t="str">
        <f>+B6</f>
        <v>May</v>
      </c>
      <c r="C14" s="415" t="str">
        <f>+C10</f>
        <v>Year 3</v>
      </c>
      <c r="D14" s="417" t="s">
        <v>393</v>
      </c>
      <c r="E14" s="417"/>
    </row>
    <row r="15" spans="1:13" ht="12.75">
      <c r="A15" s="415">
        <v>12</v>
      </c>
      <c r="B15" s="418" t="str">
        <f>+B7</f>
        <v>June</v>
      </c>
      <c r="C15" s="415" t="str">
        <f>+C14</f>
        <v>Year 3</v>
      </c>
      <c r="D15" s="417" t="s">
        <v>394</v>
      </c>
      <c r="E15" s="417"/>
      <c r="F15" s="279"/>
      <c r="G15" s="279"/>
      <c r="H15" s="279"/>
      <c r="I15" s="279"/>
      <c r="J15" s="279"/>
      <c r="K15" s="279"/>
      <c r="L15" s="279"/>
      <c r="M15" s="279"/>
    </row>
    <row r="16" spans="1:5" ht="12.75">
      <c r="A16" s="202"/>
      <c r="B16" s="202"/>
      <c r="C16" s="202"/>
      <c r="E16" s="417"/>
    </row>
    <row r="17" spans="1:11" ht="12.75">
      <c r="A17" s="202"/>
      <c r="B17" s="202"/>
      <c r="C17" s="202"/>
      <c r="E17" s="417"/>
      <c r="H17" s="930"/>
      <c r="I17" s="930"/>
      <c r="J17" s="930"/>
      <c r="K17" s="930"/>
    </row>
    <row r="18" spans="2:5" ht="12.75">
      <c r="B18" s="418"/>
      <c r="D18" s="417"/>
      <c r="E18" s="417"/>
    </row>
    <row r="19" ht="12.75">
      <c r="A19" s="407" t="s">
        <v>55</v>
      </c>
    </row>
    <row r="20" spans="1:5" ht="12.75">
      <c r="A20" s="407"/>
      <c r="D20" s="419"/>
      <c r="E20" s="419"/>
    </row>
    <row r="21" spans="1:4" ht="12.75">
      <c r="A21" s="415">
        <f>+A3</f>
        <v>1</v>
      </c>
      <c r="B21" s="415" t="str">
        <f>+B3</f>
        <v>April</v>
      </c>
      <c r="C21" s="415" t="str">
        <f>+C3</f>
        <v>Year 2</v>
      </c>
      <c r="D21" s="202" t="str">
        <f>+D3</f>
        <v>TO populates the formula with Year 1 data from FERC Form 1.</v>
      </c>
    </row>
    <row r="22" spans="1:7" ht="12.75">
      <c r="A22" s="843"/>
      <c r="B22" s="845"/>
      <c r="D22" s="860">
        <v>0</v>
      </c>
      <c r="E22" s="202" t="s">
        <v>22</v>
      </c>
      <c r="G22" s="417" t="s">
        <v>653</v>
      </c>
    </row>
    <row r="24" spans="1:5" ht="12.75">
      <c r="A24" s="415">
        <f>A4</f>
        <v>2</v>
      </c>
      <c r="B24" s="415" t="str">
        <f>+B4</f>
        <v>April</v>
      </c>
      <c r="C24" s="415" t="str">
        <f>+C21</f>
        <v>Year 2</v>
      </c>
      <c r="D24" s="417" t="str">
        <f>+D4</f>
        <v>TO estimates all transmission Cap Adds, Retirements, CWIP and associated depreciation for Year 2 based on Months expected to be in service and monthly CWIP balances in Year 2.</v>
      </c>
      <c r="E24" s="417"/>
    </row>
    <row r="25" spans="4:19" ht="12.75">
      <c r="D25" s="417"/>
      <c r="E25" s="417"/>
      <c r="N25" s="202" t="s">
        <v>94</v>
      </c>
      <c r="O25" s="202" t="s">
        <v>798</v>
      </c>
      <c r="P25" s="202" t="s">
        <v>95</v>
      </c>
      <c r="Q25" s="202" t="s">
        <v>799</v>
      </c>
      <c r="R25" s="202" t="s">
        <v>96</v>
      </c>
      <c r="S25" s="202" t="s">
        <v>800</v>
      </c>
    </row>
    <row r="26" spans="3:19" ht="12.75">
      <c r="C26" s="417"/>
      <c r="D26" s="202" t="s">
        <v>540</v>
      </c>
      <c r="E26" s="202" t="s">
        <v>541</v>
      </c>
      <c r="F26" s="202" t="s">
        <v>502</v>
      </c>
      <c r="G26" s="202" t="s">
        <v>544</v>
      </c>
      <c r="H26" s="202" t="s">
        <v>740</v>
      </c>
      <c r="I26" s="202" t="s">
        <v>152</v>
      </c>
      <c r="J26" s="202" t="s">
        <v>153</v>
      </c>
      <c r="K26" s="202" t="s">
        <v>742</v>
      </c>
      <c r="L26" s="202" t="s">
        <v>93</v>
      </c>
      <c r="M26" s="202" t="s">
        <v>129</v>
      </c>
      <c r="N26" s="457" t="s">
        <v>741</v>
      </c>
      <c r="O26" s="421"/>
      <c r="P26" s="421"/>
      <c r="Q26" s="972"/>
      <c r="R26" s="972"/>
      <c r="S26" s="972"/>
    </row>
    <row r="27" spans="3:20" ht="12.75">
      <c r="C27" s="202"/>
      <c r="D27" s="415" t="s">
        <v>743</v>
      </c>
      <c r="E27" s="415" t="s">
        <v>744</v>
      </c>
      <c r="F27" s="415" t="s">
        <v>542</v>
      </c>
      <c r="G27" s="415" t="s">
        <v>543</v>
      </c>
      <c r="H27" s="415" t="s">
        <v>745</v>
      </c>
      <c r="I27" s="415" t="s">
        <v>795</v>
      </c>
      <c r="J27" s="415" t="s">
        <v>796</v>
      </c>
      <c r="K27" s="415" t="s">
        <v>797</v>
      </c>
      <c r="L27" s="202" t="s">
        <v>114</v>
      </c>
      <c r="M27" s="202" t="s">
        <v>116</v>
      </c>
      <c r="N27" s="458" t="s">
        <v>743</v>
      </c>
      <c r="O27" s="422" t="s">
        <v>542</v>
      </c>
      <c r="P27" s="422" t="s">
        <v>543</v>
      </c>
      <c r="Q27" s="973" t="s">
        <v>795</v>
      </c>
      <c r="R27" s="973" t="s">
        <v>797</v>
      </c>
      <c r="S27" s="973" t="s">
        <v>114</v>
      </c>
      <c r="T27" s="202" t="s">
        <v>458</v>
      </c>
    </row>
    <row r="28" spans="1:20" ht="12.75">
      <c r="A28" s="830"/>
      <c r="C28" s="202" t="s">
        <v>640</v>
      </c>
      <c r="D28" s="415"/>
      <c r="E28" s="415"/>
      <c r="F28" s="415"/>
      <c r="G28" s="415"/>
      <c r="H28" s="415"/>
      <c r="I28" s="415"/>
      <c r="J28" s="415"/>
      <c r="K28" s="415"/>
      <c r="N28" s="459">
        <v>0</v>
      </c>
      <c r="O28" s="459">
        <v>0</v>
      </c>
      <c r="P28" s="459">
        <v>0</v>
      </c>
      <c r="Q28" s="459">
        <v>0</v>
      </c>
      <c r="R28" s="459">
        <v>0</v>
      </c>
      <c r="S28" s="459">
        <v>0</v>
      </c>
      <c r="T28" s="1154"/>
    </row>
    <row r="29" spans="3:19" ht="12.75">
      <c r="C29" s="202" t="s">
        <v>630</v>
      </c>
      <c r="D29" s="639">
        <v>0</v>
      </c>
      <c r="E29" s="639">
        <v>0</v>
      </c>
      <c r="F29" s="639">
        <v>0</v>
      </c>
      <c r="G29" s="639">
        <v>0</v>
      </c>
      <c r="H29" s="700">
        <v>0</v>
      </c>
      <c r="I29" s="639">
        <v>0</v>
      </c>
      <c r="J29" s="700">
        <v>0</v>
      </c>
      <c r="K29" s="639">
        <v>0</v>
      </c>
      <c r="L29" s="700">
        <v>0</v>
      </c>
      <c r="M29" s="916">
        <v>0</v>
      </c>
      <c r="N29" s="423">
        <f aca="true" t="shared" si="0" ref="N29:N40">N28+D29+E29</f>
        <v>0</v>
      </c>
      <c r="O29" s="423">
        <f aca="true" t="shared" si="1" ref="O29:O40">O28+F29</f>
        <v>0</v>
      </c>
      <c r="P29" s="419">
        <f aca="true" t="shared" si="2" ref="P29:P40">P28+G29+H29</f>
        <v>0</v>
      </c>
      <c r="Q29" s="419">
        <f>Q28+I29+J29</f>
        <v>0</v>
      </c>
      <c r="R29" s="419">
        <f>R28+K29</f>
        <v>0</v>
      </c>
      <c r="S29" s="423">
        <f aca="true" t="shared" si="3" ref="S29:S40">S28+L29+M29</f>
        <v>0</v>
      </c>
    </row>
    <row r="30" spans="3:19" ht="12.75">
      <c r="C30" s="202" t="s">
        <v>631</v>
      </c>
      <c r="D30" s="639">
        <v>0</v>
      </c>
      <c r="E30" s="639">
        <v>0</v>
      </c>
      <c r="F30" s="639">
        <v>0</v>
      </c>
      <c r="G30" s="639">
        <v>0</v>
      </c>
      <c r="H30" s="700">
        <v>0</v>
      </c>
      <c r="I30" s="639">
        <v>0</v>
      </c>
      <c r="J30" s="700">
        <v>0</v>
      </c>
      <c r="K30" s="639">
        <v>0</v>
      </c>
      <c r="L30" s="700">
        <v>0</v>
      </c>
      <c r="M30" s="916">
        <v>0</v>
      </c>
      <c r="N30" s="423">
        <f t="shared" si="0"/>
        <v>0</v>
      </c>
      <c r="O30" s="423">
        <f t="shared" si="1"/>
        <v>0</v>
      </c>
      <c r="P30" s="419">
        <f t="shared" si="2"/>
        <v>0</v>
      </c>
      <c r="Q30" s="419">
        <f aca="true" t="shared" si="4" ref="Q30:Q40">Q29+I30+J30</f>
        <v>0</v>
      </c>
      <c r="R30" s="419">
        <f aca="true" t="shared" si="5" ref="R30:R40">R29+K30</f>
        <v>0</v>
      </c>
      <c r="S30" s="423">
        <f t="shared" si="3"/>
        <v>0</v>
      </c>
    </row>
    <row r="31" spans="3:19" ht="12.75">
      <c r="C31" s="202" t="s">
        <v>632</v>
      </c>
      <c r="D31" s="639">
        <v>0</v>
      </c>
      <c r="E31" s="639">
        <v>0</v>
      </c>
      <c r="F31" s="639">
        <v>0</v>
      </c>
      <c r="G31" s="639">
        <v>0</v>
      </c>
      <c r="H31" s="700">
        <v>0</v>
      </c>
      <c r="I31" s="639">
        <v>0</v>
      </c>
      <c r="J31" s="700">
        <v>0</v>
      </c>
      <c r="K31" s="639">
        <v>0</v>
      </c>
      <c r="L31" s="700">
        <v>0</v>
      </c>
      <c r="M31" s="916">
        <v>0</v>
      </c>
      <c r="N31" s="423">
        <f t="shared" si="0"/>
        <v>0</v>
      </c>
      <c r="O31" s="423">
        <f t="shared" si="1"/>
        <v>0</v>
      </c>
      <c r="P31" s="419">
        <f t="shared" si="2"/>
        <v>0</v>
      </c>
      <c r="Q31" s="419">
        <f t="shared" si="4"/>
        <v>0</v>
      </c>
      <c r="R31" s="419">
        <f t="shared" si="5"/>
        <v>0</v>
      </c>
      <c r="S31" s="423">
        <f t="shared" si="3"/>
        <v>0</v>
      </c>
    </row>
    <row r="32" spans="3:19" ht="12.75">
      <c r="C32" s="202" t="s">
        <v>633</v>
      </c>
      <c r="D32" s="639">
        <v>0</v>
      </c>
      <c r="E32" s="639">
        <v>0</v>
      </c>
      <c r="F32" s="639">
        <v>0</v>
      </c>
      <c r="G32" s="639">
        <v>0</v>
      </c>
      <c r="H32" s="700">
        <v>0</v>
      </c>
      <c r="I32" s="639">
        <v>0</v>
      </c>
      <c r="J32" s="700">
        <v>0</v>
      </c>
      <c r="K32" s="639">
        <v>0</v>
      </c>
      <c r="L32" s="700">
        <v>0</v>
      </c>
      <c r="M32" s="916">
        <v>0</v>
      </c>
      <c r="N32" s="423">
        <f t="shared" si="0"/>
        <v>0</v>
      </c>
      <c r="O32" s="423">
        <f t="shared" si="1"/>
        <v>0</v>
      </c>
      <c r="P32" s="419">
        <f t="shared" si="2"/>
        <v>0</v>
      </c>
      <c r="Q32" s="419">
        <f t="shared" si="4"/>
        <v>0</v>
      </c>
      <c r="R32" s="419">
        <f t="shared" si="5"/>
        <v>0</v>
      </c>
      <c r="S32" s="423">
        <f t="shared" si="3"/>
        <v>0</v>
      </c>
    </row>
    <row r="33" spans="3:19" ht="12.75">
      <c r="C33" s="202" t="s">
        <v>628</v>
      </c>
      <c r="D33" s="639">
        <v>0</v>
      </c>
      <c r="E33" s="639">
        <v>0</v>
      </c>
      <c r="F33" s="639">
        <v>0</v>
      </c>
      <c r="G33" s="639">
        <v>0</v>
      </c>
      <c r="H33" s="700">
        <v>0</v>
      </c>
      <c r="I33" s="639">
        <v>0</v>
      </c>
      <c r="J33" s="700">
        <v>0</v>
      </c>
      <c r="K33" s="639">
        <v>0</v>
      </c>
      <c r="L33" s="700">
        <v>0</v>
      </c>
      <c r="M33" s="916">
        <v>0</v>
      </c>
      <c r="N33" s="423">
        <f t="shared" si="0"/>
        <v>0</v>
      </c>
      <c r="O33" s="423">
        <f t="shared" si="1"/>
        <v>0</v>
      </c>
      <c r="P33" s="419">
        <f t="shared" si="2"/>
        <v>0</v>
      </c>
      <c r="Q33" s="419">
        <f t="shared" si="4"/>
        <v>0</v>
      </c>
      <c r="R33" s="419">
        <f t="shared" si="5"/>
        <v>0</v>
      </c>
      <c r="S33" s="423">
        <f t="shared" si="3"/>
        <v>0</v>
      </c>
    </row>
    <row r="34" spans="3:19" ht="12.75">
      <c r="C34" s="202" t="s">
        <v>634</v>
      </c>
      <c r="D34" s="639">
        <v>0</v>
      </c>
      <c r="E34" s="639">
        <v>0</v>
      </c>
      <c r="F34" s="639">
        <v>0</v>
      </c>
      <c r="G34" s="639">
        <v>0</v>
      </c>
      <c r="H34" s="700">
        <v>0</v>
      </c>
      <c r="I34" s="639">
        <v>0</v>
      </c>
      <c r="J34" s="700">
        <v>0</v>
      </c>
      <c r="K34" s="639">
        <v>0</v>
      </c>
      <c r="L34" s="700">
        <v>0</v>
      </c>
      <c r="M34" s="916">
        <v>0</v>
      </c>
      <c r="N34" s="423">
        <f t="shared" si="0"/>
        <v>0</v>
      </c>
      <c r="O34" s="423">
        <f t="shared" si="1"/>
        <v>0</v>
      </c>
      <c r="P34" s="419">
        <f t="shared" si="2"/>
        <v>0</v>
      </c>
      <c r="Q34" s="419">
        <f t="shared" si="4"/>
        <v>0</v>
      </c>
      <c r="R34" s="419">
        <f t="shared" si="5"/>
        <v>0</v>
      </c>
      <c r="S34" s="423">
        <f t="shared" si="3"/>
        <v>0</v>
      </c>
    </row>
    <row r="35" spans="3:19" ht="12.75">
      <c r="C35" s="202" t="s">
        <v>635</v>
      </c>
      <c r="D35" s="639">
        <v>0</v>
      </c>
      <c r="E35" s="639">
        <v>0</v>
      </c>
      <c r="F35" s="639">
        <v>0</v>
      </c>
      <c r="G35" s="639">
        <v>0</v>
      </c>
      <c r="H35" s="700">
        <v>0</v>
      </c>
      <c r="I35" s="639">
        <v>0</v>
      </c>
      <c r="J35" s="700">
        <v>0</v>
      </c>
      <c r="K35" s="639">
        <v>0</v>
      </c>
      <c r="L35" s="700">
        <v>0</v>
      </c>
      <c r="M35" s="916">
        <v>0</v>
      </c>
      <c r="N35" s="423">
        <f t="shared" si="0"/>
        <v>0</v>
      </c>
      <c r="O35" s="423">
        <f t="shared" si="1"/>
        <v>0</v>
      </c>
      <c r="P35" s="419">
        <f t="shared" si="2"/>
        <v>0</v>
      </c>
      <c r="Q35" s="419">
        <f t="shared" si="4"/>
        <v>0</v>
      </c>
      <c r="R35" s="419">
        <f t="shared" si="5"/>
        <v>0</v>
      </c>
      <c r="S35" s="423">
        <f t="shared" si="3"/>
        <v>0</v>
      </c>
    </row>
    <row r="36" spans="3:19" ht="12.75">
      <c r="C36" s="202" t="s">
        <v>636</v>
      </c>
      <c r="D36" s="639">
        <v>0</v>
      </c>
      <c r="E36" s="639">
        <v>0</v>
      </c>
      <c r="F36" s="639">
        <v>0</v>
      </c>
      <c r="G36" s="639">
        <v>0</v>
      </c>
      <c r="H36" s="700">
        <v>0</v>
      </c>
      <c r="I36" s="639">
        <v>0</v>
      </c>
      <c r="J36" s="700">
        <v>0</v>
      </c>
      <c r="K36" s="639">
        <v>0</v>
      </c>
      <c r="L36" s="700">
        <v>0</v>
      </c>
      <c r="M36" s="916">
        <v>0</v>
      </c>
      <c r="N36" s="423">
        <f t="shared" si="0"/>
        <v>0</v>
      </c>
      <c r="O36" s="423">
        <f t="shared" si="1"/>
        <v>0</v>
      </c>
      <c r="P36" s="419">
        <f t="shared" si="2"/>
        <v>0</v>
      </c>
      <c r="Q36" s="419">
        <f t="shared" si="4"/>
        <v>0</v>
      </c>
      <c r="R36" s="419">
        <f t="shared" si="5"/>
        <v>0</v>
      </c>
      <c r="S36" s="423">
        <f t="shared" si="3"/>
        <v>0</v>
      </c>
    </row>
    <row r="37" spans="3:19" ht="12.75">
      <c r="C37" s="202" t="s">
        <v>637</v>
      </c>
      <c r="D37" s="639">
        <v>0</v>
      </c>
      <c r="E37" s="639">
        <v>0</v>
      </c>
      <c r="F37" s="639">
        <v>0</v>
      </c>
      <c r="G37" s="639">
        <v>0</v>
      </c>
      <c r="H37" s="700">
        <v>0</v>
      </c>
      <c r="I37" s="639">
        <v>0</v>
      </c>
      <c r="J37" s="700">
        <v>0</v>
      </c>
      <c r="K37" s="639">
        <v>0</v>
      </c>
      <c r="L37" s="700">
        <v>0</v>
      </c>
      <c r="M37" s="916">
        <v>0</v>
      </c>
      <c r="N37" s="423">
        <f t="shared" si="0"/>
        <v>0</v>
      </c>
      <c r="O37" s="423">
        <f t="shared" si="1"/>
        <v>0</v>
      </c>
      <c r="P37" s="419">
        <f t="shared" si="2"/>
        <v>0</v>
      </c>
      <c r="Q37" s="419">
        <f t="shared" si="4"/>
        <v>0</v>
      </c>
      <c r="R37" s="419">
        <f t="shared" si="5"/>
        <v>0</v>
      </c>
      <c r="S37" s="423">
        <f t="shared" si="3"/>
        <v>0</v>
      </c>
    </row>
    <row r="38" spans="3:19" ht="12.75">
      <c r="C38" s="202" t="s">
        <v>638</v>
      </c>
      <c r="D38" s="639">
        <v>0</v>
      </c>
      <c r="E38" s="639">
        <v>0</v>
      </c>
      <c r="F38" s="639">
        <v>0</v>
      </c>
      <c r="G38" s="639">
        <v>0</v>
      </c>
      <c r="H38" s="700">
        <v>0</v>
      </c>
      <c r="I38" s="639">
        <v>0</v>
      </c>
      <c r="J38" s="700">
        <v>0</v>
      </c>
      <c r="K38" s="639">
        <v>0</v>
      </c>
      <c r="L38" s="700">
        <v>0</v>
      </c>
      <c r="M38" s="916">
        <v>0</v>
      </c>
      <c r="N38" s="423">
        <f t="shared" si="0"/>
        <v>0</v>
      </c>
      <c r="O38" s="423">
        <f t="shared" si="1"/>
        <v>0</v>
      </c>
      <c r="P38" s="419">
        <f t="shared" si="2"/>
        <v>0</v>
      </c>
      <c r="Q38" s="419">
        <f t="shared" si="4"/>
        <v>0</v>
      </c>
      <c r="R38" s="419">
        <f t="shared" si="5"/>
        <v>0</v>
      </c>
      <c r="S38" s="423">
        <f t="shared" si="3"/>
        <v>0</v>
      </c>
    </row>
    <row r="39" spans="3:19" ht="12.75">
      <c r="C39" s="202" t="s">
        <v>639</v>
      </c>
      <c r="D39" s="639">
        <v>0</v>
      </c>
      <c r="E39" s="639">
        <v>0</v>
      </c>
      <c r="F39" s="639">
        <v>0</v>
      </c>
      <c r="G39" s="639">
        <v>0</v>
      </c>
      <c r="H39" s="700">
        <v>0</v>
      </c>
      <c r="I39" s="639">
        <v>0</v>
      </c>
      <c r="J39" s="700">
        <v>0</v>
      </c>
      <c r="K39" s="639">
        <v>0</v>
      </c>
      <c r="L39" s="700">
        <v>0</v>
      </c>
      <c r="M39" s="916">
        <v>0</v>
      </c>
      <c r="N39" s="423">
        <f t="shared" si="0"/>
        <v>0</v>
      </c>
      <c r="O39" s="423">
        <f t="shared" si="1"/>
        <v>0</v>
      </c>
      <c r="P39" s="419">
        <f t="shared" si="2"/>
        <v>0</v>
      </c>
      <c r="Q39" s="419">
        <f t="shared" si="4"/>
        <v>0</v>
      </c>
      <c r="R39" s="419">
        <f t="shared" si="5"/>
        <v>0</v>
      </c>
      <c r="S39" s="423">
        <f t="shared" si="3"/>
        <v>0</v>
      </c>
    </row>
    <row r="40" spans="3:20" ht="12.75">
      <c r="C40" s="422" t="s">
        <v>640</v>
      </c>
      <c r="D40" s="640">
        <v>0</v>
      </c>
      <c r="E40" s="640">
        <v>0</v>
      </c>
      <c r="F40" s="640">
        <v>0</v>
      </c>
      <c r="G40" s="640">
        <v>0</v>
      </c>
      <c r="H40" s="829">
        <v>0</v>
      </c>
      <c r="I40" s="640">
        <v>0</v>
      </c>
      <c r="J40" s="829">
        <v>0</v>
      </c>
      <c r="K40" s="640">
        <v>0</v>
      </c>
      <c r="L40" s="829">
        <v>0</v>
      </c>
      <c r="M40" s="829">
        <v>0</v>
      </c>
      <c r="N40" s="425">
        <f t="shared" si="0"/>
        <v>0</v>
      </c>
      <c r="O40" s="425">
        <f t="shared" si="1"/>
        <v>0</v>
      </c>
      <c r="P40" s="424">
        <f t="shared" si="2"/>
        <v>0</v>
      </c>
      <c r="Q40" s="424">
        <f t="shared" si="4"/>
        <v>0</v>
      </c>
      <c r="R40" s="424">
        <f t="shared" si="5"/>
        <v>0</v>
      </c>
      <c r="S40" s="425">
        <f t="shared" si="3"/>
        <v>0</v>
      </c>
      <c r="T40" s="422"/>
    </row>
    <row r="41" spans="3:20" ht="12.75">
      <c r="C41" s="202" t="s">
        <v>458</v>
      </c>
      <c r="D41" s="423">
        <f>SUM(D29:D40)</f>
        <v>0</v>
      </c>
      <c r="E41" s="423"/>
      <c r="F41" s="423">
        <f aca="true" t="shared" si="6" ref="F41:M41">SUM(F29:F40)</f>
        <v>0</v>
      </c>
      <c r="G41" s="423">
        <f t="shared" si="6"/>
        <v>0</v>
      </c>
      <c r="H41" s="423">
        <f t="shared" si="6"/>
        <v>0</v>
      </c>
      <c r="I41" s="423">
        <f t="shared" si="6"/>
        <v>0</v>
      </c>
      <c r="J41" s="423">
        <f t="shared" si="6"/>
        <v>0</v>
      </c>
      <c r="K41" s="423">
        <f t="shared" si="6"/>
        <v>0</v>
      </c>
      <c r="L41" s="423">
        <f t="shared" si="6"/>
        <v>0</v>
      </c>
      <c r="M41" s="423">
        <f t="shared" si="6"/>
        <v>0</v>
      </c>
      <c r="N41" s="423">
        <f aca="true" t="shared" si="7" ref="N41:S41">AVERAGE(N28:N40)</f>
        <v>0</v>
      </c>
      <c r="O41" s="423">
        <f t="shared" si="7"/>
        <v>0</v>
      </c>
      <c r="P41" s="423">
        <f t="shared" si="7"/>
        <v>0</v>
      </c>
      <c r="Q41" s="423">
        <f t="shared" si="7"/>
        <v>0</v>
      </c>
      <c r="R41" s="423">
        <f t="shared" si="7"/>
        <v>0</v>
      </c>
      <c r="S41" s="423">
        <f t="shared" si="7"/>
        <v>0</v>
      </c>
      <c r="T41" s="423">
        <f>SUM(N41:S41)</f>
        <v>0</v>
      </c>
    </row>
    <row r="42" spans="3:15" ht="12.75">
      <c r="C42" s="202"/>
      <c r="D42" s="423"/>
      <c r="E42" s="423"/>
      <c r="F42" s="423"/>
      <c r="G42" s="423"/>
      <c r="H42" s="419"/>
      <c r="I42" s="419"/>
      <c r="J42" s="419"/>
      <c r="K42" s="419"/>
      <c r="L42" s="423"/>
      <c r="M42" s="423"/>
      <c r="N42" s="423"/>
      <c r="O42" s="423"/>
    </row>
    <row r="43" spans="3:15" ht="12.75">
      <c r="C43" s="202"/>
      <c r="D43" s="423"/>
      <c r="E43" s="423"/>
      <c r="F43" s="423" t="s">
        <v>811</v>
      </c>
      <c r="G43" s="423"/>
      <c r="H43" s="419"/>
      <c r="I43" s="423">
        <f>N41+P41+Q41+S41</f>
        <v>0</v>
      </c>
      <c r="J43" s="423" t="str">
        <f>"goes to line "&amp;'Appendix A'!$A$29&amp;" of the formula"</f>
        <v>goes to line 14 of the formula</v>
      </c>
      <c r="K43" s="419"/>
      <c r="N43" s="423"/>
      <c r="O43" s="423"/>
    </row>
    <row r="44" spans="3:15" ht="12.75">
      <c r="C44" s="202"/>
      <c r="D44" s="423"/>
      <c r="E44" s="423"/>
      <c r="F44" s="423" t="s">
        <v>812</v>
      </c>
      <c r="G44" s="423"/>
      <c r="H44" s="419"/>
      <c r="I44" s="423">
        <f>O41+R41</f>
        <v>0</v>
      </c>
      <c r="J44" s="423" t="str">
        <f>"goes to line "&amp;'Appendix A'!$A$65&amp;" of the formula"</f>
        <v>goes to line 36 of the formula</v>
      </c>
      <c r="K44" s="419"/>
      <c r="N44" s="423"/>
      <c r="O44" s="423"/>
    </row>
    <row r="45" spans="3:11" ht="12.75">
      <c r="C45" s="202"/>
      <c r="H45" s="423"/>
      <c r="I45" s="423"/>
      <c r="J45" s="423"/>
      <c r="K45" s="423"/>
    </row>
    <row r="46" spans="3:19" ht="12.75">
      <c r="C46" s="417"/>
      <c r="D46" s="202" t="s">
        <v>801</v>
      </c>
      <c r="E46" s="202" t="s">
        <v>803</v>
      </c>
      <c r="F46" s="202" t="s">
        <v>802</v>
      </c>
      <c r="G46" s="202" t="s">
        <v>804</v>
      </c>
      <c r="H46" s="202" t="s">
        <v>805</v>
      </c>
      <c r="I46" s="202" t="s">
        <v>806</v>
      </c>
      <c r="J46" s="202" t="s">
        <v>807</v>
      </c>
      <c r="K46" s="202" t="s">
        <v>808</v>
      </c>
      <c r="L46" s="202" t="s">
        <v>813</v>
      </c>
      <c r="M46" s="202" t="s">
        <v>814</v>
      </c>
      <c r="N46" s="202" t="s">
        <v>815</v>
      </c>
      <c r="O46" s="202" t="s">
        <v>816</v>
      </c>
      <c r="P46" s="202" t="s">
        <v>817</v>
      </c>
      <c r="Q46" s="202" t="s">
        <v>810</v>
      </c>
      <c r="R46" s="202" t="s">
        <v>818</v>
      </c>
      <c r="S46" s="202" t="s">
        <v>819</v>
      </c>
    </row>
    <row r="47" spans="3:19" ht="12.75">
      <c r="C47" s="417"/>
      <c r="D47" s="415" t="s">
        <v>149</v>
      </c>
      <c r="E47" s="202" t="s">
        <v>126</v>
      </c>
      <c r="F47" s="415" t="s">
        <v>591</v>
      </c>
      <c r="G47" s="415" t="s">
        <v>669</v>
      </c>
      <c r="H47" s="415" t="s">
        <v>151</v>
      </c>
      <c r="I47" s="202" t="s">
        <v>126</v>
      </c>
      <c r="J47" s="415" t="s">
        <v>591</v>
      </c>
      <c r="K47" s="415" t="s">
        <v>382</v>
      </c>
      <c r="L47" s="415" t="s">
        <v>809</v>
      </c>
      <c r="M47" s="202" t="s">
        <v>126</v>
      </c>
      <c r="N47" s="415" t="s">
        <v>591</v>
      </c>
      <c r="O47" s="415" t="s">
        <v>382</v>
      </c>
      <c r="P47" s="415" t="s">
        <v>115</v>
      </c>
      <c r="Q47" s="202" t="s">
        <v>126</v>
      </c>
      <c r="R47" s="415" t="s">
        <v>591</v>
      </c>
      <c r="S47" s="415" t="s">
        <v>382</v>
      </c>
    </row>
    <row r="48" spans="3:19" ht="12.75">
      <c r="C48" s="202"/>
      <c r="D48" s="415" t="s">
        <v>124</v>
      </c>
      <c r="E48" s="415" t="s">
        <v>127</v>
      </c>
      <c r="F48" s="415" t="s">
        <v>128</v>
      </c>
      <c r="G48" s="415"/>
      <c r="H48" s="415" t="s">
        <v>125</v>
      </c>
      <c r="I48" s="415" t="s">
        <v>127</v>
      </c>
      <c r="J48" s="415" t="s">
        <v>128</v>
      </c>
      <c r="K48" s="415" t="s">
        <v>383</v>
      </c>
      <c r="L48" s="415" t="s">
        <v>125</v>
      </c>
      <c r="M48" s="415" t="s">
        <v>127</v>
      </c>
      <c r="N48" s="415" t="s">
        <v>128</v>
      </c>
      <c r="O48" s="415" t="s">
        <v>383</v>
      </c>
      <c r="P48" s="415" t="s">
        <v>125</v>
      </c>
      <c r="Q48" s="415" t="s">
        <v>127</v>
      </c>
      <c r="R48" s="415" t="s">
        <v>128</v>
      </c>
      <c r="S48" s="415" t="s">
        <v>383</v>
      </c>
    </row>
    <row r="49" spans="3:19" ht="12.75">
      <c r="C49" s="202" t="s">
        <v>150</v>
      </c>
      <c r="D49" s="338">
        <f>N28</f>
        <v>0</v>
      </c>
      <c r="E49" s="762">
        <v>0.0022</v>
      </c>
      <c r="F49" s="423">
        <f>D49*E49</f>
        <v>0</v>
      </c>
      <c r="G49" s="423">
        <f>F49</f>
        <v>0</v>
      </c>
      <c r="H49" s="460">
        <f aca="true" t="shared" si="8" ref="H49:H61">P28</f>
        <v>0</v>
      </c>
      <c r="I49" s="762">
        <f>E49</f>
        <v>0.0022</v>
      </c>
      <c r="J49" s="423">
        <f aca="true" t="shared" si="9" ref="J49:J61">H49*I49</f>
        <v>0</v>
      </c>
      <c r="K49" s="423">
        <f>J49</f>
        <v>0</v>
      </c>
      <c r="L49" s="460">
        <f>Q28</f>
        <v>0</v>
      </c>
      <c r="M49" s="762">
        <f>E49</f>
        <v>0.0022</v>
      </c>
      <c r="N49" s="423">
        <f aca="true" t="shared" si="10" ref="N49:N61">L49*M49</f>
        <v>0</v>
      </c>
      <c r="O49" s="423">
        <f>N49</f>
        <v>0</v>
      </c>
      <c r="P49" s="460">
        <f aca="true" t="shared" si="11" ref="P49:P61">S28</f>
        <v>0</v>
      </c>
      <c r="Q49" s="762">
        <f>E49</f>
        <v>0.0022</v>
      </c>
      <c r="R49" s="423">
        <f aca="true" t="shared" si="12" ref="R49:R61">P49*Q49</f>
        <v>0</v>
      </c>
      <c r="S49" s="423">
        <f>R49</f>
        <v>0</v>
      </c>
    </row>
    <row r="50" spans="1:19" ht="12.75">
      <c r="A50" s="407"/>
      <c r="C50" s="202" t="s">
        <v>630</v>
      </c>
      <c r="D50" s="338">
        <f aca="true" t="shared" si="13" ref="D50:D61">N29</f>
        <v>0</v>
      </c>
      <c r="E50" s="453">
        <f>+E49</f>
        <v>0.0022</v>
      </c>
      <c r="F50" s="423">
        <f aca="true" t="shared" si="14" ref="F50:F61">D50*E50</f>
        <v>0</v>
      </c>
      <c r="G50" s="423">
        <f>G49+F50</f>
        <v>0</v>
      </c>
      <c r="H50" s="460">
        <f t="shared" si="8"/>
        <v>0</v>
      </c>
      <c r="I50" s="453">
        <f>+I49</f>
        <v>0.0022</v>
      </c>
      <c r="J50" s="423">
        <f t="shared" si="9"/>
        <v>0</v>
      </c>
      <c r="K50" s="423">
        <f>J50+K49</f>
        <v>0</v>
      </c>
      <c r="L50" s="460">
        <f aca="true" t="shared" si="15" ref="L50:L61">Q29</f>
        <v>0</v>
      </c>
      <c r="M50" s="453">
        <f>+M49</f>
        <v>0.0022</v>
      </c>
      <c r="N50" s="423">
        <f t="shared" si="10"/>
        <v>0</v>
      </c>
      <c r="O50" s="423">
        <f>N50+O49</f>
        <v>0</v>
      </c>
      <c r="P50" s="460">
        <f t="shared" si="11"/>
        <v>0</v>
      </c>
      <c r="Q50" s="453">
        <f>+Q49</f>
        <v>0.0022</v>
      </c>
      <c r="R50" s="423">
        <f t="shared" si="12"/>
        <v>0</v>
      </c>
      <c r="S50" s="423">
        <f>R50+S49</f>
        <v>0</v>
      </c>
    </row>
    <row r="51" spans="1:19" ht="12.75">
      <c r="A51" s="407"/>
      <c r="C51" s="202" t="s">
        <v>631</v>
      </c>
      <c r="D51" s="338">
        <f t="shared" si="13"/>
        <v>0</v>
      </c>
      <c r="E51" s="453">
        <f aca="true" t="shared" si="16" ref="E51:E61">+E50</f>
        <v>0.0022</v>
      </c>
      <c r="F51" s="423">
        <f t="shared" si="14"/>
        <v>0</v>
      </c>
      <c r="G51" s="423">
        <f aca="true" t="shared" si="17" ref="G51:G61">G50+F51</f>
        <v>0</v>
      </c>
      <c r="H51" s="460">
        <f t="shared" si="8"/>
        <v>0</v>
      </c>
      <c r="I51" s="453">
        <f aca="true" t="shared" si="18" ref="I51:I61">+I50</f>
        <v>0.0022</v>
      </c>
      <c r="J51" s="423">
        <f t="shared" si="9"/>
        <v>0</v>
      </c>
      <c r="K51" s="423">
        <f aca="true" t="shared" si="19" ref="K51:K61">J51+K50</f>
        <v>0</v>
      </c>
      <c r="L51" s="460">
        <f t="shared" si="15"/>
        <v>0</v>
      </c>
      <c r="M51" s="453">
        <f aca="true" t="shared" si="20" ref="M51:M61">+M50</f>
        <v>0.0022</v>
      </c>
      <c r="N51" s="423">
        <f t="shared" si="10"/>
        <v>0</v>
      </c>
      <c r="O51" s="423">
        <f aca="true" t="shared" si="21" ref="O51:O61">N51+O50</f>
        <v>0</v>
      </c>
      <c r="P51" s="460">
        <f t="shared" si="11"/>
        <v>0</v>
      </c>
      <c r="Q51" s="453">
        <f aca="true" t="shared" si="22" ref="Q51:Q61">+Q50</f>
        <v>0.0022</v>
      </c>
      <c r="R51" s="423">
        <f t="shared" si="12"/>
        <v>0</v>
      </c>
      <c r="S51" s="423">
        <f aca="true" t="shared" si="23" ref="S51:S61">R51+S50</f>
        <v>0</v>
      </c>
    </row>
    <row r="52" spans="1:19" ht="12.75">
      <c r="A52" s="407"/>
      <c r="C52" s="202" t="s">
        <v>632</v>
      </c>
      <c r="D52" s="338">
        <f t="shared" si="13"/>
        <v>0</v>
      </c>
      <c r="E52" s="453">
        <f t="shared" si="16"/>
        <v>0.0022</v>
      </c>
      <c r="F52" s="423">
        <f t="shared" si="14"/>
        <v>0</v>
      </c>
      <c r="G52" s="423">
        <f t="shared" si="17"/>
        <v>0</v>
      </c>
      <c r="H52" s="460">
        <f t="shared" si="8"/>
        <v>0</v>
      </c>
      <c r="I52" s="453">
        <f t="shared" si="18"/>
        <v>0.0022</v>
      </c>
      <c r="J52" s="423">
        <f t="shared" si="9"/>
        <v>0</v>
      </c>
      <c r="K52" s="423">
        <f t="shared" si="19"/>
        <v>0</v>
      </c>
      <c r="L52" s="460">
        <f t="shared" si="15"/>
        <v>0</v>
      </c>
      <c r="M52" s="453">
        <f t="shared" si="20"/>
        <v>0.0022</v>
      </c>
      <c r="N52" s="423">
        <f t="shared" si="10"/>
        <v>0</v>
      </c>
      <c r="O52" s="423">
        <f t="shared" si="21"/>
        <v>0</v>
      </c>
      <c r="P52" s="460">
        <f t="shared" si="11"/>
        <v>0</v>
      </c>
      <c r="Q52" s="453">
        <f t="shared" si="22"/>
        <v>0.0022</v>
      </c>
      <c r="R52" s="423">
        <f t="shared" si="12"/>
        <v>0</v>
      </c>
      <c r="S52" s="423">
        <f t="shared" si="23"/>
        <v>0</v>
      </c>
    </row>
    <row r="53" spans="1:19" ht="12.75">
      <c r="A53" s="407"/>
      <c r="C53" s="202" t="s">
        <v>633</v>
      </c>
      <c r="D53" s="338">
        <f t="shared" si="13"/>
        <v>0</v>
      </c>
      <c r="E53" s="453">
        <f t="shared" si="16"/>
        <v>0.0022</v>
      </c>
      <c r="F53" s="423">
        <f t="shared" si="14"/>
        <v>0</v>
      </c>
      <c r="G53" s="423">
        <f t="shared" si="17"/>
        <v>0</v>
      </c>
      <c r="H53" s="460">
        <f t="shared" si="8"/>
        <v>0</v>
      </c>
      <c r="I53" s="453">
        <f t="shared" si="18"/>
        <v>0.0022</v>
      </c>
      <c r="J53" s="423">
        <f t="shared" si="9"/>
        <v>0</v>
      </c>
      <c r="K53" s="423">
        <f t="shared" si="19"/>
        <v>0</v>
      </c>
      <c r="L53" s="460">
        <f t="shared" si="15"/>
        <v>0</v>
      </c>
      <c r="M53" s="453">
        <f t="shared" si="20"/>
        <v>0.0022</v>
      </c>
      <c r="N53" s="423">
        <f t="shared" si="10"/>
        <v>0</v>
      </c>
      <c r="O53" s="423">
        <f t="shared" si="21"/>
        <v>0</v>
      </c>
      <c r="P53" s="460">
        <f t="shared" si="11"/>
        <v>0</v>
      </c>
      <c r="Q53" s="453">
        <f t="shared" si="22"/>
        <v>0.0022</v>
      </c>
      <c r="R53" s="423">
        <f t="shared" si="12"/>
        <v>0</v>
      </c>
      <c r="S53" s="423">
        <f t="shared" si="23"/>
        <v>0</v>
      </c>
    </row>
    <row r="54" spans="1:19" ht="12.75">
      <c r="A54" s="407"/>
      <c r="C54" s="202" t="s">
        <v>628</v>
      </c>
      <c r="D54" s="338">
        <f t="shared" si="13"/>
        <v>0</v>
      </c>
      <c r="E54" s="453">
        <f t="shared" si="16"/>
        <v>0.0022</v>
      </c>
      <c r="F54" s="423">
        <f t="shared" si="14"/>
        <v>0</v>
      </c>
      <c r="G54" s="423">
        <f t="shared" si="17"/>
        <v>0</v>
      </c>
      <c r="H54" s="460">
        <f t="shared" si="8"/>
        <v>0</v>
      </c>
      <c r="I54" s="453">
        <f t="shared" si="18"/>
        <v>0.0022</v>
      </c>
      <c r="J54" s="423">
        <f t="shared" si="9"/>
        <v>0</v>
      </c>
      <c r="K54" s="423">
        <f t="shared" si="19"/>
        <v>0</v>
      </c>
      <c r="L54" s="460">
        <f t="shared" si="15"/>
        <v>0</v>
      </c>
      <c r="M54" s="453">
        <f t="shared" si="20"/>
        <v>0.0022</v>
      </c>
      <c r="N54" s="423">
        <f t="shared" si="10"/>
        <v>0</v>
      </c>
      <c r="O54" s="423">
        <f t="shared" si="21"/>
        <v>0</v>
      </c>
      <c r="P54" s="460">
        <f t="shared" si="11"/>
        <v>0</v>
      </c>
      <c r="Q54" s="453">
        <f t="shared" si="22"/>
        <v>0.0022</v>
      </c>
      <c r="R54" s="423">
        <f t="shared" si="12"/>
        <v>0</v>
      </c>
      <c r="S54" s="423">
        <f t="shared" si="23"/>
        <v>0</v>
      </c>
    </row>
    <row r="55" spans="1:19" ht="12.75">
      <c r="A55" s="407"/>
      <c r="C55" s="202" t="s">
        <v>634</v>
      </c>
      <c r="D55" s="338">
        <f t="shared" si="13"/>
        <v>0</v>
      </c>
      <c r="E55" s="453">
        <f t="shared" si="16"/>
        <v>0.0022</v>
      </c>
      <c r="F55" s="423">
        <f t="shared" si="14"/>
        <v>0</v>
      </c>
      <c r="G55" s="423">
        <f t="shared" si="17"/>
        <v>0</v>
      </c>
      <c r="H55" s="460">
        <f t="shared" si="8"/>
        <v>0</v>
      </c>
      <c r="I55" s="453">
        <f t="shared" si="18"/>
        <v>0.0022</v>
      </c>
      <c r="J55" s="423">
        <f t="shared" si="9"/>
        <v>0</v>
      </c>
      <c r="K55" s="423">
        <f t="shared" si="19"/>
        <v>0</v>
      </c>
      <c r="L55" s="460">
        <f t="shared" si="15"/>
        <v>0</v>
      </c>
      <c r="M55" s="453">
        <f t="shared" si="20"/>
        <v>0.0022</v>
      </c>
      <c r="N55" s="423">
        <f t="shared" si="10"/>
        <v>0</v>
      </c>
      <c r="O55" s="423">
        <f t="shared" si="21"/>
        <v>0</v>
      </c>
      <c r="P55" s="460">
        <f t="shared" si="11"/>
        <v>0</v>
      </c>
      <c r="Q55" s="453">
        <f t="shared" si="22"/>
        <v>0.0022</v>
      </c>
      <c r="R55" s="423">
        <f t="shared" si="12"/>
        <v>0</v>
      </c>
      <c r="S55" s="423">
        <f t="shared" si="23"/>
        <v>0</v>
      </c>
    </row>
    <row r="56" spans="3:19" ht="12.75">
      <c r="C56" s="202" t="s">
        <v>635</v>
      </c>
      <c r="D56" s="338">
        <f t="shared" si="13"/>
        <v>0</v>
      </c>
      <c r="E56" s="453">
        <f t="shared" si="16"/>
        <v>0.0022</v>
      </c>
      <c r="F56" s="423">
        <f t="shared" si="14"/>
        <v>0</v>
      </c>
      <c r="G56" s="423">
        <f t="shared" si="17"/>
        <v>0</v>
      </c>
      <c r="H56" s="460">
        <f t="shared" si="8"/>
        <v>0</v>
      </c>
      <c r="I56" s="453">
        <f t="shared" si="18"/>
        <v>0.0022</v>
      </c>
      <c r="J56" s="423">
        <f t="shared" si="9"/>
        <v>0</v>
      </c>
      <c r="K56" s="423">
        <f t="shared" si="19"/>
        <v>0</v>
      </c>
      <c r="L56" s="460">
        <f t="shared" si="15"/>
        <v>0</v>
      </c>
      <c r="M56" s="453">
        <f t="shared" si="20"/>
        <v>0.0022</v>
      </c>
      <c r="N56" s="423">
        <f t="shared" si="10"/>
        <v>0</v>
      </c>
      <c r="O56" s="423">
        <f t="shared" si="21"/>
        <v>0</v>
      </c>
      <c r="P56" s="460">
        <f t="shared" si="11"/>
        <v>0</v>
      </c>
      <c r="Q56" s="453">
        <f t="shared" si="22"/>
        <v>0.0022</v>
      </c>
      <c r="R56" s="423">
        <f t="shared" si="12"/>
        <v>0</v>
      </c>
      <c r="S56" s="423">
        <f t="shared" si="23"/>
        <v>0</v>
      </c>
    </row>
    <row r="57" spans="3:19" ht="12.75">
      <c r="C57" s="202" t="s">
        <v>636</v>
      </c>
      <c r="D57" s="338">
        <f t="shared" si="13"/>
        <v>0</v>
      </c>
      <c r="E57" s="453">
        <f t="shared" si="16"/>
        <v>0.0022</v>
      </c>
      <c r="F57" s="423">
        <f t="shared" si="14"/>
        <v>0</v>
      </c>
      <c r="G57" s="423">
        <f t="shared" si="17"/>
        <v>0</v>
      </c>
      <c r="H57" s="460">
        <f t="shared" si="8"/>
        <v>0</v>
      </c>
      <c r="I57" s="453">
        <f t="shared" si="18"/>
        <v>0.0022</v>
      </c>
      <c r="J57" s="423">
        <f t="shared" si="9"/>
        <v>0</v>
      </c>
      <c r="K57" s="423">
        <f t="shared" si="19"/>
        <v>0</v>
      </c>
      <c r="L57" s="460">
        <f t="shared" si="15"/>
        <v>0</v>
      </c>
      <c r="M57" s="453">
        <f t="shared" si="20"/>
        <v>0.0022</v>
      </c>
      <c r="N57" s="423">
        <f t="shared" si="10"/>
        <v>0</v>
      </c>
      <c r="O57" s="423">
        <f t="shared" si="21"/>
        <v>0</v>
      </c>
      <c r="P57" s="460">
        <f t="shared" si="11"/>
        <v>0</v>
      </c>
      <c r="Q57" s="453">
        <f t="shared" si="22"/>
        <v>0.0022</v>
      </c>
      <c r="R57" s="423">
        <f t="shared" si="12"/>
        <v>0</v>
      </c>
      <c r="S57" s="423">
        <f t="shared" si="23"/>
        <v>0</v>
      </c>
    </row>
    <row r="58" spans="3:19" ht="12.75">
      <c r="C58" s="202" t="s">
        <v>637</v>
      </c>
      <c r="D58" s="338">
        <f t="shared" si="13"/>
        <v>0</v>
      </c>
      <c r="E58" s="453">
        <f t="shared" si="16"/>
        <v>0.0022</v>
      </c>
      <c r="F58" s="423">
        <f t="shared" si="14"/>
        <v>0</v>
      </c>
      <c r="G58" s="423">
        <f t="shared" si="17"/>
        <v>0</v>
      </c>
      <c r="H58" s="460">
        <f t="shared" si="8"/>
        <v>0</v>
      </c>
      <c r="I58" s="453">
        <f t="shared" si="18"/>
        <v>0.0022</v>
      </c>
      <c r="J58" s="423">
        <f t="shared" si="9"/>
        <v>0</v>
      </c>
      <c r="K58" s="423">
        <f t="shared" si="19"/>
        <v>0</v>
      </c>
      <c r="L58" s="460">
        <f t="shared" si="15"/>
        <v>0</v>
      </c>
      <c r="M58" s="453">
        <f t="shared" si="20"/>
        <v>0.0022</v>
      </c>
      <c r="N58" s="423">
        <f t="shared" si="10"/>
        <v>0</v>
      </c>
      <c r="O58" s="423">
        <f t="shared" si="21"/>
        <v>0</v>
      </c>
      <c r="P58" s="460">
        <f t="shared" si="11"/>
        <v>0</v>
      </c>
      <c r="Q58" s="453">
        <f t="shared" si="22"/>
        <v>0.0022</v>
      </c>
      <c r="R58" s="423">
        <f t="shared" si="12"/>
        <v>0</v>
      </c>
      <c r="S58" s="423">
        <f t="shared" si="23"/>
        <v>0</v>
      </c>
    </row>
    <row r="59" spans="3:19" ht="12.75">
      <c r="C59" s="202" t="s">
        <v>638</v>
      </c>
      <c r="D59" s="338">
        <f t="shared" si="13"/>
        <v>0</v>
      </c>
      <c r="E59" s="453">
        <f t="shared" si="16"/>
        <v>0.0022</v>
      </c>
      <c r="F59" s="423">
        <f t="shared" si="14"/>
        <v>0</v>
      </c>
      <c r="G59" s="423">
        <f t="shared" si="17"/>
        <v>0</v>
      </c>
      <c r="H59" s="460">
        <f t="shared" si="8"/>
        <v>0</v>
      </c>
      <c r="I59" s="453">
        <f t="shared" si="18"/>
        <v>0.0022</v>
      </c>
      <c r="J59" s="423">
        <f t="shared" si="9"/>
        <v>0</v>
      </c>
      <c r="K59" s="423">
        <f t="shared" si="19"/>
        <v>0</v>
      </c>
      <c r="L59" s="460">
        <f t="shared" si="15"/>
        <v>0</v>
      </c>
      <c r="M59" s="453">
        <f t="shared" si="20"/>
        <v>0.0022</v>
      </c>
      <c r="N59" s="423">
        <f t="shared" si="10"/>
        <v>0</v>
      </c>
      <c r="O59" s="423">
        <f t="shared" si="21"/>
        <v>0</v>
      </c>
      <c r="P59" s="460">
        <f t="shared" si="11"/>
        <v>0</v>
      </c>
      <c r="Q59" s="453">
        <f t="shared" si="22"/>
        <v>0.0022</v>
      </c>
      <c r="R59" s="423">
        <f t="shared" si="12"/>
        <v>0</v>
      </c>
      <c r="S59" s="423">
        <f t="shared" si="23"/>
        <v>0</v>
      </c>
    </row>
    <row r="60" spans="3:19" ht="12.75">
      <c r="C60" s="202" t="s">
        <v>639</v>
      </c>
      <c r="D60" s="338">
        <f t="shared" si="13"/>
        <v>0</v>
      </c>
      <c r="E60" s="453">
        <f t="shared" si="16"/>
        <v>0.0022</v>
      </c>
      <c r="F60" s="423">
        <f t="shared" si="14"/>
        <v>0</v>
      </c>
      <c r="G60" s="423">
        <f t="shared" si="17"/>
        <v>0</v>
      </c>
      <c r="H60" s="460">
        <f t="shared" si="8"/>
        <v>0</v>
      </c>
      <c r="I60" s="453">
        <f t="shared" si="18"/>
        <v>0.0022</v>
      </c>
      <c r="J60" s="423">
        <f t="shared" si="9"/>
        <v>0</v>
      </c>
      <c r="K60" s="423">
        <f t="shared" si="19"/>
        <v>0</v>
      </c>
      <c r="L60" s="460">
        <f t="shared" si="15"/>
        <v>0</v>
      </c>
      <c r="M60" s="453">
        <f t="shared" si="20"/>
        <v>0.0022</v>
      </c>
      <c r="N60" s="423">
        <f t="shared" si="10"/>
        <v>0</v>
      </c>
      <c r="O60" s="423">
        <f t="shared" si="21"/>
        <v>0</v>
      </c>
      <c r="P60" s="460">
        <f t="shared" si="11"/>
        <v>0</v>
      </c>
      <c r="Q60" s="453">
        <f t="shared" si="22"/>
        <v>0.0022</v>
      </c>
      <c r="R60" s="423">
        <f t="shared" si="12"/>
        <v>0</v>
      </c>
      <c r="S60" s="423">
        <f t="shared" si="23"/>
        <v>0</v>
      </c>
    </row>
    <row r="61" spans="3:19" ht="12.75">
      <c r="C61" s="422" t="s">
        <v>640</v>
      </c>
      <c r="D61" s="568">
        <f t="shared" si="13"/>
        <v>0</v>
      </c>
      <c r="E61" s="454">
        <f t="shared" si="16"/>
        <v>0.0022</v>
      </c>
      <c r="F61" s="425">
        <f t="shared" si="14"/>
        <v>0</v>
      </c>
      <c r="G61" s="425">
        <f t="shared" si="17"/>
        <v>0</v>
      </c>
      <c r="H61" s="461">
        <f t="shared" si="8"/>
        <v>0</v>
      </c>
      <c r="I61" s="454">
        <f t="shared" si="18"/>
        <v>0.0022</v>
      </c>
      <c r="J61" s="425">
        <f t="shared" si="9"/>
        <v>0</v>
      </c>
      <c r="K61" s="425">
        <f t="shared" si="19"/>
        <v>0</v>
      </c>
      <c r="L61" s="461">
        <f t="shared" si="15"/>
        <v>0</v>
      </c>
      <c r="M61" s="454">
        <f t="shared" si="20"/>
        <v>0.0022</v>
      </c>
      <c r="N61" s="425">
        <f t="shared" si="10"/>
        <v>0</v>
      </c>
      <c r="O61" s="425">
        <f t="shared" si="21"/>
        <v>0</v>
      </c>
      <c r="P61" s="461">
        <f t="shared" si="11"/>
        <v>0</v>
      </c>
      <c r="Q61" s="454">
        <f t="shared" si="22"/>
        <v>0.0022</v>
      </c>
      <c r="R61" s="425">
        <f t="shared" si="12"/>
        <v>0</v>
      </c>
      <c r="S61" s="425">
        <f t="shared" si="23"/>
        <v>0</v>
      </c>
    </row>
    <row r="62" spans="3:19" ht="12.75">
      <c r="C62" s="202" t="s">
        <v>458</v>
      </c>
      <c r="D62" s="423"/>
      <c r="E62" s="423"/>
      <c r="F62" s="423">
        <f>SUM(F50:F61)</f>
        <v>0</v>
      </c>
      <c r="G62" s="423">
        <f>AVERAGE(G49:G61)</f>
        <v>0</v>
      </c>
      <c r="J62" s="423">
        <f>SUM(J50:J61)</f>
        <v>0</v>
      </c>
      <c r="K62" s="423">
        <f>AVERAGE(K49:K61)</f>
        <v>0</v>
      </c>
      <c r="N62" s="423">
        <f>SUM(N50:N61)</f>
        <v>0</v>
      </c>
      <c r="O62" s="423">
        <f>AVERAGE(O49:O61)</f>
        <v>0</v>
      </c>
      <c r="R62" s="423">
        <f>SUM(R50:R61)</f>
        <v>0</v>
      </c>
      <c r="S62" s="423">
        <f>AVERAGE(S49:S61)</f>
        <v>0</v>
      </c>
    </row>
    <row r="63" spans="2:11" ht="12.75">
      <c r="B63" s="202"/>
      <c r="D63" s="975" t="s">
        <v>820</v>
      </c>
      <c r="H63" s="423">
        <f>G62+K62+O62+S62</f>
        <v>0</v>
      </c>
      <c r="I63" s="423" t="str">
        <f>"goes to line "&amp;'Appendix A'!$A$43&amp;" of the formula"</f>
        <v>goes to line 23 of the formula</v>
      </c>
      <c r="K63" s="419"/>
    </row>
    <row r="64" spans="4:9" ht="12.75">
      <c r="D64" s="975" t="s">
        <v>821</v>
      </c>
      <c r="F64" s="423"/>
      <c r="H64" s="423">
        <f>F62+J62+N62+R62</f>
        <v>0</v>
      </c>
      <c r="I64" s="423" t="str">
        <f>"goes to line "&amp;'Appendix A'!$A$132&amp;" of the formula"</f>
        <v>goes to line 77 of the formula</v>
      </c>
    </row>
    <row r="65" spans="2:12" ht="12.75">
      <c r="B65" s="202"/>
      <c r="H65" s="423"/>
      <c r="I65" s="423"/>
      <c r="J65" s="423"/>
      <c r="K65" s="423"/>
      <c r="L65" s="423"/>
    </row>
    <row r="66" spans="1:5" ht="12.75">
      <c r="A66" s="415">
        <v>3</v>
      </c>
      <c r="B66" s="415" t="str">
        <f>+B24</f>
        <v>April</v>
      </c>
      <c r="C66" s="415" t="str">
        <f>+C24</f>
        <v>Year 2</v>
      </c>
      <c r="D66" s="417" t="str">
        <f>+D5</f>
        <v>TO adds 13 month average Cap Adds and retirements (line 14), CWIP (line 36) and associated depreciation (lines 23 and 77) to the Formula.</v>
      </c>
      <c r="E66" s="417"/>
    </row>
    <row r="67" spans="5:12" ht="12.75">
      <c r="E67" s="426"/>
      <c r="F67" s="202" t="s">
        <v>53</v>
      </c>
      <c r="G67" s="423"/>
      <c r="H67" s="415"/>
      <c r="I67" s="415"/>
      <c r="J67" s="415"/>
      <c r="K67" s="415"/>
      <c r="L67" s="423"/>
    </row>
    <row r="68" spans="4:12" ht="12.75">
      <c r="D68" s="426"/>
      <c r="E68" s="426"/>
      <c r="F68" s="415"/>
      <c r="G68" s="423"/>
      <c r="H68" s="415"/>
      <c r="I68" s="415"/>
      <c r="J68" s="415"/>
      <c r="K68" s="415"/>
      <c r="L68" s="423"/>
    </row>
    <row r="69" spans="1:4" ht="12.75">
      <c r="A69" s="415">
        <v>4</v>
      </c>
      <c r="B69" s="415" t="str">
        <f>+B6</f>
        <v>May</v>
      </c>
      <c r="C69" s="415" t="str">
        <f>+C66</f>
        <v>Year 2</v>
      </c>
      <c r="D69" s="202" t="str">
        <f>+D6</f>
        <v>Post results of Step 3 on PJM web site.</v>
      </c>
    </row>
    <row r="70" spans="4:7" ht="12.75">
      <c r="D70" s="860">
        <v>0</v>
      </c>
      <c r="F70" s="417" t="s">
        <v>278</v>
      </c>
      <c r="G70" s="426"/>
    </row>
    <row r="71" spans="4:5" ht="12.75">
      <c r="D71" s="275"/>
      <c r="E71" s="420"/>
    </row>
    <row r="72" spans="1:12" ht="12.75">
      <c r="A72" s="415">
        <f>+A7</f>
        <v>5</v>
      </c>
      <c r="B72" s="415" t="str">
        <f>+B7</f>
        <v>June</v>
      </c>
      <c r="C72" s="415" t="str">
        <f>+C7</f>
        <v>Year 2</v>
      </c>
      <c r="D72" s="417" t="str">
        <f>+D7</f>
        <v>Results of Step 3 go into effect.</v>
      </c>
      <c r="E72" s="417"/>
      <c r="H72" s="445"/>
      <c r="I72" s="445"/>
      <c r="J72" s="445"/>
      <c r="K72" s="445"/>
      <c r="L72" s="445"/>
    </row>
    <row r="73" spans="4:12" ht="12.75">
      <c r="D73" s="861"/>
      <c r="E73" s="426"/>
      <c r="H73" s="445"/>
      <c r="I73" s="445"/>
      <c r="J73" s="445"/>
      <c r="K73" s="445"/>
      <c r="L73" s="445"/>
    </row>
    <row r="74" spans="1:15" ht="12.75">
      <c r="A74" s="416"/>
      <c r="B74" s="416"/>
      <c r="C74" s="416"/>
      <c r="D74" s="331"/>
      <c r="E74" s="331"/>
      <c r="F74" s="331"/>
      <c r="G74" s="331"/>
      <c r="H74" s="331"/>
      <c r="K74" s="331"/>
      <c r="L74" s="331"/>
      <c r="M74" s="331"/>
      <c r="N74" s="331"/>
      <c r="O74" s="331"/>
    </row>
    <row r="75" spans="1:5" ht="12.75">
      <c r="A75" s="415">
        <f>+A8</f>
        <v>6</v>
      </c>
      <c r="B75" s="415" t="str">
        <f>+B8</f>
        <v>April</v>
      </c>
      <c r="C75" s="415" t="str">
        <f>+C8</f>
        <v>Year 3</v>
      </c>
      <c r="D75" s="202" t="str">
        <f>+D8</f>
        <v>TO populates the formula with Year 2 data from FERC Form 1.</v>
      </c>
      <c r="E75" s="417"/>
    </row>
    <row r="76" spans="4:5" ht="12.75">
      <c r="D76" s="1001"/>
      <c r="E76" s="1001"/>
    </row>
    <row r="77" spans="4:7" ht="12.75">
      <c r="D77" s="861"/>
      <c r="E77" s="202" t="s">
        <v>676</v>
      </c>
      <c r="G77" s="417" t="s">
        <v>279</v>
      </c>
    </row>
    <row r="78" spans="4:7" ht="12.75">
      <c r="D78" s="1000"/>
      <c r="G78" s="417"/>
    </row>
    <row r="79" spans="4:18" ht="12.75">
      <c r="D79" s="417" t="s">
        <v>384</v>
      </c>
      <c r="G79" s="417"/>
      <c r="O79" s="384"/>
      <c r="P79" s="384"/>
      <c r="R79" s="384"/>
    </row>
    <row r="80" spans="4:19" ht="12.75">
      <c r="D80" s="991"/>
      <c r="E80" s="991"/>
      <c r="G80" s="417"/>
      <c r="N80" s="202" t="s">
        <v>94</v>
      </c>
      <c r="O80" s="202" t="s">
        <v>798</v>
      </c>
      <c r="P80" s="202" t="s">
        <v>95</v>
      </c>
      <c r="Q80" s="202" t="s">
        <v>799</v>
      </c>
      <c r="R80" s="202" t="s">
        <v>96</v>
      </c>
      <c r="S80" s="202" t="s">
        <v>800</v>
      </c>
    </row>
    <row r="81" spans="3:19" ht="12.75">
      <c r="C81" s="417"/>
      <c r="D81" s="202" t="s">
        <v>540</v>
      </c>
      <c r="E81" s="202" t="s">
        <v>541</v>
      </c>
      <c r="F81" s="202" t="s">
        <v>502</v>
      </c>
      <c r="G81" s="202" t="s">
        <v>544</v>
      </c>
      <c r="H81" s="202" t="s">
        <v>740</v>
      </c>
      <c r="I81" s="202" t="s">
        <v>152</v>
      </c>
      <c r="J81" s="202" t="s">
        <v>153</v>
      </c>
      <c r="K81" s="202" t="s">
        <v>742</v>
      </c>
      <c r="L81" s="202" t="s">
        <v>93</v>
      </c>
      <c r="M81" s="202" t="s">
        <v>129</v>
      </c>
      <c r="N81" s="457" t="s">
        <v>741</v>
      </c>
      <c r="O81" s="421"/>
      <c r="P81" s="421"/>
      <c r="Q81" s="972"/>
      <c r="R81" s="972"/>
      <c r="S81" s="972"/>
    </row>
    <row r="82" spans="1:20" ht="12.75">
      <c r="A82" s="384"/>
      <c r="B82" s="384"/>
      <c r="C82" s="202"/>
      <c r="D82" s="415" t="s">
        <v>743</v>
      </c>
      <c r="E82" s="415" t="s">
        <v>744</v>
      </c>
      <c r="F82" s="415" t="s">
        <v>542</v>
      </c>
      <c r="G82" s="415" t="s">
        <v>543</v>
      </c>
      <c r="H82" s="415" t="s">
        <v>745</v>
      </c>
      <c r="I82" s="415" t="s">
        <v>795</v>
      </c>
      <c r="J82" s="415" t="s">
        <v>796</v>
      </c>
      <c r="K82" s="415" t="s">
        <v>797</v>
      </c>
      <c r="L82" s="202" t="s">
        <v>114</v>
      </c>
      <c r="M82" s="202" t="s">
        <v>116</v>
      </c>
      <c r="N82" s="458" t="s">
        <v>743</v>
      </c>
      <c r="O82" s="422" t="s">
        <v>542</v>
      </c>
      <c r="P82" s="422" t="s">
        <v>543</v>
      </c>
      <c r="Q82" s="973" t="s">
        <v>795</v>
      </c>
      <c r="R82" s="973" t="s">
        <v>797</v>
      </c>
      <c r="S82" s="973" t="s">
        <v>114</v>
      </c>
      <c r="T82" s="202" t="s">
        <v>458</v>
      </c>
    </row>
    <row r="83" spans="1:22" ht="12.75">
      <c r="A83" s="384"/>
      <c r="B83" s="384"/>
      <c r="C83" s="202" t="s">
        <v>640</v>
      </c>
      <c r="D83" s="384"/>
      <c r="E83" s="384"/>
      <c r="F83" s="384"/>
      <c r="G83" s="384"/>
      <c r="H83" s="415"/>
      <c r="I83" s="384"/>
      <c r="J83" s="415"/>
      <c r="K83" s="384"/>
      <c r="L83" s="384"/>
      <c r="N83" s="1077"/>
      <c r="O83" s="639">
        <v>0</v>
      </c>
      <c r="P83" s="639">
        <v>262950644.58900005</v>
      </c>
      <c r="Q83" s="639">
        <v>156578264.119</v>
      </c>
      <c r="R83" s="639">
        <v>0</v>
      </c>
      <c r="S83" s="639">
        <v>3158242</v>
      </c>
      <c r="V83" s="1154"/>
    </row>
    <row r="84" spans="1:22" ht="15">
      <c r="A84" s="1011"/>
      <c r="C84" s="202" t="s">
        <v>630</v>
      </c>
      <c r="D84" s="639">
        <v>5010424.21</v>
      </c>
      <c r="E84" s="639">
        <v>-65001.33</v>
      </c>
      <c r="F84" s="639">
        <v>0</v>
      </c>
      <c r="G84" s="639">
        <v>0</v>
      </c>
      <c r="H84" s="639">
        <v>0</v>
      </c>
      <c r="I84" s="639">
        <v>-194733.47</v>
      </c>
      <c r="J84" s="639">
        <v>0</v>
      </c>
      <c r="K84" s="639">
        <v>0</v>
      </c>
      <c r="L84" s="639">
        <v>0</v>
      </c>
      <c r="M84" s="639">
        <v>0</v>
      </c>
      <c r="N84" s="423">
        <f aca="true" t="shared" si="24" ref="N84:N95">N83+D84+E84</f>
        <v>4945422.88</v>
      </c>
      <c r="O84" s="423">
        <f aca="true" t="shared" si="25" ref="O84:O95">O83+F84</f>
        <v>0</v>
      </c>
      <c r="P84" s="419">
        <f>P83+G84+H84</f>
        <v>262950644.58900005</v>
      </c>
      <c r="Q84" s="419">
        <f>Q83+I84+J84</f>
        <v>156383530.649</v>
      </c>
      <c r="R84" s="419">
        <f>R83+K84</f>
        <v>0</v>
      </c>
      <c r="S84" s="423">
        <f aca="true" t="shared" si="26" ref="S84:S95">S83+L84+M84</f>
        <v>3158242</v>
      </c>
      <c r="V84" s="1045"/>
    </row>
    <row r="85" spans="1:19" ht="12.75">
      <c r="A85" s="830"/>
      <c r="C85" s="202" t="s">
        <v>631</v>
      </c>
      <c r="D85" s="639">
        <v>-109688.66000000032</v>
      </c>
      <c r="E85" s="639">
        <v>-489827.25</v>
      </c>
      <c r="F85" s="639">
        <v>0</v>
      </c>
      <c r="G85" s="639">
        <v>0</v>
      </c>
      <c r="H85" s="639">
        <v>0</v>
      </c>
      <c r="I85" s="639">
        <v>-47164.200000000004</v>
      </c>
      <c r="J85" s="639">
        <v>0</v>
      </c>
      <c r="K85" s="639">
        <v>0</v>
      </c>
      <c r="L85" s="639">
        <f>+L84</f>
        <v>0</v>
      </c>
      <c r="M85" s="639">
        <v>0</v>
      </c>
      <c r="N85" s="423">
        <f t="shared" si="24"/>
        <v>4345906.97</v>
      </c>
      <c r="O85" s="423">
        <f t="shared" si="25"/>
        <v>0</v>
      </c>
      <c r="P85" s="419">
        <f aca="true" t="shared" si="27" ref="P85:P95">P84+G85+H85</f>
        <v>262950644.58900005</v>
      </c>
      <c r="Q85" s="419">
        <f aca="true" t="shared" si="28" ref="Q85:Q95">Q84+I85+J85</f>
        <v>156336366.449</v>
      </c>
      <c r="R85" s="419">
        <f aca="true" t="shared" si="29" ref="R85:R95">R84+K85</f>
        <v>0</v>
      </c>
      <c r="S85" s="423">
        <f t="shared" si="26"/>
        <v>3158242</v>
      </c>
    </row>
    <row r="86" spans="1:19" ht="12.75">
      <c r="A86" s="830"/>
      <c r="C86" s="202" t="s">
        <v>632</v>
      </c>
      <c r="D86" s="639">
        <v>2177981.74</v>
      </c>
      <c r="E86" s="639">
        <v>0</v>
      </c>
      <c r="F86" s="639">
        <v>0</v>
      </c>
      <c r="G86" s="639">
        <v>0</v>
      </c>
      <c r="H86" s="639">
        <v>0</v>
      </c>
      <c r="I86" s="639">
        <v>-783.77</v>
      </c>
      <c r="J86" s="639">
        <v>0</v>
      </c>
      <c r="K86" s="639">
        <v>0</v>
      </c>
      <c r="L86" s="639">
        <v>0</v>
      </c>
      <c r="M86" s="639">
        <v>0</v>
      </c>
      <c r="N86" s="423">
        <f t="shared" si="24"/>
        <v>6523888.71</v>
      </c>
      <c r="O86" s="423">
        <f t="shared" si="25"/>
        <v>0</v>
      </c>
      <c r="P86" s="419">
        <f t="shared" si="27"/>
        <v>262950644.58900005</v>
      </c>
      <c r="Q86" s="419">
        <f t="shared" si="28"/>
        <v>156335582.679</v>
      </c>
      <c r="R86" s="419">
        <f t="shared" si="29"/>
        <v>0</v>
      </c>
      <c r="S86" s="423">
        <f t="shared" si="26"/>
        <v>3158242</v>
      </c>
    </row>
    <row r="87" spans="1:22" ht="15">
      <c r="A87" s="830"/>
      <c r="C87" s="202" t="s">
        <v>633</v>
      </c>
      <c r="D87" s="639">
        <v>2056478.2600000007</v>
      </c>
      <c r="E87" s="639">
        <v>-372765.05</v>
      </c>
      <c r="F87" s="639">
        <v>0</v>
      </c>
      <c r="G87" s="639">
        <v>0</v>
      </c>
      <c r="H87" s="639">
        <v>0</v>
      </c>
      <c r="I87" s="639">
        <v>-61014.14</v>
      </c>
      <c r="J87" s="639">
        <v>0</v>
      </c>
      <c r="K87" s="639">
        <v>0</v>
      </c>
      <c r="L87" s="639">
        <v>0</v>
      </c>
      <c r="M87" s="639">
        <v>0</v>
      </c>
      <c r="N87" s="423">
        <f t="shared" si="24"/>
        <v>8207601.920000001</v>
      </c>
      <c r="O87" s="423">
        <f t="shared" si="25"/>
        <v>0</v>
      </c>
      <c r="P87" s="419">
        <f t="shared" si="27"/>
        <v>262950644.58900005</v>
      </c>
      <c r="Q87" s="419">
        <f t="shared" si="28"/>
        <v>156274568.539</v>
      </c>
      <c r="R87" s="419">
        <f t="shared" si="29"/>
        <v>0</v>
      </c>
      <c r="S87" s="423">
        <f t="shared" si="26"/>
        <v>3158242</v>
      </c>
      <c r="V87" s="1044"/>
    </row>
    <row r="88" spans="1:22" ht="15">
      <c r="A88" s="830"/>
      <c r="C88" s="202" t="s">
        <v>628</v>
      </c>
      <c r="D88" s="639">
        <v>18636.509999999922</v>
      </c>
      <c r="E88" s="639">
        <v>-391201.32</v>
      </c>
      <c r="F88" s="639">
        <v>0</v>
      </c>
      <c r="G88" s="639">
        <v>0</v>
      </c>
      <c r="H88" s="639">
        <v>0</v>
      </c>
      <c r="I88" s="639">
        <v>-87271.59</v>
      </c>
      <c r="J88" s="639">
        <v>0</v>
      </c>
      <c r="K88" s="639">
        <v>0</v>
      </c>
      <c r="L88" s="639">
        <v>0</v>
      </c>
      <c r="M88" s="639">
        <v>0</v>
      </c>
      <c r="N88" s="423">
        <f t="shared" si="24"/>
        <v>7835037.11</v>
      </c>
      <c r="O88" s="423">
        <f t="shared" si="25"/>
        <v>0</v>
      </c>
      <c r="P88" s="419">
        <f t="shared" si="27"/>
        <v>262950644.58900005</v>
      </c>
      <c r="Q88" s="419">
        <f t="shared" si="28"/>
        <v>156187296.949</v>
      </c>
      <c r="R88" s="419">
        <f t="shared" si="29"/>
        <v>0</v>
      </c>
      <c r="S88" s="423">
        <f t="shared" si="26"/>
        <v>3158242</v>
      </c>
      <c r="V88" s="1045"/>
    </row>
    <row r="89" spans="1:19" ht="12.75">
      <c r="A89" s="830"/>
      <c r="C89" s="202" t="s">
        <v>634</v>
      </c>
      <c r="D89" s="639">
        <v>993102.6199999994</v>
      </c>
      <c r="E89" s="639">
        <v>-484719.97</v>
      </c>
      <c r="F89" s="639">
        <v>0</v>
      </c>
      <c r="G89" s="639">
        <v>0</v>
      </c>
      <c r="H89" s="639">
        <v>0</v>
      </c>
      <c r="I89" s="639">
        <v>-182663.26</v>
      </c>
      <c r="J89" s="639">
        <v>0</v>
      </c>
      <c r="K89" s="639">
        <v>0</v>
      </c>
      <c r="L89" s="639">
        <v>0</v>
      </c>
      <c r="M89" s="639">
        <v>0</v>
      </c>
      <c r="N89" s="423">
        <f t="shared" si="24"/>
        <v>8343419.760000001</v>
      </c>
      <c r="O89" s="423">
        <f t="shared" si="25"/>
        <v>0</v>
      </c>
      <c r="P89" s="419">
        <f t="shared" si="27"/>
        <v>262950644.58900005</v>
      </c>
      <c r="Q89" s="419">
        <f t="shared" si="28"/>
        <v>156004633.689</v>
      </c>
      <c r="R89" s="419">
        <f t="shared" si="29"/>
        <v>0</v>
      </c>
      <c r="S89" s="423">
        <f t="shared" si="26"/>
        <v>3158242</v>
      </c>
    </row>
    <row r="90" spans="1:19" ht="12.75">
      <c r="A90" s="830"/>
      <c r="C90" s="202" t="s">
        <v>635</v>
      </c>
      <c r="D90" s="639">
        <v>1010999.6799999992</v>
      </c>
      <c r="E90" s="639">
        <v>-298379.61</v>
      </c>
      <c r="F90" s="639">
        <v>0</v>
      </c>
      <c r="G90" s="639">
        <v>0</v>
      </c>
      <c r="H90" s="639">
        <v>0</v>
      </c>
      <c r="I90" s="639">
        <v>-95615.23</v>
      </c>
      <c r="J90" s="639">
        <v>0</v>
      </c>
      <c r="K90" s="639">
        <v>0</v>
      </c>
      <c r="L90" s="639">
        <v>0</v>
      </c>
      <c r="M90" s="639">
        <v>0</v>
      </c>
      <c r="N90" s="423">
        <f t="shared" si="24"/>
        <v>9056039.83</v>
      </c>
      <c r="O90" s="423">
        <f t="shared" si="25"/>
        <v>0</v>
      </c>
      <c r="P90" s="419">
        <f t="shared" si="27"/>
        <v>262950644.58900005</v>
      </c>
      <c r="Q90" s="419">
        <f t="shared" si="28"/>
        <v>155909018.45900002</v>
      </c>
      <c r="R90" s="419">
        <f t="shared" si="29"/>
        <v>0</v>
      </c>
      <c r="S90" s="423">
        <f t="shared" si="26"/>
        <v>3158242</v>
      </c>
    </row>
    <row r="91" spans="1:19" ht="12.75">
      <c r="A91" s="830"/>
      <c r="C91" s="202" t="s">
        <v>636</v>
      </c>
      <c r="D91" s="639">
        <v>1398548.8599999996</v>
      </c>
      <c r="E91" s="639">
        <v>-4901.43</v>
      </c>
      <c r="F91" s="639">
        <v>0</v>
      </c>
      <c r="G91" s="639">
        <v>0</v>
      </c>
      <c r="H91" s="639">
        <v>0</v>
      </c>
      <c r="I91" s="639">
        <v>29379.57</v>
      </c>
      <c r="J91" s="639">
        <v>0</v>
      </c>
      <c r="K91" s="639">
        <v>0</v>
      </c>
      <c r="L91" s="639">
        <v>0</v>
      </c>
      <c r="M91" s="639">
        <v>0</v>
      </c>
      <c r="N91" s="423">
        <f t="shared" si="24"/>
        <v>10449687.26</v>
      </c>
      <c r="O91" s="423">
        <f t="shared" si="25"/>
        <v>0</v>
      </c>
      <c r="P91" s="419">
        <f t="shared" si="27"/>
        <v>262950644.58900005</v>
      </c>
      <c r="Q91" s="419">
        <f t="shared" si="28"/>
        <v>155938398.029</v>
      </c>
      <c r="R91" s="419">
        <f t="shared" si="29"/>
        <v>0</v>
      </c>
      <c r="S91" s="423">
        <f t="shared" si="26"/>
        <v>3158242</v>
      </c>
    </row>
    <row r="92" spans="1:19" ht="12.75">
      <c r="A92" s="830"/>
      <c r="C92" s="202" t="s">
        <v>637</v>
      </c>
      <c r="D92" s="639">
        <v>366030.93999999925</v>
      </c>
      <c r="E92" s="639">
        <v>-133350.1</v>
      </c>
      <c r="F92" s="639">
        <v>0</v>
      </c>
      <c r="G92" s="639">
        <v>0</v>
      </c>
      <c r="H92" s="639">
        <v>0</v>
      </c>
      <c r="I92" s="639">
        <v>-3723.4900000000007</v>
      </c>
      <c r="J92" s="639">
        <v>0</v>
      </c>
      <c r="K92" s="639">
        <v>0</v>
      </c>
      <c r="L92" s="639">
        <v>0</v>
      </c>
      <c r="M92" s="639">
        <v>0</v>
      </c>
      <c r="N92" s="423">
        <f t="shared" si="24"/>
        <v>10682368.1</v>
      </c>
      <c r="O92" s="423">
        <f t="shared" si="25"/>
        <v>0</v>
      </c>
      <c r="P92" s="419">
        <f t="shared" si="27"/>
        <v>262950644.58900005</v>
      </c>
      <c r="Q92" s="419">
        <f t="shared" si="28"/>
        <v>155934674.539</v>
      </c>
      <c r="R92" s="419">
        <f t="shared" si="29"/>
        <v>0</v>
      </c>
      <c r="S92" s="423">
        <f t="shared" si="26"/>
        <v>3158242</v>
      </c>
    </row>
    <row r="93" spans="1:19" ht="12.75">
      <c r="A93" s="830"/>
      <c r="C93" s="202" t="s">
        <v>638</v>
      </c>
      <c r="D93" s="639">
        <v>6771506.720000001</v>
      </c>
      <c r="E93" s="639">
        <v>-272793.85</v>
      </c>
      <c r="F93" s="639">
        <v>0</v>
      </c>
      <c r="G93" s="639">
        <v>0</v>
      </c>
      <c r="H93" s="639">
        <v>0</v>
      </c>
      <c r="I93" s="639">
        <v>0</v>
      </c>
      <c r="J93" s="639">
        <v>0</v>
      </c>
      <c r="K93" s="639">
        <v>0</v>
      </c>
      <c r="L93" s="639">
        <v>0</v>
      </c>
      <c r="M93" s="639">
        <v>0</v>
      </c>
      <c r="N93" s="423">
        <f t="shared" si="24"/>
        <v>17181080.97</v>
      </c>
      <c r="O93" s="423">
        <f t="shared" si="25"/>
        <v>0</v>
      </c>
      <c r="P93" s="419">
        <f t="shared" si="27"/>
        <v>262950644.58900005</v>
      </c>
      <c r="Q93" s="419">
        <f t="shared" si="28"/>
        <v>155934674.539</v>
      </c>
      <c r="R93" s="419">
        <f t="shared" si="29"/>
        <v>0</v>
      </c>
      <c r="S93" s="423">
        <f t="shared" si="26"/>
        <v>3158242</v>
      </c>
    </row>
    <row r="94" spans="1:19" ht="12.75">
      <c r="A94" s="830"/>
      <c r="C94" s="202" t="s">
        <v>639</v>
      </c>
      <c r="D94" s="639">
        <v>3445192.4199999953</v>
      </c>
      <c r="E94" s="639">
        <v>-38777.26</v>
      </c>
      <c r="F94" s="639">
        <v>0</v>
      </c>
      <c r="G94" s="639">
        <v>0</v>
      </c>
      <c r="H94" s="639">
        <v>0</v>
      </c>
      <c r="I94" s="639">
        <v>-21133.64999999851</v>
      </c>
      <c r="J94" s="639">
        <v>0</v>
      </c>
      <c r="K94" s="639">
        <v>0</v>
      </c>
      <c r="L94" s="639">
        <v>0</v>
      </c>
      <c r="M94" s="639">
        <v>0</v>
      </c>
      <c r="N94" s="423">
        <f t="shared" si="24"/>
        <v>20587496.12999999</v>
      </c>
      <c r="O94" s="423">
        <f t="shared" si="25"/>
        <v>0</v>
      </c>
      <c r="P94" s="419">
        <f t="shared" si="27"/>
        <v>262950644.58900005</v>
      </c>
      <c r="Q94" s="419">
        <f t="shared" si="28"/>
        <v>155913540.889</v>
      </c>
      <c r="R94" s="419">
        <f t="shared" si="29"/>
        <v>0</v>
      </c>
      <c r="S94" s="423">
        <f t="shared" si="26"/>
        <v>3158242</v>
      </c>
    </row>
    <row r="95" spans="1:20" ht="12.75">
      <c r="A95" s="830"/>
      <c r="C95" s="422" t="s">
        <v>640</v>
      </c>
      <c r="D95" s="640">
        <v>4145353.8500000024</v>
      </c>
      <c r="E95" s="640">
        <v>0</v>
      </c>
      <c r="F95" s="640">
        <v>0</v>
      </c>
      <c r="G95" s="640">
        <v>0</v>
      </c>
      <c r="H95" s="640">
        <v>0</v>
      </c>
      <c r="I95" s="640">
        <v>151.79</v>
      </c>
      <c r="J95" s="640">
        <v>0</v>
      </c>
      <c r="K95" s="640">
        <v>0</v>
      </c>
      <c r="L95" s="640">
        <v>0</v>
      </c>
      <c r="M95" s="640">
        <v>0</v>
      </c>
      <c r="N95" s="425">
        <f t="shared" si="24"/>
        <v>24732849.979999993</v>
      </c>
      <c r="O95" s="425">
        <f t="shared" si="25"/>
        <v>0</v>
      </c>
      <c r="P95" s="424">
        <f t="shared" si="27"/>
        <v>262950644.58900005</v>
      </c>
      <c r="Q95" s="424">
        <f t="shared" si="28"/>
        <v>155913692.679</v>
      </c>
      <c r="R95" s="424">
        <f t="shared" si="29"/>
        <v>0</v>
      </c>
      <c r="S95" s="425">
        <f t="shared" si="26"/>
        <v>3158242</v>
      </c>
      <c r="T95" s="422"/>
    </row>
    <row r="96" spans="1:20" ht="12.75">
      <c r="A96" s="830"/>
      <c r="C96" s="202" t="s">
        <v>458</v>
      </c>
      <c r="D96" s="423">
        <f>SUM(D84:D95)</f>
        <v>27284567.149999995</v>
      </c>
      <c r="E96" s="423">
        <f>SUM(E84:E95)</f>
        <v>-2551717.17</v>
      </c>
      <c r="F96" s="423">
        <f>SUM(F84:F95)</f>
        <v>0</v>
      </c>
      <c r="G96" s="423">
        <f>SUM(G84:G95)</f>
        <v>0</v>
      </c>
      <c r="H96" s="419"/>
      <c r="I96" s="423">
        <f>SUM(I84:I95)</f>
        <v>-664571.4399999985</v>
      </c>
      <c r="J96" s="423">
        <f>SUM(J84:J95)</f>
        <v>0</v>
      </c>
      <c r="K96" s="423">
        <f>SUM(K84:K95)</f>
        <v>0</v>
      </c>
      <c r="L96" s="423">
        <f>SUM(L84:L95)</f>
        <v>0</v>
      </c>
      <c r="M96" s="423">
        <f>SUM(M84:M95)</f>
        <v>0</v>
      </c>
      <c r="N96" s="423">
        <f aca="true" t="shared" si="30" ref="N96:S96">AVERAGE(N83:N95)</f>
        <v>11074233.301666664</v>
      </c>
      <c r="O96" s="423">
        <f t="shared" si="30"/>
        <v>0</v>
      </c>
      <c r="P96" s="423">
        <f t="shared" si="30"/>
        <v>262950644.58900008</v>
      </c>
      <c r="Q96" s="423">
        <f t="shared" si="30"/>
        <v>156126480.16976923</v>
      </c>
      <c r="R96" s="423">
        <f t="shared" si="30"/>
        <v>0</v>
      </c>
      <c r="S96" s="423">
        <f t="shared" si="30"/>
        <v>3158242</v>
      </c>
      <c r="T96" s="423">
        <f>SUM(N96:S96)</f>
        <v>433309600.06043595</v>
      </c>
    </row>
    <row r="97" spans="3:18" ht="12.75">
      <c r="C97" s="202"/>
      <c r="D97" s="423"/>
      <c r="E97" s="430"/>
      <c r="F97" s="423"/>
      <c r="G97" s="423"/>
      <c r="H97" s="419"/>
      <c r="I97" s="419"/>
      <c r="J97" s="419"/>
      <c r="K97" s="419"/>
      <c r="L97" s="423"/>
      <c r="M97" s="423"/>
      <c r="N97" s="423"/>
      <c r="O97" s="423"/>
      <c r="Q97" s="423"/>
      <c r="R97" s="423"/>
    </row>
    <row r="98" spans="3:15" ht="12.75">
      <c r="C98" s="202"/>
      <c r="D98" s="423"/>
      <c r="E98" s="976" t="s">
        <v>824</v>
      </c>
      <c r="G98" s="423"/>
      <c r="H98" s="419"/>
      <c r="I98" s="423">
        <f>N96+P96+Q96+S96</f>
        <v>433309600.06043595</v>
      </c>
      <c r="K98" s="419"/>
      <c r="M98" s="423"/>
      <c r="N98" s="423"/>
      <c r="O98" s="423"/>
    </row>
    <row r="99" spans="3:15" ht="12.75">
      <c r="C99" s="202"/>
      <c r="D99" s="423"/>
      <c r="E99" s="976" t="s">
        <v>822</v>
      </c>
      <c r="G99" s="423"/>
      <c r="H99" s="419"/>
      <c r="I99" s="423">
        <f>D96+G96+I96+L96</f>
        <v>26619995.709999997</v>
      </c>
      <c r="K99" s="419"/>
      <c r="M99" s="419"/>
      <c r="N99" s="419"/>
      <c r="O99" s="423"/>
    </row>
    <row r="100" spans="3:15" ht="12.75">
      <c r="C100" s="202"/>
      <c r="D100" s="423"/>
      <c r="E100" s="423"/>
      <c r="F100" s="423"/>
      <c r="G100" s="423"/>
      <c r="H100" s="419"/>
      <c r="I100" s="423"/>
      <c r="K100" s="419"/>
      <c r="N100" s="423"/>
      <c r="O100" s="423"/>
    </row>
    <row r="101" spans="3:14" ht="12.75">
      <c r="C101" s="202"/>
      <c r="D101" s="423"/>
      <c r="E101" s="976" t="s">
        <v>812</v>
      </c>
      <c r="G101" s="423"/>
      <c r="H101" s="419"/>
      <c r="I101" s="423">
        <f>+O96+R96</f>
        <v>0</v>
      </c>
      <c r="M101" s="423"/>
      <c r="N101" s="423"/>
    </row>
    <row r="102" spans="3:15" ht="12.75">
      <c r="C102" s="202"/>
      <c r="D102" s="423"/>
      <c r="E102" s="423"/>
      <c r="F102" s="423"/>
      <c r="G102" s="423"/>
      <c r="H102" s="419"/>
      <c r="I102" s="419"/>
      <c r="J102" s="419"/>
      <c r="K102" s="423"/>
      <c r="L102" s="423"/>
      <c r="M102" s="423"/>
      <c r="N102" s="423"/>
      <c r="O102" s="423"/>
    </row>
    <row r="103" spans="3:15" ht="12.75">
      <c r="C103" s="202"/>
      <c r="D103" s="423"/>
      <c r="E103" s="423"/>
      <c r="F103" s="423"/>
      <c r="G103" s="423"/>
      <c r="H103" s="419"/>
      <c r="I103" s="419"/>
      <c r="J103" s="419"/>
      <c r="K103" s="419"/>
      <c r="L103" s="423"/>
      <c r="M103" s="423"/>
      <c r="N103" s="423"/>
      <c r="O103" s="423"/>
    </row>
    <row r="104" spans="3:19" ht="12.75">
      <c r="C104" s="417"/>
      <c r="D104" s="202" t="s">
        <v>801</v>
      </c>
      <c r="E104" s="202" t="s">
        <v>803</v>
      </c>
      <c r="F104" s="202" t="s">
        <v>802</v>
      </c>
      <c r="G104" s="202" t="s">
        <v>804</v>
      </c>
      <c r="H104" s="202" t="s">
        <v>805</v>
      </c>
      <c r="I104" s="202" t="s">
        <v>806</v>
      </c>
      <c r="J104" s="202" t="s">
        <v>807</v>
      </c>
      <c r="K104" s="202" t="s">
        <v>808</v>
      </c>
      <c r="L104" s="202" t="s">
        <v>813</v>
      </c>
      <c r="M104" s="202" t="s">
        <v>814</v>
      </c>
      <c r="N104" s="202" t="s">
        <v>815</v>
      </c>
      <c r="O104" s="202" t="s">
        <v>816</v>
      </c>
      <c r="P104" s="202" t="s">
        <v>817</v>
      </c>
      <c r="Q104" s="202" t="s">
        <v>810</v>
      </c>
      <c r="R104" s="202" t="s">
        <v>818</v>
      </c>
      <c r="S104" s="202" t="s">
        <v>819</v>
      </c>
    </row>
    <row r="105" spans="3:19" ht="12.75">
      <c r="C105" s="417"/>
      <c r="D105" s="415" t="s">
        <v>149</v>
      </c>
      <c r="E105" s="202" t="s">
        <v>126</v>
      </c>
      <c r="F105" s="415" t="s">
        <v>591</v>
      </c>
      <c r="G105" s="415" t="s">
        <v>669</v>
      </c>
      <c r="H105" s="415" t="s">
        <v>151</v>
      </c>
      <c r="I105" s="202" t="s">
        <v>126</v>
      </c>
      <c r="J105" s="415" t="s">
        <v>591</v>
      </c>
      <c r="K105" s="415" t="s">
        <v>382</v>
      </c>
      <c r="L105" s="415" t="s">
        <v>809</v>
      </c>
      <c r="M105" s="202" t="s">
        <v>126</v>
      </c>
      <c r="N105" s="415" t="s">
        <v>591</v>
      </c>
      <c r="O105" s="415" t="s">
        <v>382</v>
      </c>
      <c r="P105" s="415" t="s">
        <v>115</v>
      </c>
      <c r="Q105" s="202" t="s">
        <v>126</v>
      </c>
      <c r="R105" s="415" t="s">
        <v>591</v>
      </c>
      <c r="S105" s="415" t="s">
        <v>382</v>
      </c>
    </row>
    <row r="106" spans="3:19" ht="12.75">
      <c r="C106" s="202"/>
      <c r="D106" s="415" t="s">
        <v>124</v>
      </c>
      <c r="E106" s="415" t="s">
        <v>127</v>
      </c>
      <c r="F106" s="415" t="s">
        <v>128</v>
      </c>
      <c r="G106" s="415"/>
      <c r="H106" s="415" t="s">
        <v>125</v>
      </c>
      <c r="I106" s="415" t="s">
        <v>127</v>
      </c>
      <c r="J106" s="415" t="s">
        <v>128</v>
      </c>
      <c r="K106" s="415" t="s">
        <v>383</v>
      </c>
      <c r="L106" s="415" t="s">
        <v>125</v>
      </c>
      <c r="M106" s="415" t="s">
        <v>127</v>
      </c>
      <c r="N106" s="415" t="s">
        <v>128</v>
      </c>
      <c r="O106" s="415" t="s">
        <v>383</v>
      </c>
      <c r="P106" s="415" t="s">
        <v>125</v>
      </c>
      <c r="Q106" s="415" t="s">
        <v>127</v>
      </c>
      <c r="R106" s="415" t="s">
        <v>128</v>
      </c>
      <c r="S106" s="415" t="s">
        <v>383</v>
      </c>
    </row>
    <row r="107" spans="3:19" ht="12.75">
      <c r="C107" s="202" t="s">
        <v>150</v>
      </c>
      <c r="D107" s="927">
        <f>+N83</f>
        <v>0</v>
      </c>
      <c r="E107" s="762">
        <v>0.0022</v>
      </c>
      <c r="F107" s="423">
        <f aca="true" t="shared" si="31" ref="F107:F119">D107*E107</f>
        <v>0</v>
      </c>
      <c r="G107" s="423">
        <f>F107</f>
        <v>0</v>
      </c>
      <c r="H107" s="460">
        <f>P83</f>
        <v>262950644.58900005</v>
      </c>
      <c r="I107" s="762">
        <f>E107</f>
        <v>0.0022</v>
      </c>
      <c r="J107" s="423">
        <f aca="true" t="shared" si="32" ref="J107:J119">H107*I107</f>
        <v>578491.4180958001</v>
      </c>
      <c r="K107" s="639">
        <v>47572938.43662611</v>
      </c>
      <c r="L107" s="460">
        <f>Q83</f>
        <v>156578264.119</v>
      </c>
      <c r="M107" s="762">
        <f>E107</f>
        <v>0.0022</v>
      </c>
      <c r="N107" s="423">
        <f>L107*M107</f>
        <v>344472.1810618</v>
      </c>
      <c r="O107" s="639">
        <v>12248869.396845901</v>
      </c>
      <c r="P107" s="460">
        <f aca="true" t="shared" si="33" ref="P107:P119">S83</f>
        <v>3158242</v>
      </c>
      <c r="Q107" s="762">
        <f>E107</f>
        <v>0.0022</v>
      </c>
      <c r="R107" s="423">
        <f aca="true" t="shared" si="34" ref="R107:R119">P107*Q107</f>
        <v>6948.1324</v>
      </c>
      <c r="S107" s="639">
        <v>437398.95923699957</v>
      </c>
    </row>
    <row r="108" spans="3:19" ht="12.75">
      <c r="C108" s="202" t="s">
        <v>630</v>
      </c>
      <c r="D108" s="423">
        <f>+N84</f>
        <v>4945422.88</v>
      </c>
      <c r="E108" s="453">
        <v>0.0022</v>
      </c>
      <c r="F108" s="423">
        <f>D108*E108</f>
        <v>10879.930336000001</v>
      </c>
      <c r="G108" s="423">
        <f>G107+F108</f>
        <v>10879.930336000001</v>
      </c>
      <c r="H108" s="460">
        <f aca="true" t="shared" si="35" ref="H108:H119">P84</f>
        <v>262950644.58900005</v>
      </c>
      <c r="I108" s="453">
        <f>+E108</f>
        <v>0.0022</v>
      </c>
      <c r="J108" s="423">
        <f t="shared" si="32"/>
        <v>578491.4180958001</v>
      </c>
      <c r="K108" s="423">
        <f>J108+K107</f>
        <v>48151429.854721904</v>
      </c>
      <c r="L108" s="460">
        <f>Q84</f>
        <v>156383530.649</v>
      </c>
      <c r="M108" s="453">
        <f>+E108</f>
        <v>0.0022</v>
      </c>
      <c r="N108" s="423">
        <f aca="true" t="shared" si="36" ref="N108:N119">L108*M108</f>
        <v>344043.7674278</v>
      </c>
      <c r="O108" s="423">
        <f>N108+O107</f>
        <v>12592913.164273702</v>
      </c>
      <c r="P108" s="460">
        <f t="shared" si="33"/>
        <v>3158242</v>
      </c>
      <c r="Q108" s="453">
        <f>+E108</f>
        <v>0.0022</v>
      </c>
      <c r="R108" s="423">
        <f t="shared" si="34"/>
        <v>6948.1324</v>
      </c>
      <c r="S108" s="423">
        <f>R108+S107</f>
        <v>444347.09163699957</v>
      </c>
    </row>
    <row r="109" spans="3:19" ht="12.75">
      <c r="C109" s="202" t="s">
        <v>631</v>
      </c>
      <c r="D109" s="423">
        <f aca="true" t="shared" si="37" ref="D109:D119">+N85</f>
        <v>4345906.97</v>
      </c>
      <c r="E109" s="453">
        <v>0.0022</v>
      </c>
      <c r="F109" s="423">
        <f t="shared" si="31"/>
        <v>9560.995334</v>
      </c>
      <c r="G109" s="423">
        <f aca="true" t="shared" si="38" ref="G109:G119">G108+F109</f>
        <v>20440.92567</v>
      </c>
      <c r="H109" s="460">
        <f t="shared" si="35"/>
        <v>262950644.58900005</v>
      </c>
      <c r="I109" s="453">
        <f aca="true" t="shared" si="39" ref="I109:I119">+E109</f>
        <v>0.0022</v>
      </c>
      <c r="J109" s="423">
        <f t="shared" si="32"/>
        <v>578491.4180958001</v>
      </c>
      <c r="K109" s="423">
        <f aca="true" t="shared" si="40" ref="K109:K119">J109+K108</f>
        <v>48729921.2728177</v>
      </c>
      <c r="L109" s="460">
        <f aca="true" t="shared" si="41" ref="L109:L119">Q85</f>
        <v>156336366.449</v>
      </c>
      <c r="M109" s="453">
        <f aca="true" t="shared" si="42" ref="M109:M119">+E109</f>
        <v>0.0022</v>
      </c>
      <c r="N109" s="423">
        <f t="shared" si="36"/>
        <v>343940.0061878</v>
      </c>
      <c r="O109" s="423">
        <f aca="true" t="shared" si="43" ref="O109:O119">N109+O108</f>
        <v>12936853.170461502</v>
      </c>
      <c r="P109" s="460">
        <f t="shared" si="33"/>
        <v>3158242</v>
      </c>
      <c r="Q109" s="453">
        <f aca="true" t="shared" si="44" ref="Q109:Q119">+E109</f>
        <v>0.0022</v>
      </c>
      <c r="R109" s="423">
        <f t="shared" si="34"/>
        <v>6948.1324</v>
      </c>
      <c r="S109" s="423">
        <f aca="true" t="shared" si="45" ref="S109:S119">R109+S108</f>
        <v>451295.22403699957</v>
      </c>
    </row>
    <row r="110" spans="3:19" ht="12.75">
      <c r="C110" s="202" t="s">
        <v>632</v>
      </c>
      <c r="D110" s="423">
        <f t="shared" si="37"/>
        <v>6523888.71</v>
      </c>
      <c r="E110" s="453">
        <v>0.0022</v>
      </c>
      <c r="F110" s="423">
        <f t="shared" si="31"/>
        <v>14352.555162</v>
      </c>
      <c r="G110" s="423">
        <f>G109+F110</f>
        <v>34793.480832</v>
      </c>
      <c r="H110" s="460">
        <f t="shared" si="35"/>
        <v>262950644.58900005</v>
      </c>
      <c r="I110" s="453">
        <f t="shared" si="39"/>
        <v>0.0022</v>
      </c>
      <c r="J110" s="423">
        <f t="shared" si="32"/>
        <v>578491.4180958001</v>
      </c>
      <c r="K110" s="423">
        <f t="shared" si="40"/>
        <v>49308412.6909135</v>
      </c>
      <c r="L110" s="460">
        <f t="shared" si="41"/>
        <v>156335582.679</v>
      </c>
      <c r="M110" s="453">
        <f t="shared" si="42"/>
        <v>0.0022</v>
      </c>
      <c r="N110" s="423">
        <f t="shared" si="36"/>
        <v>343938.2818938</v>
      </c>
      <c r="O110" s="423">
        <f t="shared" si="43"/>
        <v>13280791.452355303</v>
      </c>
      <c r="P110" s="460">
        <f t="shared" si="33"/>
        <v>3158242</v>
      </c>
      <c r="Q110" s="453">
        <f t="shared" si="44"/>
        <v>0.0022</v>
      </c>
      <c r="R110" s="423">
        <f t="shared" si="34"/>
        <v>6948.1324</v>
      </c>
      <c r="S110" s="423">
        <f t="shared" si="45"/>
        <v>458243.3564369996</v>
      </c>
    </row>
    <row r="111" spans="3:19" ht="12.75">
      <c r="C111" s="202" t="s">
        <v>633</v>
      </c>
      <c r="D111" s="423">
        <f t="shared" si="37"/>
        <v>8207601.920000001</v>
      </c>
      <c r="E111" s="453">
        <v>0.0022</v>
      </c>
      <c r="F111" s="423">
        <f t="shared" si="31"/>
        <v>18056.724224</v>
      </c>
      <c r="G111" s="423">
        <f t="shared" si="38"/>
        <v>52850.205056000006</v>
      </c>
      <c r="H111" s="460">
        <f t="shared" si="35"/>
        <v>262950644.58900005</v>
      </c>
      <c r="I111" s="453">
        <f t="shared" si="39"/>
        <v>0.0022</v>
      </c>
      <c r="J111" s="423">
        <f t="shared" si="32"/>
        <v>578491.4180958001</v>
      </c>
      <c r="K111" s="423">
        <f t="shared" si="40"/>
        <v>49886904.109009296</v>
      </c>
      <c r="L111" s="460">
        <f t="shared" si="41"/>
        <v>156274568.539</v>
      </c>
      <c r="M111" s="453">
        <f t="shared" si="42"/>
        <v>0.0022</v>
      </c>
      <c r="N111" s="423">
        <f t="shared" si="36"/>
        <v>343804.05078580003</v>
      </c>
      <c r="O111" s="423">
        <f t="shared" si="43"/>
        <v>13624595.503141103</v>
      </c>
      <c r="P111" s="460">
        <f t="shared" si="33"/>
        <v>3158242</v>
      </c>
      <c r="Q111" s="453">
        <f t="shared" si="44"/>
        <v>0.0022</v>
      </c>
      <c r="R111" s="423">
        <f t="shared" si="34"/>
        <v>6948.1324</v>
      </c>
      <c r="S111" s="423">
        <f t="shared" si="45"/>
        <v>465191.4888369996</v>
      </c>
    </row>
    <row r="112" spans="3:19" ht="12.75">
      <c r="C112" s="202" t="s">
        <v>628</v>
      </c>
      <c r="D112" s="423">
        <f t="shared" si="37"/>
        <v>7835037.11</v>
      </c>
      <c r="E112" s="453">
        <v>0.0022</v>
      </c>
      <c r="F112" s="423">
        <f t="shared" si="31"/>
        <v>17237.081642</v>
      </c>
      <c r="G112" s="423">
        <f t="shared" si="38"/>
        <v>70087.28669800001</v>
      </c>
      <c r="H112" s="460">
        <f t="shared" si="35"/>
        <v>262950644.58900005</v>
      </c>
      <c r="I112" s="453">
        <f t="shared" si="39"/>
        <v>0.0022</v>
      </c>
      <c r="J112" s="423">
        <f t="shared" si="32"/>
        <v>578491.4180958001</v>
      </c>
      <c r="K112" s="423">
        <f t="shared" si="40"/>
        <v>50465395.52710509</v>
      </c>
      <c r="L112" s="460">
        <f t="shared" si="41"/>
        <v>156187296.949</v>
      </c>
      <c r="M112" s="453">
        <f t="shared" si="42"/>
        <v>0.0022</v>
      </c>
      <c r="N112" s="423">
        <f t="shared" si="36"/>
        <v>343612.0532878</v>
      </c>
      <c r="O112" s="423">
        <f t="shared" si="43"/>
        <v>13968207.556428904</v>
      </c>
      <c r="P112" s="460">
        <f t="shared" si="33"/>
        <v>3158242</v>
      </c>
      <c r="Q112" s="453">
        <f t="shared" si="44"/>
        <v>0.0022</v>
      </c>
      <c r="R112" s="423">
        <f t="shared" si="34"/>
        <v>6948.1324</v>
      </c>
      <c r="S112" s="423">
        <f t="shared" si="45"/>
        <v>472139.6212369996</v>
      </c>
    </row>
    <row r="113" spans="3:19" ht="12.75">
      <c r="C113" s="202" t="s">
        <v>634</v>
      </c>
      <c r="D113" s="423">
        <f t="shared" si="37"/>
        <v>8343419.760000001</v>
      </c>
      <c r="E113" s="453">
        <v>0.0022</v>
      </c>
      <c r="F113" s="423">
        <f t="shared" si="31"/>
        <v>18355.523472000004</v>
      </c>
      <c r="G113" s="423">
        <f t="shared" si="38"/>
        <v>88442.81017000001</v>
      </c>
      <c r="H113" s="460">
        <f t="shared" si="35"/>
        <v>262950644.58900005</v>
      </c>
      <c r="I113" s="453">
        <f t="shared" si="39"/>
        <v>0.0022</v>
      </c>
      <c r="J113" s="423">
        <f t="shared" si="32"/>
        <v>578491.4180958001</v>
      </c>
      <c r="K113" s="423">
        <f t="shared" si="40"/>
        <v>51043886.94520089</v>
      </c>
      <c r="L113" s="460">
        <f t="shared" si="41"/>
        <v>156004633.689</v>
      </c>
      <c r="M113" s="453">
        <f t="shared" si="42"/>
        <v>0.0022</v>
      </c>
      <c r="N113" s="423">
        <f t="shared" si="36"/>
        <v>343210.1941158</v>
      </c>
      <c r="O113" s="423">
        <f t="shared" si="43"/>
        <v>14311417.750544704</v>
      </c>
      <c r="P113" s="460">
        <f t="shared" si="33"/>
        <v>3158242</v>
      </c>
      <c r="Q113" s="453">
        <f t="shared" si="44"/>
        <v>0.0022</v>
      </c>
      <c r="R113" s="423">
        <f t="shared" si="34"/>
        <v>6948.1324</v>
      </c>
      <c r="S113" s="423">
        <f t="shared" si="45"/>
        <v>479087.7536369996</v>
      </c>
    </row>
    <row r="114" spans="3:19" ht="12.75">
      <c r="C114" s="202" t="s">
        <v>635</v>
      </c>
      <c r="D114" s="423">
        <f t="shared" si="37"/>
        <v>9056039.83</v>
      </c>
      <c r="E114" s="453">
        <f aca="true" t="shared" si="46" ref="E114:E119">+E113</f>
        <v>0.0022</v>
      </c>
      <c r="F114" s="423">
        <f t="shared" si="31"/>
        <v>19923.287626</v>
      </c>
      <c r="G114" s="423">
        <f t="shared" si="38"/>
        <v>108366.09779600002</v>
      </c>
      <c r="H114" s="460">
        <f t="shared" si="35"/>
        <v>262950644.58900005</v>
      </c>
      <c r="I114" s="453">
        <f t="shared" si="39"/>
        <v>0.0022</v>
      </c>
      <c r="J114" s="423">
        <f t="shared" si="32"/>
        <v>578491.4180958001</v>
      </c>
      <c r="K114" s="423">
        <f t="shared" si="40"/>
        <v>51622378.36329669</v>
      </c>
      <c r="L114" s="460">
        <f t="shared" si="41"/>
        <v>155909018.45900002</v>
      </c>
      <c r="M114" s="453">
        <f t="shared" si="42"/>
        <v>0.0022</v>
      </c>
      <c r="N114" s="423">
        <f t="shared" si="36"/>
        <v>342999.84060980007</v>
      </c>
      <c r="O114" s="423">
        <f t="shared" si="43"/>
        <v>14654417.591154505</v>
      </c>
      <c r="P114" s="460">
        <f t="shared" si="33"/>
        <v>3158242</v>
      </c>
      <c r="Q114" s="453">
        <f t="shared" si="44"/>
        <v>0.0022</v>
      </c>
      <c r="R114" s="423">
        <f t="shared" si="34"/>
        <v>6948.1324</v>
      </c>
      <c r="S114" s="423">
        <f t="shared" si="45"/>
        <v>486035.8860369996</v>
      </c>
    </row>
    <row r="115" spans="3:19" ht="12.75">
      <c r="C115" s="202" t="s">
        <v>636</v>
      </c>
      <c r="D115" s="423">
        <f t="shared" si="37"/>
        <v>10449687.26</v>
      </c>
      <c r="E115" s="453">
        <f t="shared" si="46"/>
        <v>0.0022</v>
      </c>
      <c r="F115" s="423">
        <f t="shared" si="31"/>
        <v>22989.311972</v>
      </c>
      <c r="G115" s="423">
        <f t="shared" si="38"/>
        <v>131355.409768</v>
      </c>
      <c r="H115" s="460">
        <f t="shared" si="35"/>
        <v>262950644.58900005</v>
      </c>
      <c r="I115" s="453">
        <f t="shared" si="39"/>
        <v>0.0022</v>
      </c>
      <c r="J115" s="423">
        <f t="shared" si="32"/>
        <v>578491.4180958001</v>
      </c>
      <c r="K115" s="423">
        <f t="shared" si="40"/>
        <v>52200869.781392485</v>
      </c>
      <c r="L115" s="460">
        <f t="shared" si="41"/>
        <v>155938398.029</v>
      </c>
      <c r="M115" s="453">
        <f t="shared" si="42"/>
        <v>0.0022</v>
      </c>
      <c r="N115" s="423">
        <f t="shared" si="36"/>
        <v>343064.4756638</v>
      </c>
      <c r="O115" s="423">
        <f t="shared" si="43"/>
        <v>14997482.066818304</v>
      </c>
      <c r="P115" s="460">
        <f t="shared" si="33"/>
        <v>3158242</v>
      </c>
      <c r="Q115" s="453">
        <f t="shared" si="44"/>
        <v>0.0022</v>
      </c>
      <c r="R115" s="423">
        <f t="shared" si="34"/>
        <v>6948.1324</v>
      </c>
      <c r="S115" s="423">
        <f t="shared" si="45"/>
        <v>492984.0184369996</v>
      </c>
    </row>
    <row r="116" spans="3:19" ht="12.75">
      <c r="C116" s="202" t="s">
        <v>637</v>
      </c>
      <c r="D116" s="423">
        <f t="shared" si="37"/>
        <v>10682368.1</v>
      </c>
      <c r="E116" s="453">
        <f t="shared" si="46"/>
        <v>0.0022</v>
      </c>
      <c r="F116" s="423">
        <f t="shared" si="31"/>
        <v>23501.20982</v>
      </c>
      <c r="G116" s="423">
        <f t="shared" si="38"/>
        <v>154856.619588</v>
      </c>
      <c r="H116" s="460">
        <f t="shared" si="35"/>
        <v>262950644.58900005</v>
      </c>
      <c r="I116" s="453">
        <f t="shared" si="39"/>
        <v>0.0022</v>
      </c>
      <c r="J116" s="423">
        <f t="shared" si="32"/>
        <v>578491.4180958001</v>
      </c>
      <c r="K116" s="423">
        <f t="shared" si="40"/>
        <v>52779361.19948828</v>
      </c>
      <c r="L116" s="460">
        <f t="shared" si="41"/>
        <v>155934674.539</v>
      </c>
      <c r="M116" s="453">
        <f t="shared" si="42"/>
        <v>0.0022</v>
      </c>
      <c r="N116" s="423">
        <f t="shared" si="36"/>
        <v>343056.28398580005</v>
      </c>
      <c r="O116" s="423">
        <f t="shared" si="43"/>
        <v>15340538.350804104</v>
      </c>
      <c r="P116" s="460">
        <f t="shared" si="33"/>
        <v>3158242</v>
      </c>
      <c r="Q116" s="453">
        <f t="shared" si="44"/>
        <v>0.0022</v>
      </c>
      <c r="R116" s="423">
        <f t="shared" si="34"/>
        <v>6948.1324</v>
      </c>
      <c r="S116" s="423">
        <f t="shared" si="45"/>
        <v>499932.1508369996</v>
      </c>
    </row>
    <row r="117" spans="3:19" ht="12.75">
      <c r="C117" s="202" t="s">
        <v>638</v>
      </c>
      <c r="D117" s="423">
        <f t="shared" si="37"/>
        <v>17181080.97</v>
      </c>
      <c r="E117" s="453">
        <f t="shared" si="46"/>
        <v>0.0022</v>
      </c>
      <c r="F117" s="423">
        <f t="shared" si="31"/>
        <v>37798.378134</v>
      </c>
      <c r="G117" s="423">
        <f t="shared" si="38"/>
        <v>192654.997722</v>
      </c>
      <c r="H117" s="460">
        <f t="shared" si="35"/>
        <v>262950644.58900005</v>
      </c>
      <c r="I117" s="453">
        <f t="shared" si="39"/>
        <v>0.0022</v>
      </c>
      <c r="J117" s="423">
        <f t="shared" si="32"/>
        <v>578491.4180958001</v>
      </c>
      <c r="K117" s="423">
        <f t="shared" si="40"/>
        <v>53357852.61758408</v>
      </c>
      <c r="L117" s="460">
        <f t="shared" si="41"/>
        <v>155934674.539</v>
      </c>
      <c r="M117" s="453">
        <f t="shared" si="42"/>
        <v>0.0022</v>
      </c>
      <c r="N117" s="423">
        <f t="shared" si="36"/>
        <v>343056.28398580005</v>
      </c>
      <c r="O117" s="423">
        <f t="shared" si="43"/>
        <v>15683594.634789903</v>
      </c>
      <c r="P117" s="460">
        <f t="shared" si="33"/>
        <v>3158242</v>
      </c>
      <c r="Q117" s="453">
        <f t="shared" si="44"/>
        <v>0.0022</v>
      </c>
      <c r="R117" s="423">
        <f t="shared" si="34"/>
        <v>6948.1324</v>
      </c>
      <c r="S117" s="423">
        <f t="shared" si="45"/>
        <v>506880.2832369996</v>
      </c>
    </row>
    <row r="118" spans="3:19" ht="12.75">
      <c r="C118" s="202" t="s">
        <v>639</v>
      </c>
      <c r="D118" s="423">
        <f t="shared" si="37"/>
        <v>20587496.12999999</v>
      </c>
      <c r="E118" s="453">
        <f t="shared" si="46"/>
        <v>0.0022</v>
      </c>
      <c r="F118" s="423">
        <f t="shared" si="31"/>
        <v>45292.491485999984</v>
      </c>
      <c r="G118" s="423">
        <f t="shared" si="38"/>
        <v>237947.48920799998</v>
      </c>
      <c r="H118" s="460">
        <f t="shared" si="35"/>
        <v>262950644.58900005</v>
      </c>
      <c r="I118" s="453">
        <f t="shared" si="39"/>
        <v>0.0022</v>
      </c>
      <c r="J118" s="423">
        <f t="shared" si="32"/>
        <v>578491.4180958001</v>
      </c>
      <c r="K118" s="423">
        <f t="shared" si="40"/>
        <v>53936344.03567988</v>
      </c>
      <c r="L118" s="460">
        <f t="shared" si="41"/>
        <v>155913540.889</v>
      </c>
      <c r="M118" s="453">
        <f t="shared" si="42"/>
        <v>0.0022</v>
      </c>
      <c r="N118" s="423">
        <f t="shared" si="36"/>
        <v>343009.7899558</v>
      </c>
      <c r="O118" s="423">
        <f t="shared" si="43"/>
        <v>16026604.424745703</v>
      </c>
      <c r="P118" s="460">
        <f t="shared" si="33"/>
        <v>3158242</v>
      </c>
      <c r="Q118" s="453">
        <f t="shared" si="44"/>
        <v>0.0022</v>
      </c>
      <c r="R118" s="423">
        <f t="shared" si="34"/>
        <v>6948.1324</v>
      </c>
      <c r="S118" s="423">
        <f t="shared" si="45"/>
        <v>513828.4156369996</v>
      </c>
    </row>
    <row r="119" spans="3:19" ht="12.75">
      <c r="C119" s="422" t="s">
        <v>640</v>
      </c>
      <c r="D119" s="425">
        <f t="shared" si="37"/>
        <v>24732849.979999993</v>
      </c>
      <c r="E119" s="454">
        <f t="shared" si="46"/>
        <v>0.0022</v>
      </c>
      <c r="F119" s="425">
        <f t="shared" si="31"/>
        <v>54412.26995599999</v>
      </c>
      <c r="G119" s="425">
        <f t="shared" si="38"/>
        <v>292359.759164</v>
      </c>
      <c r="H119" s="425">
        <f t="shared" si="35"/>
        <v>262950644.58900005</v>
      </c>
      <c r="I119" s="454">
        <f t="shared" si="39"/>
        <v>0.0022</v>
      </c>
      <c r="J119" s="425">
        <f t="shared" si="32"/>
        <v>578491.4180958001</v>
      </c>
      <c r="K119" s="425">
        <f t="shared" si="40"/>
        <v>54514835.453775674</v>
      </c>
      <c r="L119" s="461">
        <f t="shared" si="41"/>
        <v>155913692.679</v>
      </c>
      <c r="M119" s="454">
        <f t="shared" si="42"/>
        <v>0.0022</v>
      </c>
      <c r="N119" s="425">
        <f t="shared" si="36"/>
        <v>343010.1238938</v>
      </c>
      <c r="O119" s="425">
        <f t="shared" si="43"/>
        <v>16369614.548639502</v>
      </c>
      <c r="P119" s="461">
        <f t="shared" si="33"/>
        <v>3158242</v>
      </c>
      <c r="Q119" s="454">
        <f t="shared" si="44"/>
        <v>0.0022</v>
      </c>
      <c r="R119" s="425">
        <f t="shared" si="34"/>
        <v>6948.1324</v>
      </c>
      <c r="S119" s="425">
        <f t="shared" si="45"/>
        <v>520776.5480369996</v>
      </c>
    </row>
    <row r="120" spans="3:19" ht="12.75">
      <c r="C120" s="202" t="s">
        <v>458</v>
      </c>
      <c r="D120" s="423"/>
      <c r="E120" s="423"/>
      <c r="F120" s="423">
        <f>SUM(F108:F119)</f>
        <v>292359.759164</v>
      </c>
      <c r="G120" s="423">
        <f>AVERAGE(G107:G119)</f>
        <v>107310.38553907692</v>
      </c>
      <c r="H120" s="423">
        <f>AVERAGE(H107:H119)</f>
        <v>262950644.58900008</v>
      </c>
      <c r="J120" s="423">
        <f>SUM(J108:J119)</f>
        <v>6941897.017149601</v>
      </c>
      <c r="K120" s="423">
        <f>AVERAGE(K107:K119)</f>
        <v>51043886.945200905</v>
      </c>
      <c r="L120" s="423">
        <f>AVERAGE(L107:L119)</f>
        <v>156126480.16976923</v>
      </c>
      <c r="N120" s="423">
        <f>SUM(N108:N119)</f>
        <v>4120745.1517936005</v>
      </c>
      <c r="O120" s="423">
        <f>AVERAGE(O107:O119)</f>
        <v>14310453.816231012</v>
      </c>
      <c r="P120" s="423">
        <f>AVERAGE(P107:P119)</f>
        <v>3158242</v>
      </c>
      <c r="R120" s="423">
        <f>SUM(R108:R119)</f>
        <v>83377.58880000001</v>
      </c>
      <c r="S120" s="423">
        <f>AVERAGE(S107:S119)</f>
        <v>479087.75363699964</v>
      </c>
    </row>
    <row r="121" spans="3:23" ht="12.75">
      <c r="C121" s="202"/>
      <c r="D121" s="423"/>
      <c r="E121" s="423"/>
      <c r="F121" s="423"/>
      <c r="G121" s="423"/>
      <c r="M121" s="423"/>
      <c r="N121" s="423"/>
      <c r="W121" s="1154"/>
    </row>
    <row r="122" spans="3:23" ht="12.75">
      <c r="C122" s="202"/>
      <c r="D122" s="423"/>
      <c r="E122" s="423"/>
      <c r="F122" s="423"/>
      <c r="G122" s="423"/>
      <c r="W122" s="279"/>
    </row>
    <row r="123" spans="4:25" ht="12.75">
      <c r="D123" s="427"/>
      <c r="E123" s="427"/>
      <c r="W123" s="279"/>
      <c r="X123" s="279"/>
      <c r="Y123" s="279"/>
    </row>
    <row r="124" spans="1:27" ht="12.75">
      <c r="A124" s="415">
        <f>+A9</f>
        <v>7</v>
      </c>
      <c r="B124" s="415" t="str">
        <f>+B9</f>
        <v>April</v>
      </c>
      <c r="C124" s="415" t="str">
        <f>+C9</f>
        <v>Year 3</v>
      </c>
      <c r="D124" s="1286" t="str">
        <f>+D9</f>
        <v>Reconciliation - TO calculates the true up amount by subtracting the results of Step 6 by Step 3.</v>
      </c>
      <c r="E124" s="1286"/>
      <c r="F124" s="1239"/>
      <c r="G124" s="1239"/>
      <c r="H124" s="1239"/>
      <c r="I124" s="1239"/>
      <c r="J124" s="1239"/>
      <c r="K124" s="1239"/>
      <c r="L124" s="1239"/>
      <c r="M124" s="1239"/>
      <c r="N124" s="1239"/>
      <c r="O124" s="1239"/>
      <c r="AA124" s="1155"/>
    </row>
    <row r="125" spans="4:25" ht="12.75">
      <c r="D125" s="1239"/>
      <c r="E125" s="1239"/>
      <c r="F125" s="1239"/>
      <c r="G125" s="1239"/>
      <c r="H125" s="1239"/>
      <c r="I125" s="1239"/>
      <c r="J125" s="1239"/>
      <c r="K125" s="1239"/>
      <c r="L125" s="1239"/>
      <c r="M125" s="1239"/>
      <c r="N125" s="1239"/>
      <c r="O125" s="1239"/>
      <c r="W125" s="279"/>
      <c r="X125" s="367"/>
      <c r="Y125" s="367"/>
    </row>
    <row r="126" spans="5:27" ht="12.75" customHeight="1">
      <c r="E126" s="367" t="s">
        <v>274</v>
      </c>
      <c r="F126" s="420">
        <v>141592054</v>
      </c>
      <c r="G126" s="1086"/>
      <c r="H126" s="279"/>
      <c r="I126" s="420"/>
      <c r="J126" s="1000"/>
      <c r="K126" s="279"/>
      <c r="W126" s="279"/>
      <c r="AA126" s="420"/>
    </row>
    <row r="127" spans="5:27" ht="12.75">
      <c r="E127" s="279" t="s">
        <v>273</v>
      </c>
      <c r="F127" s="424">
        <f>130775554+3623878</f>
        <v>134399432</v>
      </c>
      <c r="G127" s="1062"/>
      <c r="H127" s="1063"/>
      <c r="I127" s="1064"/>
      <c r="J127" s="1063"/>
      <c r="K127" s="367"/>
      <c r="AA127" s="1155"/>
    </row>
    <row r="128" spans="4:7" ht="12.75">
      <c r="D128" s="427"/>
      <c r="E128" s="427" t="s">
        <v>275</v>
      </c>
      <c r="F128" s="426">
        <f>F126-F127</f>
        <v>7192622</v>
      </c>
      <c r="G128" s="202" t="s">
        <v>276</v>
      </c>
    </row>
    <row r="129" spans="5:12" ht="12.75">
      <c r="E129" s="202" t="s">
        <v>277</v>
      </c>
      <c r="F129" s="420">
        <f>F128/12</f>
        <v>599385.1666666666</v>
      </c>
      <c r="G129" s="202" t="s">
        <v>284</v>
      </c>
      <c r="L129" s="423"/>
    </row>
    <row r="130" spans="6:27" ht="12.75">
      <c r="F130" s="420"/>
      <c r="H130" s="202" t="s">
        <v>385</v>
      </c>
      <c r="L130" s="423"/>
      <c r="AA130" s="1155"/>
    </row>
    <row r="131" spans="6:27" ht="12.75">
      <c r="F131" s="420"/>
      <c r="L131" s="423"/>
      <c r="AA131" s="1155"/>
    </row>
    <row r="132" spans="1:27" ht="12.75">
      <c r="A132" s="415">
        <f>+A10</f>
        <v>8</v>
      </c>
      <c r="B132" s="415" t="str">
        <f>+B10</f>
        <v>April</v>
      </c>
      <c r="C132" s="415" t="str">
        <f>+C10</f>
        <v>Year 3</v>
      </c>
      <c r="D132" s="1286" t="str">
        <f>+D10</f>
        <v>Reconciliation - TO calculates interest and amortization associated with the true up calculated in Step 7 and applies that amount to line 164 of the formula (if the difference results in refund and a cash refund is made, then this step is not implemented).</v>
      </c>
      <c r="E132" s="1286"/>
      <c r="F132" s="1237"/>
      <c r="G132" s="1237"/>
      <c r="H132" s="1237"/>
      <c r="I132" s="1237"/>
      <c r="J132" s="1237"/>
      <c r="K132" s="1237"/>
      <c r="L132" s="1237"/>
      <c r="M132" s="1237"/>
      <c r="N132" s="1237"/>
      <c r="O132" s="1237"/>
      <c r="AA132" s="426"/>
    </row>
    <row r="133" spans="4:15" ht="12.75">
      <c r="D133" s="1237"/>
      <c r="E133" s="1237"/>
      <c r="F133" s="1237"/>
      <c r="G133" s="1237"/>
      <c r="H133" s="1237"/>
      <c r="I133" s="1237"/>
      <c r="J133" s="1237"/>
      <c r="K133" s="1237"/>
      <c r="L133" s="1237"/>
      <c r="M133" s="1237"/>
      <c r="N133" s="1237"/>
      <c r="O133" s="1237"/>
    </row>
    <row r="134" spans="4:12" ht="12.75">
      <c r="D134" s="429" t="s">
        <v>641</v>
      </c>
      <c r="E134" s="429"/>
      <c r="F134" s="415"/>
      <c r="G134" s="423"/>
      <c r="H134" s="415"/>
      <c r="I134" s="415"/>
      <c r="J134" s="415"/>
      <c r="K134" s="415"/>
      <c r="L134" s="423"/>
    </row>
    <row r="135" spans="4:12" ht="12.75">
      <c r="D135" s="429" t="s">
        <v>696</v>
      </c>
      <c r="E135" s="429"/>
      <c r="F135" s="415"/>
      <c r="G135" s="950">
        <v>0.0037</v>
      </c>
      <c r="H135" s="279"/>
      <c r="I135" s="1065"/>
      <c r="J135" s="1046"/>
      <c r="K135" s="419"/>
      <c r="L135" s="423"/>
    </row>
    <row r="136" spans="3:11" ht="24.75" customHeight="1">
      <c r="C136" s="430" t="s">
        <v>623</v>
      </c>
      <c r="D136" s="415" t="s">
        <v>642</v>
      </c>
      <c r="E136" s="415"/>
      <c r="F136" s="415" t="str">
        <f>"1/12 of Step "&amp;A124&amp;""</f>
        <v>1/12 of Step 7</v>
      </c>
      <c r="G136" s="431" t="s">
        <v>654</v>
      </c>
      <c r="H136" s="415"/>
      <c r="I136" s="430" t="s">
        <v>643</v>
      </c>
      <c r="J136" s="415" t="s">
        <v>644</v>
      </c>
      <c r="K136" s="415"/>
    </row>
    <row r="137" spans="4:11" ht="12.75">
      <c r="D137" s="415"/>
      <c r="E137" s="415"/>
      <c r="F137" s="415"/>
      <c r="G137" s="415" t="s">
        <v>645</v>
      </c>
      <c r="H137" s="415" t="s">
        <v>646</v>
      </c>
      <c r="I137" s="415"/>
      <c r="J137" s="415"/>
      <c r="K137" s="415"/>
    </row>
    <row r="138" spans="1:10" ht="12.75">
      <c r="A138" s="844"/>
      <c r="C138" s="202" t="s">
        <v>634</v>
      </c>
      <c r="D138" s="202" t="s">
        <v>23</v>
      </c>
      <c r="F138" s="639">
        <f>F129</f>
        <v>599385.1666666666</v>
      </c>
      <c r="G138" s="428">
        <f>+G135</f>
        <v>0.0037</v>
      </c>
      <c r="H138" s="202">
        <v>11.5</v>
      </c>
      <c r="I138" s="419">
        <f aca="true" t="shared" si="47" ref="I138:I149">+H138*G138*F138</f>
        <v>25503.838841666668</v>
      </c>
      <c r="J138" s="419">
        <f aca="true" t="shared" si="48" ref="J138:J149">+F138+I138</f>
        <v>624889.0055083333</v>
      </c>
    </row>
    <row r="139" spans="1:10" ht="12.75">
      <c r="A139" s="844"/>
      <c r="C139" s="202" t="s">
        <v>635</v>
      </c>
      <c r="D139" s="202" t="str">
        <f aca="true" t="shared" si="49" ref="D139:G144">+D138</f>
        <v>Year 1</v>
      </c>
      <c r="F139" s="700">
        <f>F138</f>
        <v>599385.1666666666</v>
      </c>
      <c r="G139" s="432">
        <f t="shared" si="49"/>
        <v>0.0037</v>
      </c>
      <c r="H139" s="202">
        <f aca="true" t="shared" si="50" ref="H139:H149">+H138-1</f>
        <v>10.5</v>
      </c>
      <c r="I139" s="419">
        <f t="shared" si="47"/>
        <v>23286.113725</v>
      </c>
      <c r="J139" s="419">
        <f t="shared" si="48"/>
        <v>622671.2803916666</v>
      </c>
    </row>
    <row r="140" spans="1:10" ht="12.75">
      <c r="A140" s="844"/>
      <c r="C140" s="202" t="s">
        <v>636</v>
      </c>
      <c r="D140" s="202" t="str">
        <f t="shared" si="49"/>
        <v>Year 1</v>
      </c>
      <c r="F140" s="700">
        <f t="shared" si="49"/>
        <v>599385.1666666666</v>
      </c>
      <c r="G140" s="432">
        <f t="shared" si="49"/>
        <v>0.0037</v>
      </c>
      <c r="H140" s="202">
        <f t="shared" si="50"/>
        <v>9.5</v>
      </c>
      <c r="I140" s="419">
        <f t="shared" si="47"/>
        <v>21068.38860833333</v>
      </c>
      <c r="J140" s="419">
        <f t="shared" si="48"/>
        <v>620453.5552749999</v>
      </c>
    </row>
    <row r="141" spans="1:10" ht="12.75">
      <c r="A141" s="844"/>
      <c r="C141" s="202" t="s">
        <v>637</v>
      </c>
      <c r="D141" s="202" t="str">
        <f t="shared" si="49"/>
        <v>Year 1</v>
      </c>
      <c r="F141" s="700">
        <f t="shared" si="49"/>
        <v>599385.1666666666</v>
      </c>
      <c r="G141" s="432">
        <f t="shared" si="49"/>
        <v>0.0037</v>
      </c>
      <c r="H141" s="202">
        <f t="shared" si="50"/>
        <v>8.5</v>
      </c>
      <c r="I141" s="419">
        <f t="shared" si="47"/>
        <v>18850.663491666666</v>
      </c>
      <c r="J141" s="419">
        <f t="shared" si="48"/>
        <v>618235.8301583333</v>
      </c>
    </row>
    <row r="142" spans="1:10" ht="12.75">
      <c r="A142" s="844"/>
      <c r="C142" s="202" t="s">
        <v>638</v>
      </c>
      <c r="D142" s="202" t="str">
        <f t="shared" si="49"/>
        <v>Year 1</v>
      </c>
      <c r="F142" s="700">
        <f t="shared" si="49"/>
        <v>599385.1666666666</v>
      </c>
      <c r="G142" s="432">
        <f t="shared" si="49"/>
        <v>0.0037</v>
      </c>
      <c r="H142" s="202">
        <f t="shared" si="50"/>
        <v>7.5</v>
      </c>
      <c r="I142" s="419">
        <f t="shared" si="47"/>
        <v>16632.938374999998</v>
      </c>
      <c r="J142" s="419">
        <f t="shared" si="48"/>
        <v>616018.1050416667</v>
      </c>
    </row>
    <row r="143" spans="1:10" ht="12.75">
      <c r="A143" s="844"/>
      <c r="C143" s="202" t="s">
        <v>639</v>
      </c>
      <c r="D143" s="202" t="str">
        <f t="shared" si="49"/>
        <v>Year 1</v>
      </c>
      <c r="F143" s="700">
        <f t="shared" si="49"/>
        <v>599385.1666666666</v>
      </c>
      <c r="G143" s="432">
        <f t="shared" si="49"/>
        <v>0.0037</v>
      </c>
      <c r="H143" s="202">
        <f t="shared" si="50"/>
        <v>6.5</v>
      </c>
      <c r="I143" s="419">
        <f t="shared" si="47"/>
        <v>14415.213258333333</v>
      </c>
      <c r="J143" s="419">
        <f t="shared" si="48"/>
        <v>613800.379925</v>
      </c>
    </row>
    <row r="144" spans="1:10" ht="12.75">
      <c r="A144" s="844"/>
      <c r="C144" s="202" t="s">
        <v>640</v>
      </c>
      <c r="D144" s="202" t="str">
        <f t="shared" si="49"/>
        <v>Year 1</v>
      </c>
      <c r="F144" s="700">
        <f aca="true" t="shared" si="51" ref="F144:F149">F143</f>
        <v>599385.1666666666</v>
      </c>
      <c r="G144" s="432">
        <f t="shared" si="49"/>
        <v>0.0037</v>
      </c>
      <c r="H144" s="202">
        <f t="shared" si="50"/>
        <v>5.5</v>
      </c>
      <c r="I144" s="419">
        <f t="shared" si="47"/>
        <v>12197.488141666667</v>
      </c>
      <c r="J144" s="419">
        <f t="shared" si="48"/>
        <v>611582.6548083333</v>
      </c>
    </row>
    <row r="145" spans="1:10" ht="12.75">
      <c r="A145" s="844"/>
      <c r="C145" s="202" t="s">
        <v>630</v>
      </c>
      <c r="D145" s="202" t="s">
        <v>21</v>
      </c>
      <c r="F145" s="700">
        <f t="shared" si="51"/>
        <v>599385.1666666666</v>
      </c>
      <c r="G145" s="432">
        <f>+G144</f>
        <v>0.0037</v>
      </c>
      <c r="H145" s="202">
        <f t="shared" si="50"/>
        <v>4.5</v>
      </c>
      <c r="I145" s="419">
        <f t="shared" si="47"/>
        <v>9979.763025</v>
      </c>
      <c r="J145" s="419">
        <f t="shared" si="48"/>
        <v>609364.9296916666</v>
      </c>
    </row>
    <row r="146" spans="1:10" ht="12.75">
      <c r="A146" s="844"/>
      <c r="C146" s="202" t="s">
        <v>631</v>
      </c>
      <c r="D146" s="202" t="str">
        <f>+D145</f>
        <v>Year 2</v>
      </c>
      <c r="F146" s="700">
        <f t="shared" si="51"/>
        <v>599385.1666666666</v>
      </c>
      <c r="G146" s="432">
        <f>+G145</f>
        <v>0.0037</v>
      </c>
      <c r="H146" s="202">
        <f t="shared" si="50"/>
        <v>3.5</v>
      </c>
      <c r="I146" s="419">
        <f t="shared" si="47"/>
        <v>7762.037908333333</v>
      </c>
      <c r="J146" s="419">
        <f t="shared" si="48"/>
        <v>607147.204575</v>
      </c>
    </row>
    <row r="147" spans="1:10" ht="12.75">
      <c r="A147" s="844"/>
      <c r="C147" s="202" t="s">
        <v>632</v>
      </c>
      <c r="D147" s="202" t="str">
        <f>+D146</f>
        <v>Year 2</v>
      </c>
      <c r="F147" s="700">
        <f t="shared" si="51"/>
        <v>599385.1666666666</v>
      </c>
      <c r="G147" s="432">
        <f>+G146</f>
        <v>0.0037</v>
      </c>
      <c r="H147" s="202">
        <f t="shared" si="50"/>
        <v>2.5</v>
      </c>
      <c r="I147" s="419">
        <f t="shared" si="47"/>
        <v>5544.312791666667</v>
      </c>
      <c r="J147" s="419">
        <f t="shared" si="48"/>
        <v>604929.4794583333</v>
      </c>
    </row>
    <row r="148" spans="1:10" ht="12.75">
      <c r="A148" s="844"/>
      <c r="C148" s="202" t="s">
        <v>633</v>
      </c>
      <c r="D148" s="202" t="str">
        <f>+D147</f>
        <v>Year 2</v>
      </c>
      <c r="F148" s="700">
        <f t="shared" si="51"/>
        <v>599385.1666666666</v>
      </c>
      <c r="G148" s="432">
        <f>+G147</f>
        <v>0.0037</v>
      </c>
      <c r="H148" s="202">
        <f t="shared" si="50"/>
        <v>1.5</v>
      </c>
      <c r="I148" s="419">
        <f t="shared" si="47"/>
        <v>3326.5876749999998</v>
      </c>
      <c r="J148" s="419">
        <f t="shared" si="48"/>
        <v>602711.7543416666</v>
      </c>
    </row>
    <row r="149" spans="1:10" ht="12.75">
      <c r="A149" s="844"/>
      <c r="C149" s="202" t="s">
        <v>628</v>
      </c>
      <c r="D149" s="202" t="str">
        <f>+D148</f>
        <v>Year 2</v>
      </c>
      <c r="F149" s="700">
        <f t="shared" si="51"/>
        <v>599385.1666666666</v>
      </c>
      <c r="G149" s="432">
        <f>+G148</f>
        <v>0.0037</v>
      </c>
      <c r="H149" s="202">
        <f t="shared" si="50"/>
        <v>0.5</v>
      </c>
      <c r="I149" s="419">
        <f t="shared" si="47"/>
        <v>1108.8625583333333</v>
      </c>
      <c r="J149" s="419">
        <f t="shared" si="48"/>
        <v>600494.029225</v>
      </c>
    </row>
    <row r="150" spans="1:10" ht="12.75">
      <c r="A150" s="844"/>
      <c r="C150" s="202" t="s">
        <v>458</v>
      </c>
      <c r="F150" s="423">
        <f>SUM(F138:F149)</f>
        <v>7192622.000000001</v>
      </c>
      <c r="J150" s="419">
        <f>SUM(J138:J149)</f>
        <v>7352298.208400001</v>
      </c>
    </row>
    <row r="151" spans="1:10" ht="12.75">
      <c r="A151" s="844"/>
      <c r="C151" s="202"/>
      <c r="F151" s="423"/>
      <c r="J151" s="419"/>
    </row>
    <row r="152" spans="1:11" ht="12.75">
      <c r="A152" s="844"/>
      <c r="C152" s="202"/>
      <c r="F152" s="430" t="s">
        <v>647</v>
      </c>
      <c r="G152" s="415" t="s">
        <v>643</v>
      </c>
      <c r="H152" s="415" t="s">
        <v>648</v>
      </c>
      <c r="I152" s="415" t="s">
        <v>647</v>
      </c>
      <c r="K152" s="415"/>
    </row>
    <row r="153" spans="1:11" ht="12.75">
      <c r="A153" s="844"/>
      <c r="C153" s="202" t="str">
        <f aca="true" t="shared" si="52" ref="C153:C164">+C138</f>
        <v>Jun</v>
      </c>
      <c r="D153" s="202" t="str">
        <f>+D149</f>
        <v>Year 2</v>
      </c>
      <c r="F153" s="700">
        <f>J150</f>
        <v>7352298.208400001</v>
      </c>
      <c r="G153" s="432">
        <f>+G149</f>
        <v>0.0037</v>
      </c>
      <c r="H153" s="419">
        <f>-PMT(G153,12,J150)</f>
        <v>627526.5145944275</v>
      </c>
      <c r="I153" s="419">
        <f aca="true" t="shared" si="53" ref="I153:I164">+F153+F153*G153-H153</f>
        <v>6751975.197176654</v>
      </c>
      <c r="K153" s="419"/>
    </row>
    <row r="154" spans="1:11" ht="12.75">
      <c r="A154" s="844"/>
      <c r="C154" s="202" t="str">
        <f t="shared" si="52"/>
        <v>Jul</v>
      </c>
      <c r="D154" s="202" t="str">
        <f aca="true" t="shared" si="54" ref="D154:D159">+D153</f>
        <v>Year 2</v>
      </c>
      <c r="F154" s="700">
        <f aca="true" t="shared" si="55" ref="F154:F164">I153</f>
        <v>6751975.197176654</v>
      </c>
      <c r="G154" s="432">
        <f aca="true" t="shared" si="56" ref="G154:G164">+G153</f>
        <v>0.0037</v>
      </c>
      <c r="H154" s="423">
        <f aca="true" t="shared" si="57" ref="H154:H164">+H153</f>
        <v>627526.5145944275</v>
      </c>
      <c r="I154" s="419">
        <f t="shared" si="53"/>
        <v>6149430.99081178</v>
      </c>
      <c r="K154" s="423"/>
    </row>
    <row r="155" spans="1:11" ht="12.75">
      <c r="A155" s="844"/>
      <c r="C155" s="202" t="str">
        <f t="shared" si="52"/>
        <v>Aug</v>
      </c>
      <c r="D155" s="202" t="str">
        <f t="shared" si="54"/>
        <v>Year 2</v>
      </c>
      <c r="F155" s="700">
        <f t="shared" si="55"/>
        <v>6149430.99081178</v>
      </c>
      <c r="G155" s="432">
        <f t="shared" si="56"/>
        <v>0.0037</v>
      </c>
      <c r="H155" s="423">
        <f t="shared" si="57"/>
        <v>627526.5145944275</v>
      </c>
      <c r="I155" s="419">
        <f t="shared" si="53"/>
        <v>5544657.370883357</v>
      </c>
      <c r="K155" s="423"/>
    </row>
    <row r="156" spans="1:14" ht="12.75">
      <c r="A156" s="844"/>
      <c r="C156" s="202" t="str">
        <f t="shared" si="52"/>
        <v>Sep</v>
      </c>
      <c r="D156" s="202" t="str">
        <f t="shared" si="54"/>
        <v>Year 2</v>
      </c>
      <c r="F156" s="700">
        <f t="shared" si="55"/>
        <v>5544657.370883357</v>
      </c>
      <c r="G156" s="432">
        <f t="shared" si="56"/>
        <v>0.0037</v>
      </c>
      <c r="H156" s="423">
        <f t="shared" si="57"/>
        <v>627526.5145944275</v>
      </c>
      <c r="I156" s="419">
        <f t="shared" si="53"/>
        <v>4937646.088561198</v>
      </c>
      <c r="K156" s="423"/>
      <c r="N156" s="433"/>
    </row>
    <row r="157" spans="1:14" ht="12.75">
      <c r="A157" s="844"/>
      <c r="C157" s="202" t="str">
        <f t="shared" si="52"/>
        <v>Oct</v>
      </c>
      <c r="D157" s="202" t="str">
        <f t="shared" si="54"/>
        <v>Year 2</v>
      </c>
      <c r="F157" s="700">
        <f t="shared" si="55"/>
        <v>4937646.088561198</v>
      </c>
      <c r="G157" s="432">
        <f t="shared" si="56"/>
        <v>0.0037</v>
      </c>
      <c r="H157" s="423">
        <f t="shared" si="57"/>
        <v>627526.5145944275</v>
      </c>
      <c r="I157" s="419">
        <f t="shared" si="53"/>
        <v>4328388.864494447</v>
      </c>
      <c r="K157" s="423"/>
      <c r="N157" s="432"/>
    </row>
    <row r="158" spans="1:11" ht="12.75">
      <c r="A158" s="844"/>
      <c r="C158" s="202" t="str">
        <f t="shared" si="52"/>
        <v>Nov</v>
      </c>
      <c r="D158" s="202" t="str">
        <f t="shared" si="54"/>
        <v>Year 2</v>
      </c>
      <c r="F158" s="700">
        <f t="shared" si="55"/>
        <v>4328388.864494447</v>
      </c>
      <c r="G158" s="432">
        <f t="shared" si="56"/>
        <v>0.0037</v>
      </c>
      <c r="H158" s="423">
        <f t="shared" si="57"/>
        <v>627526.5145944275</v>
      </c>
      <c r="I158" s="419">
        <f t="shared" si="53"/>
        <v>3716877.3886986487</v>
      </c>
      <c r="K158" s="423"/>
    </row>
    <row r="159" spans="1:11" ht="12.75">
      <c r="A159" s="844"/>
      <c r="C159" s="202" t="str">
        <f t="shared" si="52"/>
        <v>Dec</v>
      </c>
      <c r="D159" s="202" t="str">
        <f t="shared" si="54"/>
        <v>Year 2</v>
      </c>
      <c r="F159" s="700">
        <f t="shared" si="55"/>
        <v>3716877.3886986487</v>
      </c>
      <c r="G159" s="432">
        <f t="shared" si="56"/>
        <v>0.0037</v>
      </c>
      <c r="H159" s="423">
        <f t="shared" si="57"/>
        <v>627526.5145944275</v>
      </c>
      <c r="I159" s="419">
        <f t="shared" si="53"/>
        <v>3103103.3204424065</v>
      </c>
      <c r="K159" s="423"/>
    </row>
    <row r="160" spans="1:11" ht="12.75">
      <c r="A160" s="844"/>
      <c r="C160" s="202" t="str">
        <f t="shared" si="52"/>
        <v>Jan</v>
      </c>
      <c r="D160" s="202" t="s">
        <v>20</v>
      </c>
      <c r="F160" s="700">
        <f t="shared" si="55"/>
        <v>3103103.3204424065</v>
      </c>
      <c r="G160" s="432">
        <f t="shared" si="56"/>
        <v>0.0037</v>
      </c>
      <c r="H160" s="423">
        <f t="shared" si="57"/>
        <v>627526.5145944275</v>
      </c>
      <c r="I160" s="419">
        <f t="shared" si="53"/>
        <v>2487058.2881336156</v>
      </c>
      <c r="K160" s="423"/>
    </row>
    <row r="161" spans="1:11" ht="12.75">
      <c r="A161" s="844"/>
      <c r="C161" s="202" t="str">
        <f t="shared" si="52"/>
        <v>Feb</v>
      </c>
      <c r="D161" s="202" t="str">
        <f>+D160</f>
        <v>Year 3</v>
      </c>
      <c r="F161" s="700">
        <f t="shared" si="55"/>
        <v>2487058.2881336156</v>
      </c>
      <c r="G161" s="432">
        <f t="shared" si="56"/>
        <v>0.0037</v>
      </c>
      <c r="H161" s="423">
        <f t="shared" si="57"/>
        <v>627526.5145944275</v>
      </c>
      <c r="I161" s="419">
        <f t="shared" si="53"/>
        <v>1868733.8892052823</v>
      </c>
      <c r="K161" s="423"/>
    </row>
    <row r="162" spans="1:11" ht="12.75">
      <c r="A162" s="844"/>
      <c r="C162" s="202" t="str">
        <f t="shared" si="52"/>
        <v>Mar</v>
      </c>
      <c r="D162" s="202" t="str">
        <f>+D161</f>
        <v>Year 3</v>
      </c>
      <c r="F162" s="700">
        <f t="shared" si="55"/>
        <v>1868733.8892052823</v>
      </c>
      <c r="G162" s="432">
        <f t="shared" si="56"/>
        <v>0.0037</v>
      </c>
      <c r="H162" s="423">
        <f t="shared" si="57"/>
        <v>627526.5145944275</v>
      </c>
      <c r="I162" s="419">
        <f t="shared" si="53"/>
        <v>1248121.6900009143</v>
      </c>
      <c r="K162" s="423"/>
    </row>
    <row r="163" spans="1:11" ht="12.75">
      <c r="A163" s="844"/>
      <c r="C163" s="202" t="str">
        <f t="shared" si="52"/>
        <v>Apr</v>
      </c>
      <c r="D163" s="202" t="str">
        <f>+D162</f>
        <v>Year 3</v>
      </c>
      <c r="F163" s="700">
        <f t="shared" si="55"/>
        <v>1248121.6900009143</v>
      </c>
      <c r="G163" s="432">
        <f t="shared" si="56"/>
        <v>0.0037</v>
      </c>
      <c r="H163" s="423">
        <f t="shared" si="57"/>
        <v>627526.5145944275</v>
      </c>
      <c r="I163" s="419">
        <f t="shared" si="53"/>
        <v>625213.2256594901</v>
      </c>
      <c r="K163" s="423"/>
    </row>
    <row r="164" spans="1:11" ht="12.75">
      <c r="A164" s="844"/>
      <c r="C164" s="202" t="str">
        <f t="shared" si="52"/>
        <v>May</v>
      </c>
      <c r="D164" s="202" t="str">
        <f>+D163</f>
        <v>Year 3</v>
      </c>
      <c r="F164" s="700">
        <f t="shared" si="55"/>
        <v>625213.2256594901</v>
      </c>
      <c r="G164" s="432">
        <f t="shared" si="56"/>
        <v>0.0037</v>
      </c>
      <c r="H164" s="423">
        <f t="shared" si="57"/>
        <v>627526.5145944275</v>
      </c>
      <c r="I164" s="419">
        <f t="shared" si="53"/>
        <v>2.6775524020195007E-09</v>
      </c>
      <c r="K164" s="423"/>
    </row>
    <row r="165" spans="3:11" ht="12.75">
      <c r="C165" s="202" t="s">
        <v>750</v>
      </c>
      <c r="H165" s="423">
        <f>SUM(H153:H164)</f>
        <v>7530318.175133129</v>
      </c>
      <c r="K165" s="423"/>
    </row>
    <row r="166" ht="12.75">
      <c r="C166" s="202"/>
    </row>
    <row r="167" spans="3:9" ht="12.75">
      <c r="C167" s="429" t="str">
        <f>"The difference between the Reconciliation in Step "&amp;A75&amp;" and the forecast in Prior Year with interest"</f>
        <v>The difference between the Reconciliation in Step 6 and the forecast in Prior Year with interest</v>
      </c>
      <c r="D167" s="415"/>
      <c r="E167" s="415"/>
      <c r="G167" s="415"/>
      <c r="I167" s="423">
        <f>+H165</f>
        <v>7530318.175133129</v>
      </c>
    </row>
    <row r="168" spans="3:13" ht="12.75">
      <c r="C168" s="429"/>
      <c r="D168" s="415"/>
      <c r="E168" s="417" t="str">
        <f>"Place result in line "&amp;'Appendix A'!A266&amp;" of the formula for Year 2 rate"</f>
        <v>Place result in line 164 of the formula for Year 2 rate</v>
      </c>
      <c r="G168" s="415"/>
      <c r="L168" s="423"/>
      <c r="M168" s="423"/>
    </row>
    <row r="169" spans="3:13" ht="12.75">
      <c r="C169" s="426"/>
      <c r="D169" s="415"/>
      <c r="E169" s="417"/>
      <c r="G169" s="415"/>
      <c r="H169" s="423"/>
      <c r="I169" s="423"/>
      <c r="J169" s="423"/>
      <c r="K169" s="423"/>
      <c r="L169" s="423"/>
      <c r="M169" s="423"/>
    </row>
    <row r="170" spans="3:13" ht="12.75">
      <c r="C170" s="426"/>
      <c r="D170" s="415"/>
      <c r="E170" s="417"/>
      <c r="G170" s="415"/>
      <c r="H170" s="423"/>
      <c r="I170" s="423"/>
      <c r="J170" s="423"/>
      <c r="K170" s="423"/>
      <c r="L170" s="417"/>
      <c r="M170" s="423"/>
    </row>
    <row r="171" spans="3:13" ht="12.75">
      <c r="C171" s="202"/>
      <c r="D171" s="415"/>
      <c r="E171" s="417"/>
      <c r="G171" s="415"/>
      <c r="H171" s="426"/>
      <c r="I171" s="426"/>
      <c r="J171" s="426"/>
      <c r="K171" s="426"/>
      <c r="L171" s="862"/>
      <c r="M171" s="423"/>
    </row>
    <row r="172" spans="3:13" ht="12.75">
      <c r="C172" s="426"/>
      <c r="D172" s="415"/>
      <c r="G172" s="415"/>
      <c r="H172" s="417"/>
      <c r="I172" s="417"/>
      <c r="J172" s="417"/>
      <c r="K172" s="417"/>
      <c r="L172" s="417"/>
      <c r="M172" s="423"/>
    </row>
    <row r="173" spans="3:13" ht="12.75">
      <c r="C173" s="426"/>
      <c r="D173" s="415"/>
      <c r="E173" s="417"/>
      <c r="G173" s="415"/>
      <c r="H173" s="423"/>
      <c r="I173" s="423"/>
      <c r="J173" s="423"/>
      <c r="K173" s="423"/>
      <c r="L173" s="417"/>
      <c r="M173" s="423"/>
    </row>
    <row r="174" spans="3:13" ht="12.75">
      <c r="C174" s="426"/>
      <c r="D174" s="415"/>
      <c r="E174" s="417"/>
      <c r="G174" s="415"/>
      <c r="H174" s="423"/>
      <c r="I174" s="423"/>
      <c r="J174" s="423"/>
      <c r="K174" s="423"/>
      <c r="L174" s="417"/>
      <c r="M174" s="423"/>
    </row>
    <row r="175" spans="3:23" ht="12.75">
      <c r="C175" s="426"/>
      <c r="D175" s="415"/>
      <c r="E175" s="415"/>
      <c r="G175" s="415"/>
      <c r="H175" s="423"/>
      <c r="I175" s="423"/>
      <c r="J175" s="423"/>
      <c r="K175" s="423"/>
      <c r="L175" s="417"/>
      <c r="M175" s="423"/>
      <c r="W175" s="1004"/>
    </row>
    <row r="176" spans="1:23" ht="12.75">
      <c r="A176" s="415">
        <f>A12</f>
        <v>9</v>
      </c>
      <c r="B176" s="415" t="str">
        <f>+B12</f>
        <v>April</v>
      </c>
      <c r="C176" s="415" t="str">
        <f>+C12</f>
        <v>Year 3</v>
      </c>
      <c r="D176" s="417" t="str">
        <f>+D12</f>
        <v>TO estimates all transmission Cap Adds, Retirements, CWIP and associated depreciation for Year 3 based on Months expected to be in service and monthly CWIP balances in Year 3.</v>
      </c>
      <c r="E176" s="417"/>
      <c r="W176" s="1004"/>
    </row>
    <row r="177" spans="18:30" ht="12.75">
      <c r="R177" s="415"/>
      <c r="S177" s="415"/>
      <c r="T177" s="415"/>
      <c r="X177" s="1004"/>
      <c r="Y177" s="991"/>
      <c r="AC177" s="1005"/>
      <c r="AD177" s="1005"/>
    </row>
    <row r="178" spans="4:19" ht="12.75">
      <c r="D178" s="417"/>
      <c r="E178" s="417"/>
      <c r="N178" s="202" t="s">
        <v>94</v>
      </c>
      <c r="O178" s="202" t="s">
        <v>798</v>
      </c>
      <c r="P178" s="202" t="s">
        <v>95</v>
      </c>
      <c r="Q178" s="202" t="s">
        <v>799</v>
      </c>
      <c r="R178" s="202" t="s">
        <v>96</v>
      </c>
      <c r="S178" s="202" t="s">
        <v>800</v>
      </c>
    </row>
    <row r="179" spans="1:34" ht="12.75">
      <c r="A179" s="830"/>
      <c r="C179" s="417"/>
      <c r="D179" s="202" t="s">
        <v>540</v>
      </c>
      <c r="E179" s="202" t="s">
        <v>541</v>
      </c>
      <c r="F179" s="924" t="s">
        <v>823</v>
      </c>
      <c r="G179" s="202" t="s">
        <v>544</v>
      </c>
      <c r="H179" s="202" t="s">
        <v>740</v>
      </c>
      <c r="I179" s="202" t="s">
        <v>152</v>
      </c>
      <c r="J179" s="202" t="s">
        <v>153</v>
      </c>
      <c r="K179" s="202" t="s">
        <v>742</v>
      </c>
      <c r="L179" s="202" t="s">
        <v>93</v>
      </c>
      <c r="M179" s="202" t="s">
        <v>129</v>
      </c>
      <c r="N179" s="457" t="s">
        <v>741</v>
      </c>
      <c r="O179" s="421"/>
      <c r="P179" s="421"/>
      <c r="Q179" s="972"/>
      <c r="R179" s="972"/>
      <c r="S179" s="972"/>
      <c r="X179" s="417"/>
      <c r="Y179" s="202" t="s">
        <v>540</v>
      </c>
      <c r="Z179" s="202" t="s">
        <v>541</v>
      </c>
      <c r="AA179" s="924" t="s">
        <v>823</v>
      </c>
      <c r="AB179" s="202" t="s">
        <v>544</v>
      </c>
      <c r="AC179" s="202" t="s">
        <v>740</v>
      </c>
      <c r="AD179" s="202" t="s">
        <v>152</v>
      </c>
      <c r="AE179" s="202" t="s">
        <v>153</v>
      </c>
      <c r="AF179" s="202" t="s">
        <v>742</v>
      </c>
      <c r="AG179" s="202" t="s">
        <v>93</v>
      </c>
      <c r="AH179" s="202" t="s">
        <v>129</v>
      </c>
    </row>
    <row r="180" spans="1:34" ht="12.75">
      <c r="A180" s="830"/>
      <c r="C180" s="202"/>
      <c r="D180" s="415" t="s">
        <v>743</v>
      </c>
      <c r="E180" s="415" t="s">
        <v>744</v>
      </c>
      <c r="F180" s="415" t="s">
        <v>542</v>
      </c>
      <c r="G180" s="415" t="s">
        <v>543</v>
      </c>
      <c r="H180" s="415" t="s">
        <v>745</v>
      </c>
      <c r="I180" s="415" t="s">
        <v>795</v>
      </c>
      <c r="J180" s="415" t="s">
        <v>796</v>
      </c>
      <c r="K180" s="415" t="s">
        <v>797</v>
      </c>
      <c r="L180" s="202" t="s">
        <v>114</v>
      </c>
      <c r="M180" s="202" t="s">
        <v>116</v>
      </c>
      <c r="N180" s="458" t="s">
        <v>743</v>
      </c>
      <c r="O180" s="422" t="s">
        <v>542</v>
      </c>
      <c r="P180" s="422" t="s">
        <v>543</v>
      </c>
      <c r="Q180" s="973" t="s">
        <v>795</v>
      </c>
      <c r="R180" s="973" t="s">
        <v>797</v>
      </c>
      <c r="S180" s="973" t="s">
        <v>114</v>
      </c>
      <c r="T180" s="202" t="s">
        <v>458</v>
      </c>
      <c r="Y180" s="415" t="s">
        <v>743</v>
      </c>
      <c r="Z180" s="415" t="s">
        <v>744</v>
      </c>
      <c r="AA180" s="415" t="s">
        <v>542</v>
      </c>
      <c r="AB180" s="415" t="s">
        <v>543</v>
      </c>
      <c r="AC180" s="415" t="s">
        <v>745</v>
      </c>
      <c r="AD180" s="415" t="s">
        <v>795</v>
      </c>
      <c r="AE180" s="415" t="s">
        <v>796</v>
      </c>
      <c r="AF180" s="415" t="s">
        <v>797</v>
      </c>
      <c r="AG180" s="202" t="s">
        <v>114</v>
      </c>
      <c r="AH180" s="202" t="s">
        <v>116</v>
      </c>
    </row>
    <row r="181" spans="1:31" ht="12.75">
      <c r="A181" s="830"/>
      <c r="C181" s="202" t="s">
        <v>640</v>
      </c>
      <c r="D181" s="419"/>
      <c r="E181" s="419"/>
      <c r="F181" s="419"/>
      <c r="G181" s="419"/>
      <c r="H181" s="419"/>
      <c r="I181" s="419"/>
      <c r="J181" s="419"/>
      <c r="K181" s="419"/>
      <c r="N181" s="488">
        <v>0</v>
      </c>
      <c r="O181" s="684">
        <f>IF('Appendix A'!I1=1,0,0)</f>
        <v>0</v>
      </c>
      <c r="P181" s="969">
        <f>230181505*0</f>
        <v>0</v>
      </c>
      <c r="Q181" s="1193">
        <f>93942082*0</f>
        <v>0</v>
      </c>
      <c r="R181" s="1194">
        <f>IF('Appendix A'!I1=1,0,41112497*0)</f>
        <v>0</v>
      </c>
      <c r="S181" s="684">
        <f>IF('Appendix A'!I1=1,0,3158241.79*0)</f>
        <v>0</v>
      </c>
      <c r="W181" s="202" t="s">
        <v>640</v>
      </c>
      <c r="Z181" s="419"/>
      <c r="AC181" s="419"/>
      <c r="AE181" s="419"/>
    </row>
    <row r="182" spans="1:34" ht="12.75">
      <c r="A182" s="830"/>
      <c r="C182" s="202" t="s">
        <v>630</v>
      </c>
      <c r="D182" s="639">
        <f>IF('Appendix A'!$I$1=1,0,'6- Est &amp; Reconcile WS'!Y182)</f>
        <v>0</v>
      </c>
      <c r="E182" s="639">
        <f>IF('Appendix A'!$I$1=1,0,'6- Est &amp; Reconcile WS'!Z182)</f>
        <v>0</v>
      </c>
      <c r="F182" s="639">
        <f>IF('Appendix A'!$I$1=1,0,'6- Est &amp; Reconcile WS'!AA182)</f>
        <v>0</v>
      </c>
      <c r="G182" s="639">
        <f>IF('Appendix A'!$I$1=1,0,'6- Est &amp; Reconcile WS'!AB182)</f>
        <v>0</v>
      </c>
      <c r="H182" s="639">
        <f>IF('Appendix A'!$I$1=1,0,'6- Est &amp; Reconcile WS'!AC182)</f>
        <v>0</v>
      </c>
      <c r="I182" s="639">
        <f>IF('Appendix A'!$I$1=1,0,'6- Est &amp; Reconcile WS'!AD182)</f>
        <v>0</v>
      </c>
      <c r="J182" s="639">
        <f>IF('Appendix A'!$I$1=1,0,'6- Est &amp; Reconcile WS'!AE182)</f>
        <v>0</v>
      </c>
      <c r="K182" s="639">
        <f>IF('Appendix A'!$I$1=1,0,'6- Est &amp; Reconcile WS'!AF182)</f>
        <v>0</v>
      </c>
      <c r="L182" s="639">
        <f>IF('Appendix A'!$I$1=1,0,'6- Est &amp; Reconcile WS'!AG182)</f>
        <v>0</v>
      </c>
      <c r="M182" s="639">
        <f>IF('Appendix A'!$I$1=1,0,'6- Est &amp; Reconcile WS'!AH182)</f>
        <v>0</v>
      </c>
      <c r="N182" s="423">
        <f aca="true" t="shared" si="58" ref="N182:N193">N181+D182+E182</f>
        <v>0</v>
      </c>
      <c r="O182" s="423">
        <f aca="true" t="shared" si="59" ref="O182:O193">O181+F182</f>
        <v>0</v>
      </c>
      <c r="P182" s="419">
        <f aca="true" t="shared" si="60" ref="P182:P193">P181+G182+H182</f>
        <v>0</v>
      </c>
      <c r="Q182" s="419">
        <f>Q181+I182+J182</f>
        <v>0</v>
      </c>
      <c r="R182" s="419">
        <f>R181+K182</f>
        <v>0</v>
      </c>
      <c r="S182" s="423">
        <f aca="true" t="shared" si="61" ref="S182:S193">S181+L182+M182</f>
        <v>0</v>
      </c>
      <c r="W182" s="202" t="s">
        <v>630</v>
      </c>
      <c r="X182" s="202" t="s">
        <v>826</v>
      </c>
      <c r="Y182" s="916">
        <v>-213721.82</v>
      </c>
      <c r="Z182" s="916">
        <v>0</v>
      </c>
      <c r="AA182" s="916">
        <v>0</v>
      </c>
      <c r="AB182" s="916">
        <v>0</v>
      </c>
      <c r="AC182" s="916">
        <v>0</v>
      </c>
      <c r="AD182" s="916">
        <v>0</v>
      </c>
      <c r="AE182" s="916">
        <v>0</v>
      </c>
      <c r="AF182" s="916">
        <v>0</v>
      </c>
      <c r="AG182" s="639">
        <v>0</v>
      </c>
      <c r="AH182" s="916">
        <v>0</v>
      </c>
    </row>
    <row r="183" spans="1:34" ht="12.75">
      <c r="A183" s="830"/>
      <c r="C183" s="202" t="s">
        <v>631</v>
      </c>
      <c r="D183" s="639">
        <f>IF('Appendix A'!$I$1=1,0,'6- Est &amp; Reconcile WS'!Y183)</f>
        <v>0</v>
      </c>
      <c r="E183" s="639">
        <f>IF('Appendix A'!$I$1=1,0,'6- Est &amp; Reconcile WS'!Z183)</f>
        <v>0</v>
      </c>
      <c r="F183" s="639">
        <f>IF('Appendix A'!$I$1=1,0,'6- Est &amp; Reconcile WS'!AA183)</f>
        <v>0</v>
      </c>
      <c r="G183" s="639">
        <f>IF('Appendix A'!$I$1=1,0,'6- Est &amp; Reconcile WS'!AB183)</f>
        <v>0</v>
      </c>
      <c r="H183" s="639">
        <f>IF('Appendix A'!$I$1=1,0,'6- Est &amp; Reconcile WS'!AC183)</f>
        <v>0</v>
      </c>
      <c r="I183" s="639">
        <f>IF('Appendix A'!$I$1=1,0,'6- Est &amp; Reconcile WS'!AD183)</f>
        <v>0</v>
      </c>
      <c r="J183" s="639">
        <f>IF('Appendix A'!$I$1=1,0,'6- Est &amp; Reconcile WS'!AE183)</f>
        <v>0</v>
      </c>
      <c r="K183" s="639">
        <f>IF('Appendix A'!$I$1=1,0,'6- Est &amp; Reconcile WS'!AF183)</f>
        <v>0</v>
      </c>
      <c r="L183" s="639">
        <f>IF('Appendix A'!$I$1=1,0,'6- Est &amp; Reconcile WS'!AG183)</f>
        <v>0</v>
      </c>
      <c r="M183" s="639">
        <f>IF('Appendix A'!$I$1=1,0,'6- Est &amp; Reconcile WS'!AH183)</f>
        <v>0</v>
      </c>
      <c r="N183" s="423">
        <f t="shared" si="58"/>
        <v>0</v>
      </c>
      <c r="O183" s="423">
        <f t="shared" si="59"/>
        <v>0</v>
      </c>
      <c r="P183" s="419">
        <f t="shared" si="60"/>
        <v>0</v>
      </c>
      <c r="Q183" s="419">
        <f aca="true" t="shared" si="62" ref="Q183:Q193">Q182+I183+J183</f>
        <v>0</v>
      </c>
      <c r="R183" s="419">
        <f aca="true" t="shared" si="63" ref="R183:R193">R182+K183</f>
        <v>0</v>
      </c>
      <c r="S183" s="423">
        <f t="shared" si="61"/>
        <v>0</v>
      </c>
      <c r="W183" s="202" t="s">
        <v>631</v>
      </c>
      <c r="X183" s="202" t="s">
        <v>826</v>
      </c>
      <c r="Y183" s="916">
        <v>-352186.7300000001</v>
      </c>
      <c r="Z183" s="916">
        <v>0</v>
      </c>
      <c r="AA183" s="916">
        <v>0</v>
      </c>
      <c r="AB183" s="916">
        <v>0</v>
      </c>
      <c r="AC183" s="916">
        <v>0</v>
      </c>
      <c r="AD183" s="916">
        <v>0</v>
      </c>
      <c r="AE183" s="916">
        <v>0</v>
      </c>
      <c r="AF183" s="916">
        <v>0</v>
      </c>
      <c r="AG183" s="639">
        <v>0</v>
      </c>
      <c r="AH183" s="916">
        <v>0</v>
      </c>
    </row>
    <row r="184" spans="1:34" ht="12.75">
      <c r="A184" s="830"/>
      <c r="C184" s="202" t="s">
        <v>632</v>
      </c>
      <c r="D184" s="639">
        <f>IF('Appendix A'!$I$1=1,0,'6- Est &amp; Reconcile WS'!Y184)</f>
        <v>0</v>
      </c>
      <c r="E184" s="639">
        <f>IF('Appendix A'!$I$1=1,0,'6- Est &amp; Reconcile WS'!Z184)</f>
        <v>0</v>
      </c>
      <c r="F184" s="639">
        <f>IF('Appendix A'!$I$1=1,0,'6- Est &amp; Reconcile WS'!AA184)</f>
        <v>0</v>
      </c>
      <c r="G184" s="639">
        <f>IF('Appendix A'!$I$1=1,0,'6- Est &amp; Reconcile WS'!AB184)</f>
        <v>0</v>
      </c>
      <c r="H184" s="639">
        <f>IF('Appendix A'!$I$1=1,0,'6- Est &amp; Reconcile WS'!AC184)</f>
        <v>0</v>
      </c>
      <c r="I184" s="639">
        <f>IF('Appendix A'!$I$1=1,0,'6- Est &amp; Reconcile WS'!AD184)</f>
        <v>0</v>
      </c>
      <c r="J184" s="639">
        <f>IF('Appendix A'!$I$1=1,0,'6- Est &amp; Reconcile WS'!AE184)</f>
        <v>0</v>
      </c>
      <c r="K184" s="639">
        <f>IF('Appendix A'!$I$1=1,0,'6- Est &amp; Reconcile WS'!AF184)</f>
        <v>0</v>
      </c>
      <c r="L184" s="639">
        <f>IF('Appendix A'!$I$1=1,0,'6- Est &amp; Reconcile WS'!AG184)</f>
        <v>0</v>
      </c>
      <c r="M184" s="639">
        <f>IF('Appendix A'!$I$1=1,0,'6- Est &amp; Reconcile WS'!AH184)</f>
        <v>0</v>
      </c>
      <c r="N184" s="423">
        <f t="shared" si="58"/>
        <v>0</v>
      </c>
      <c r="O184" s="423">
        <f t="shared" si="59"/>
        <v>0</v>
      </c>
      <c r="P184" s="419">
        <f t="shared" si="60"/>
        <v>0</v>
      </c>
      <c r="Q184" s="419">
        <f t="shared" si="62"/>
        <v>0</v>
      </c>
      <c r="R184" s="419">
        <f t="shared" si="63"/>
        <v>0</v>
      </c>
      <c r="S184" s="423">
        <f t="shared" si="61"/>
        <v>0</v>
      </c>
      <c r="W184" s="202" t="s">
        <v>632</v>
      </c>
      <c r="X184" s="202" t="s">
        <v>826</v>
      </c>
      <c r="Y184" s="916">
        <v>1070124.5500000003</v>
      </c>
      <c r="Z184" s="916">
        <v>0</v>
      </c>
      <c r="AA184" s="916">
        <v>0</v>
      </c>
      <c r="AB184" s="916">
        <v>0</v>
      </c>
      <c r="AC184" s="916">
        <v>0</v>
      </c>
      <c r="AD184" s="916">
        <v>0</v>
      </c>
      <c r="AE184" s="916">
        <v>0</v>
      </c>
      <c r="AF184" s="916">
        <v>0</v>
      </c>
      <c r="AG184" s="639">
        <v>0</v>
      </c>
      <c r="AH184" s="916">
        <v>0</v>
      </c>
    </row>
    <row r="185" spans="1:34" ht="12.75">
      <c r="A185" s="830"/>
      <c r="C185" s="202" t="s">
        <v>633</v>
      </c>
      <c r="D185" s="639">
        <f>IF('Appendix A'!$I$1=1,0,'6- Est &amp; Reconcile WS'!Y185)</f>
        <v>0</v>
      </c>
      <c r="E185" s="639">
        <f>IF('Appendix A'!$I$1=1,0,'6- Est &amp; Reconcile WS'!Z185)</f>
        <v>0</v>
      </c>
      <c r="F185" s="639">
        <f>IF('Appendix A'!$I$1=1,0,'6- Est &amp; Reconcile WS'!AA185)</f>
        <v>0</v>
      </c>
      <c r="G185" s="639">
        <f>IF('Appendix A'!$I$1=1,0,'6- Est &amp; Reconcile WS'!AB185)</f>
        <v>0</v>
      </c>
      <c r="H185" s="639">
        <f>IF('Appendix A'!$I$1=1,0,'6- Est &amp; Reconcile WS'!AC185)</f>
        <v>0</v>
      </c>
      <c r="I185" s="639">
        <f>IF('Appendix A'!$I$1=1,0,'6- Est &amp; Reconcile WS'!AD185)</f>
        <v>0</v>
      </c>
      <c r="J185" s="639">
        <f>IF('Appendix A'!$I$1=1,0,'6- Est &amp; Reconcile WS'!AE185)</f>
        <v>0</v>
      </c>
      <c r="K185" s="639">
        <f>IF('Appendix A'!$I$1=1,0,'6- Est &amp; Reconcile WS'!AF185)</f>
        <v>0</v>
      </c>
      <c r="L185" s="639">
        <f>IF('Appendix A'!$I$1=1,0,'6- Est &amp; Reconcile WS'!AG185)</f>
        <v>0</v>
      </c>
      <c r="M185" s="639">
        <f>IF('Appendix A'!$I$1=1,0,'6- Est &amp; Reconcile WS'!AH185)</f>
        <v>0</v>
      </c>
      <c r="N185" s="423">
        <f t="shared" si="58"/>
        <v>0</v>
      </c>
      <c r="O185" s="423">
        <f t="shared" si="59"/>
        <v>0</v>
      </c>
      <c r="P185" s="419">
        <f t="shared" si="60"/>
        <v>0</v>
      </c>
      <c r="Q185" s="419">
        <f t="shared" si="62"/>
        <v>0</v>
      </c>
      <c r="R185" s="419">
        <f t="shared" si="63"/>
        <v>0</v>
      </c>
      <c r="S185" s="423">
        <f t="shared" si="61"/>
        <v>0</v>
      </c>
      <c r="W185" s="202" t="s">
        <v>633</v>
      </c>
      <c r="X185" s="202" t="s">
        <v>827</v>
      </c>
      <c r="Y185" s="916">
        <v>5660592.82</v>
      </c>
      <c r="Z185" s="916">
        <v>0</v>
      </c>
      <c r="AA185" s="916">
        <v>0</v>
      </c>
      <c r="AB185" s="916">
        <v>0</v>
      </c>
      <c r="AC185" s="916">
        <f aca="true" t="shared" si="64" ref="AC185:AC193">+AC184</f>
        <v>0</v>
      </c>
      <c r="AD185" s="916">
        <v>0</v>
      </c>
      <c r="AE185" s="916">
        <v>0</v>
      </c>
      <c r="AF185" s="916">
        <v>0</v>
      </c>
      <c r="AG185" s="916">
        <v>0</v>
      </c>
      <c r="AH185" s="916">
        <v>0</v>
      </c>
    </row>
    <row r="186" spans="1:34" ht="12.75">
      <c r="A186" s="830"/>
      <c r="C186" s="202" t="s">
        <v>628</v>
      </c>
      <c r="D186" s="639">
        <f>IF('Appendix A'!$I$1=1,0,'6- Est &amp; Reconcile WS'!Y186)</f>
        <v>0</v>
      </c>
      <c r="E186" s="639">
        <f>IF('Appendix A'!$I$1=1,0,'6- Est &amp; Reconcile WS'!Z186)</f>
        <v>0</v>
      </c>
      <c r="F186" s="639">
        <f>IF('Appendix A'!$I$1=1,0,'6- Est &amp; Reconcile WS'!AA186)</f>
        <v>0</v>
      </c>
      <c r="G186" s="639">
        <f>IF('Appendix A'!$I$1=1,0,'6- Est &amp; Reconcile WS'!AB186)</f>
        <v>0</v>
      </c>
      <c r="H186" s="639">
        <f>IF('Appendix A'!$I$1=1,0,'6- Est &amp; Reconcile WS'!AC186)</f>
        <v>0</v>
      </c>
      <c r="I186" s="639">
        <f>IF('Appendix A'!$I$1=1,0,'6- Est &amp; Reconcile WS'!AD186)</f>
        <v>0</v>
      </c>
      <c r="J186" s="639">
        <f>IF('Appendix A'!$I$1=1,0,'6- Est &amp; Reconcile WS'!AE186)</f>
        <v>0</v>
      </c>
      <c r="K186" s="639">
        <f>IF('Appendix A'!$I$1=1,0,'6- Est &amp; Reconcile WS'!AF186)</f>
        <v>0</v>
      </c>
      <c r="L186" s="639">
        <f>IF('Appendix A'!$I$1=1,0,'6- Est &amp; Reconcile WS'!AG186)</f>
        <v>0</v>
      </c>
      <c r="M186" s="639">
        <f>IF('Appendix A'!$I$1=1,0,'6- Est &amp; Reconcile WS'!AH186)</f>
        <v>0</v>
      </c>
      <c r="N186" s="423">
        <f t="shared" si="58"/>
        <v>0</v>
      </c>
      <c r="O186" s="423">
        <f t="shared" si="59"/>
        <v>0</v>
      </c>
      <c r="P186" s="419">
        <f t="shared" si="60"/>
        <v>0</v>
      </c>
      <c r="Q186" s="419">
        <f t="shared" si="62"/>
        <v>0</v>
      </c>
      <c r="R186" s="419">
        <f t="shared" si="63"/>
        <v>0</v>
      </c>
      <c r="S186" s="423">
        <f t="shared" si="61"/>
        <v>0</v>
      </c>
      <c r="W186" s="202" t="s">
        <v>628</v>
      </c>
      <c r="X186" s="202" t="s">
        <v>827</v>
      </c>
      <c r="Y186" s="916">
        <v>2028680.41</v>
      </c>
      <c r="Z186" s="916">
        <v>0</v>
      </c>
      <c r="AA186" s="916">
        <v>0</v>
      </c>
      <c r="AB186" s="916">
        <v>0</v>
      </c>
      <c r="AC186" s="916">
        <f t="shared" si="64"/>
        <v>0</v>
      </c>
      <c r="AD186" s="916">
        <v>0</v>
      </c>
      <c r="AE186" s="916">
        <v>0</v>
      </c>
      <c r="AF186" s="916">
        <v>0</v>
      </c>
      <c r="AG186" s="916">
        <v>0</v>
      </c>
      <c r="AH186" s="916">
        <v>0</v>
      </c>
    </row>
    <row r="187" spans="1:34" ht="12.75">
      <c r="A187" s="830"/>
      <c r="C187" s="202" t="s">
        <v>634</v>
      </c>
      <c r="D187" s="639">
        <f>IF('Appendix A'!$I$1=1,0,'6- Est &amp; Reconcile WS'!Y187)</f>
        <v>0</v>
      </c>
      <c r="E187" s="639">
        <f>IF('Appendix A'!$I$1=1,0,'6- Est &amp; Reconcile WS'!Z187)</f>
        <v>0</v>
      </c>
      <c r="F187" s="639">
        <f>IF('Appendix A'!$I$1=1,0,'6- Est &amp; Reconcile WS'!AA187)</f>
        <v>0</v>
      </c>
      <c r="G187" s="639">
        <f>IF('Appendix A'!$I$1=1,0,'6- Est &amp; Reconcile WS'!AB187)</f>
        <v>0</v>
      </c>
      <c r="H187" s="639">
        <f>IF('Appendix A'!$I$1=1,0,'6- Est &amp; Reconcile WS'!AC187)</f>
        <v>0</v>
      </c>
      <c r="I187" s="639">
        <f>IF('Appendix A'!$I$1=1,0,'6- Est &amp; Reconcile WS'!AD187)</f>
        <v>0</v>
      </c>
      <c r="J187" s="639">
        <f>IF('Appendix A'!$I$1=1,0,'6- Est &amp; Reconcile WS'!AE187)</f>
        <v>0</v>
      </c>
      <c r="K187" s="639">
        <f>IF('Appendix A'!$I$1=1,0,'6- Est &amp; Reconcile WS'!AF187)</f>
        <v>0</v>
      </c>
      <c r="L187" s="639">
        <f>IF('Appendix A'!$I$1=1,0,'6- Est &amp; Reconcile WS'!AG187)</f>
        <v>0</v>
      </c>
      <c r="M187" s="639">
        <f>IF('Appendix A'!$I$1=1,0,'6- Est &amp; Reconcile WS'!AH187)</f>
        <v>0</v>
      </c>
      <c r="N187" s="423">
        <f t="shared" si="58"/>
        <v>0</v>
      </c>
      <c r="O187" s="423">
        <f t="shared" si="59"/>
        <v>0</v>
      </c>
      <c r="P187" s="419">
        <f t="shared" si="60"/>
        <v>0</v>
      </c>
      <c r="Q187" s="419">
        <f t="shared" si="62"/>
        <v>0</v>
      </c>
      <c r="R187" s="419">
        <f t="shared" si="63"/>
        <v>0</v>
      </c>
      <c r="S187" s="423">
        <f t="shared" si="61"/>
        <v>0</v>
      </c>
      <c r="W187" s="202" t="s">
        <v>634</v>
      </c>
      <c r="X187" s="202" t="s">
        <v>827</v>
      </c>
      <c r="Y187" s="916">
        <v>8480815.46</v>
      </c>
      <c r="Z187" s="916">
        <v>0</v>
      </c>
      <c r="AA187" s="916">
        <v>0</v>
      </c>
      <c r="AB187" s="916">
        <v>0</v>
      </c>
      <c r="AC187" s="916">
        <f t="shared" si="64"/>
        <v>0</v>
      </c>
      <c r="AD187" s="916">
        <v>0</v>
      </c>
      <c r="AE187" s="916">
        <v>0</v>
      </c>
      <c r="AF187" s="916">
        <v>0</v>
      </c>
      <c r="AG187" s="916">
        <v>0</v>
      </c>
      <c r="AH187" s="916">
        <v>0</v>
      </c>
    </row>
    <row r="188" spans="1:34" ht="12.75">
      <c r="A188" s="830"/>
      <c r="C188" s="202" t="s">
        <v>635</v>
      </c>
      <c r="D188" s="639">
        <f>IF('Appendix A'!$I$1=1,0,'6- Est &amp; Reconcile WS'!Y188)</f>
        <v>0</v>
      </c>
      <c r="E188" s="639">
        <f>IF('Appendix A'!$I$1=1,0,'6- Est &amp; Reconcile WS'!Z188)</f>
        <v>0</v>
      </c>
      <c r="F188" s="639">
        <f>IF('Appendix A'!$I$1=1,0,'6- Est &amp; Reconcile WS'!AA188)</f>
        <v>0</v>
      </c>
      <c r="G188" s="639">
        <f>IF('Appendix A'!$I$1=1,0,'6- Est &amp; Reconcile WS'!AB188)</f>
        <v>0</v>
      </c>
      <c r="H188" s="639">
        <f>IF('Appendix A'!$I$1=1,0,'6- Est &amp; Reconcile WS'!AC188)</f>
        <v>0</v>
      </c>
      <c r="I188" s="639">
        <f>IF('Appendix A'!$I$1=1,0,'6- Est &amp; Reconcile WS'!AD188)</f>
        <v>0</v>
      </c>
      <c r="J188" s="639">
        <f>IF('Appendix A'!$I$1=1,0,'6- Est &amp; Reconcile WS'!AE188)</f>
        <v>0</v>
      </c>
      <c r="K188" s="639">
        <f>IF('Appendix A'!$I$1=1,0,'6- Est &amp; Reconcile WS'!AF188)</f>
        <v>0</v>
      </c>
      <c r="L188" s="639">
        <f>IF('Appendix A'!$I$1=1,0,'6- Est &amp; Reconcile WS'!AG188)</f>
        <v>0</v>
      </c>
      <c r="M188" s="639">
        <f>IF('Appendix A'!$I$1=1,0,'6- Est &amp; Reconcile WS'!AH188)</f>
        <v>0</v>
      </c>
      <c r="N188" s="423">
        <f t="shared" si="58"/>
        <v>0</v>
      </c>
      <c r="O188" s="423">
        <f t="shared" si="59"/>
        <v>0</v>
      </c>
      <c r="P188" s="419">
        <f t="shared" si="60"/>
        <v>0</v>
      </c>
      <c r="Q188" s="419">
        <f t="shared" si="62"/>
        <v>0</v>
      </c>
      <c r="R188" s="419">
        <f t="shared" si="63"/>
        <v>0</v>
      </c>
      <c r="S188" s="423">
        <f t="shared" si="61"/>
        <v>0</v>
      </c>
      <c r="W188" s="202" t="s">
        <v>635</v>
      </c>
      <c r="X188" s="202" t="s">
        <v>827</v>
      </c>
      <c r="Y188" s="916">
        <v>1832720.0599999998</v>
      </c>
      <c r="Z188" s="916">
        <v>0</v>
      </c>
      <c r="AA188" s="916">
        <v>0</v>
      </c>
      <c r="AB188" s="916">
        <v>0</v>
      </c>
      <c r="AC188" s="916">
        <f t="shared" si="64"/>
        <v>0</v>
      </c>
      <c r="AD188" s="916">
        <v>0</v>
      </c>
      <c r="AE188" s="916">
        <v>0</v>
      </c>
      <c r="AF188" s="916">
        <v>0</v>
      </c>
      <c r="AG188" s="916">
        <v>0</v>
      </c>
      <c r="AH188" s="916">
        <v>0</v>
      </c>
    </row>
    <row r="189" spans="1:34" ht="12.75">
      <c r="A189" s="830"/>
      <c r="C189" s="202" t="s">
        <v>636</v>
      </c>
      <c r="D189" s="639">
        <f>IF('Appendix A'!$I$1=1,0,'6- Est &amp; Reconcile WS'!Y189)</f>
        <v>0</v>
      </c>
      <c r="E189" s="639">
        <f>IF('Appendix A'!$I$1=1,0,'6- Est &amp; Reconcile WS'!Z189)</f>
        <v>0</v>
      </c>
      <c r="F189" s="639">
        <f>IF('Appendix A'!$I$1=1,0,'6- Est &amp; Reconcile WS'!AA189)</f>
        <v>0</v>
      </c>
      <c r="G189" s="639">
        <f>IF('Appendix A'!$I$1=1,0,'6- Est &amp; Reconcile WS'!AB189)</f>
        <v>0</v>
      </c>
      <c r="H189" s="639">
        <f>IF('Appendix A'!$I$1=1,0,'6- Est &amp; Reconcile WS'!AC189)</f>
        <v>0</v>
      </c>
      <c r="I189" s="639">
        <f>IF('Appendix A'!$I$1=1,0,'6- Est &amp; Reconcile WS'!AD189)</f>
        <v>0</v>
      </c>
      <c r="J189" s="639">
        <f>IF('Appendix A'!$I$1=1,0,'6- Est &amp; Reconcile WS'!AE189)</f>
        <v>0</v>
      </c>
      <c r="K189" s="639">
        <f>IF('Appendix A'!$I$1=1,0,'6- Est &amp; Reconcile WS'!AF189)</f>
        <v>0</v>
      </c>
      <c r="L189" s="639">
        <f>IF('Appendix A'!$I$1=1,0,'6- Est &amp; Reconcile WS'!AG189)</f>
        <v>0</v>
      </c>
      <c r="M189" s="639">
        <f>IF('Appendix A'!$I$1=1,0,'6- Est &amp; Reconcile WS'!AH189)</f>
        <v>0</v>
      </c>
      <c r="N189" s="423">
        <f t="shared" si="58"/>
        <v>0</v>
      </c>
      <c r="O189" s="423">
        <f t="shared" si="59"/>
        <v>0</v>
      </c>
      <c r="P189" s="419">
        <f t="shared" si="60"/>
        <v>0</v>
      </c>
      <c r="Q189" s="419">
        <f t="shared" si="62"/>
        <v>0</v>
      </c>
      <c r="R189" s="419">
        <f t="shared" si="63"/>
        <v>0</v>
      </c>
      <c r="S189" s="423">
        <f t="shared" si="61"/>
        <v>0</v>
      </c>
      <c r="W189" s="202" t="s">
        <v>636</v>
      </c>
      <c r="X189" s="202" t="s">
        <v>827</v>
      </c>
      <c r="Y189" s="916">
        <v>1492938.34</v>
      </c>
      <c r="Z189" s="916">
        <v>0</v>
      </c>
      <c r="AA189" s="916">
        <v>0</v>
      </c>
      <c r="AB189" s="916">
        <v>0</v>
      </c>
      <c r="AC189" s="916">
        <f t="shared" si="64"/>
        <v>0</v>
      </c>
      <c r="AD189" s="916">
        <v>0</v>
      </c>
      <c r="AE189" s="916">
        <v>0</v>
      </c>
      <c r="AF189" s="916">
        <v>0</v>
      </c>
      <c r="AG189" s="916">
        <v>0</v>
      </c>
      <c r="AH189" s="916">
        <v>0</v>
      </c>
    </row>
    <row r="190" spans="1:34" ht="12.75">
      <c r="A190" s="830"/>
      <c r="C190" s="202" t="s">
        <v>637</v>
      </c>
      <c r="D190" s="639">
        <f>IF('Appendix A'!$I$1=1,0,'6- Est &amp; Reconcile WS'!Y190)</f>
        <v>0</v>
      </c>
      <c r="E190" s="639">
        <f>IF('Appendix A'!$I$1=1,0,'6- Est &amp; Reconcile WS'!Z190)</f>
        <v>0</v>
      </c>
      <c r="F190" s="639">
        <f>IF('Appendix A'!$I$1=1,0,'6- Est &amp; Reconcile WS'!AA190)</f>
        <v>0</v>
      </c>
      <c r="G190" s="639">
        <f>IF('Appendix A'!$I$1=1,0,'6- Est &amp; Reconcile WS'!AB190)</f>
        <v>0</v>
      </c>
      <c r="H190" s="639">
        <f>IF('Appendix A'!$I$1=1,0,'6- Est &amp; Reconcile WS'!AC190)</f>
        <v>0</v>
      </c>
      <c r="I190" s="639">
        <f>IF('Appendix A'!$I$1=1,0,'6- Est &amp; Reconcile WS'!AD190)</f>
        <v>0</v>
      </c>
      <c r="J190" s="639">
        <f>IF('Appendix A'!$I$1=1,0,'6- Est &amp; Reconcile WS'!AE190)</f>
        <v>0</v>
      </c>
      <c r="K190" s="639">
        <f>IF('Appendix A'!$I$1=1,0,'6- Est &amp; Reconcile WS'!AF190)</f>
        <v>0</v>
      </c>
      <c r="L190" s="639">
        <f>IF('Appendix A'!$I$1=1,0,'6- Est &amp; Reconcile WS'!AG190)</f>
        <v>0</v>
      </c>
      <c r="M190" s="639">
        <f>IF('Appendix A'!$I$1=1,0,'6- Est &amp; Reconcile WS'!AH190)</f>
        <v>0</v>
      </c>
      <c r="N190" s="423">
        <f t="shared" si="58"/>
        <v>0</v>
      </c>
      <c r="O190" s="423">
        <f t="shared" si="59"/>
        <v>0</v>
      </c>
      <c r="P190" s="419">
        <f t="shared" si="60"/>
        <v>0</v>
      </c>
      <c r="Q190" s="419">
        <f t="shared" si="62"/>
        <v>0</v>
      </c>
      <c r="R190" s="419">
        <f t="shared" si="63"/>
        <v>0</v>
      </c>
      <c r="S190" s="423">
        <f t="shared" si="61"/>
        <v>0</v>
      </c>
      <c r="W190" s="202" t="s">
        <v>637</v>
      </c>
      <c r="X190" s="202" t="s">
        <v>827</v>
      </c>
      <c r="Y190" s="916">
        <v>2570524.76</v>
      </c>
      <c r="Z190" s="916">
        <v>0</v>
      </c>
      <c r="AA190" s="916">
        <v>0</v>
      </c>
      <c r="AB190" s="916">
        <v>0</v>
      </c>
      <c r="AC190" s="916">
        <f t="shared" si="64"/>
        <v>0</v>
      </c>
      <c r="AD190" s="916">
        <v>0</v>
      </c>
      <c r="AE190" s="916">
        <v>0</v>
      </c>
      <c r="AF190" s="916">
        <v>0</v>
      </c>
      <c r="AG190" s="916">
        <v>0</v>
      </c>
      <c r="AH190" s="916">
        <v>0</v>
      </c>
    </row>
    <row r="191" spans="1:34" ht="12.75">
      <c r="A191" s="830"/>
      <c r="C191" s="202" t="s">
        <v>638</v>
      </c>
      <c r="D191" s="639">
        <f>IF('Appendix A'!$I$1=1,0,'6- Est &amp; Reconcile WS'!Y191)</f>
        <v>0</v>
      </c>
      <c r="E191" s="639">
        <f>IF('Appendix A'!$I$1=1,0,'6- Est &amp; Reconcile WS'!Z191)</f>
        <v>0</v>
      </c>
      <c r="F191" s="639">
        <f>IF('Appendix A'!$I$1=1,0,'6- Est &amp; Reconcile WS'!AA191)</f>
        <v>0</v>
      </c>
      <c r="G191" s="639">
        <f>IF('Appendix A'!$I$1=1,0,'6- Est &amp; Reconcile WS'!AB191)</f>
        <v>0</v>
      </c>
      <c r="H191" s="639">
        <f>IF('Appendix A'!$I$1=1,0,'6- Est &amp; Reconcile WS'!AC191)</f>
        <v>0</v>
      </c>
      <c r="I191" s="639">
        <f>IF('Appendix A'!$I$1=1,0,'6- Est &amp; Reconcile WS'!AD191)</f>
        <v>0</v>
      </c>
      <c r="J191" s="639">
        <f>IF('Appendix A'!$I$1=1,0,'6- Est &amp; Reconcile WS'!AE191)</f>
        <v>0</v>
      </c>
      <c r="K191" s="639">
        <f>IF('Appendix A'!$I$1=1,0,'6- Est &amp; Reconcile WS'!AF191)</f>
        <v>0</v>
      </c>
      <c r="L191" s="639">
        <f>IF('Appendix A'!$I$1=1,0,'6- Est &amp; Reconcile WS'!AG191)</f>
        <v>0</v>
      </c>
      <c r="M191" s="639">
        <f>IF('Appendix A'!$I$1=1,0,'6- Est &amp; Reconcile WS'!AH191)</f>
        <v>0</v>
      </c>
      <c r="N191" s="423">
        <f t="shared" si="58"/>
        <v>0</v>
      </c>
      <c r="O191" s="423">
        <f t="shared" si="59"/>
        <v>0</v>
      </c>
      <c r="P191" s="419">
        <f t="shared" si="60"/>
        <v>0</v>
      </c>
      <c r="Q191" s="419">
        <f t="shared" si="62"/>
        <v>0</v>
      </c>
      <c r="R191" s="419">
        <f t="shared" si="63"/>
        <v>0</v>
      </c>
      <c r="S191" s="423">
        <f t="shared" si="61"/>
        <v>0</v>
      </c>
      <c r="W191" s="202" t="s">
        <v>638</v>
      </c>
      <c r="X191" s="202" t="s">
        <v>827</v>
      </c>
      <c r="Y191" s="916">
        <v>1585195.46</v>
      </c>
      <c r="Z191" s="916">
        <v>0</v>
      </c>
      <c r="AA191" s="916">
        <v>0</v>
      </c>
      <c r="AB191" s="916">
        <v>0</v>
      </c>
      <c r="AC191" s="916">
        <f t="shared" si="64"/>
        <v>0</v>
      </c>
      <c r="AD191" s="916">
        <v>0</v>
      </c>
      <c r="AE191" s="916">
        <v>0</v>
      </c>
      <c r="AF191" s="916">
        <v>0</v>
      </c>
      <c r="AG191" s="916">
        <v>0</v>
      </c>
      <c r="AH191" s="916">
        <v>0</v>
      </c>
    </row>
    <row r="192" spans="1:34" ht="12.75">
      <c r="A192" s="830"/>
      <c r="C192" s="202" t="s">
        <v>639</v>
      </c>
      <c r="D192" s="639">
        <f>IF('Appendix A'!$I$1=1,0,'6- Est &amp; Reconcile WS'!Y192)</f>
        <v>0</v>
      </c>
      <c r="E192" s="639">
        <f>IF('Appendix A'!$I$1=1,0,'6- Est &amp; Reconcile WS'!Z192)</f>
        <v>0</v>
      </c>
      <c r="F192" s="639">
        <f>IF('Appendix A'!$I$1=1,0,'6- Est &amp; Reconcile WS'!AA192)</f>
        <v>0</v>
      </c>
      <c r="G192" s="639">
        <f>IF('Appendix A'!$I$1=1,0,'6- Est &amp; Reconcile WS'!AB192)</f>
        <v>0</v>
      </c>
      <c r="H192" s="639">
        <f>IF('Appendix A'!$I$1=1,0,'6- Est &amp; Reconcile WS'!AC192)</f>
        <v>0</v>
      </c>
      <c r="I192" s="639">
        <f>IF('Appendix A'!$I$1=1,0,'6- Est &amp; Reconcile WS'!AD192)</f>
        <v>0</v>
      </c>
      <c r="J192" s="639">
        <f>IF('Appendix A'!$I$1=1,0,'6- Est &amp; Reconcile WS'!AE192)</f>
        <v>0</v>
      </c>
      <c r="K192" s="639">
        <f>IF('Appendix A'!$I$1=1,0,'6- Est &amp; Reconcile WS'!AF192)</f>
        <v>0</v>
      </c>
      <c r="L192" s="639">
        <f>IF('Appendix A'!$I$1=1,0,'6- Est &amp; Reconcile WS'!AG192)</f>
        <v>0</v>
      </c>
      <c r="M192" s="639">
        <f>IF('Appendix A'!$I$1=1,0,'6- Est &amp; Reconcile WS'!AH192)</f>
        <v>0</v>
      </c>
      <c r="N192" s="423">
        <f t="shared" si="58"/>
        <v>0</v>
      </c>
      <c r="O192" s="423">
        <f t="shared" si="59"/>
        <v>0</v>
      </c>
      <c r="P192" s="419">
        <f t="shared" si="60"/>
        <v>0</v>
      </c>
      <c r="Q192" s="419">
        <f t="shared" si="62"/>
        <v>0</v>
      </c>
      <c r="R192" s="419">
        <f t="shared" si="63"/>
        <v>0</v>
      </c>
      <c r="S192" s="423">
        <f t="shared" si="61"/>
        <v>0</v>
      </c>
      <c r="W192" s="202" t="s">
        <v>639</v>
      </c>
      <c r="X192" s="202" t="s">
        <v>827</v>
      </c>
      <c r="Y192" s="916">
        <v>1624544.46</v>
      </c>
      <c r="Z192" s="916">
        <v>0</v>
      </c>
      <c r="AA192" s="916">
        <v>0</v>
      </c>
      <c r="AB192" s="916">
        <v>0</v>
      </c>
      <c r="AC192" s="916">
        <f t="shared" si="64"/>
        <v>0</v>
      </c>
      <c r="AD192" s="916">
        <v>0</v>
      </c>
      <c r="AE192" s="916">
        <v>0</v>
      </c>
      <c r="AF192" s="916">
        <v>0</v>
      </c>
      <c r="AG192" s="916">
        <v>0</v>
      </c>
      <c r="AH192" s="916">
        <v>0</v>
      </c>
    </row>
    <row r="193" spans="1:34" ht="12.75">
      <c r="A193" s="830"/>
      <c r="C193" s="202" t="s">
        <v>640</v>
      </c>
      <c r="D193" s="640">
        <f>IF('Appendix A'!$I$1=1,0,'6- Est &amp; Reconcile WS'!Y193)</f>
        <v>0</v>
      </c>
      <c r="E193" s="640">
        <f>IF('Appendix A'!$I$1=1,0,'6- Est &amp; Reconcile WS'!Z193)</f>
        <v>0</v>
      </c>
      <c r="F193" s="640">
        <f>IF('Appendix A'!$I$1=1,0,'6- Est &amp; Reconcile WS'!AA193)</f>
        <v>0</v>
      </c>
      <c r="G193" s="640">
        <f>IF('Appendix A'!$I$1=1,0,'6- Est &amp; Reconcile WS'!AB193)</f>
        <v>0</v>
      </c>
      <c r="H193" s="640">
        <f>IF('Appendix A'!$I$1=1,0,'6- Est &amp; Reconcile WS'!AC193)</f>
        <v>0</v>
      </c>
      <c r="I193" s="640">
        <f>IF('Appendix A'!$I$1=1,0,'6- Est &amp; Reconcile WS'!AD193)</f>
        <v>0</v>
      </c>
      <c r="J193" s="640">
        <f>IF('Appendix A'!$I$1=1,0,'6- Est &amp; Reconcile WS'!AE193)</f>
        <v>0</v>
      </c>
      <c r="K193" s="640">
        <f>IF('Appendix A'!$I$1=1,0,'6- Est &amp; Reconcile WS'!AF193)</f>
        <v>0</v>
      </c>
      <c r="L193" s="640">
        <f>IF('Appendix A'!$I$1=1,0,'6- Est &amp; Reconcile WS'!AG193)</f>
        <v>0</v>
      </c>
      <c r="M193" s="640">
        <f>IF('Appendix A'!$I$1=1,0,'6- Est &amp; Reconcile WS'!AH193)</f>
        <v>0</v>
      </c>
      <c r="N193" s="425">
        <f t="shared" si="58"/>
        <v>0</v>
      </c>
      <c r="O193" s="425">
        <f t="shared" si="59"/>
        <v>0</v>
      </c>
      <c r="P193" s="424">
        <f t="shared" si="60"/>
        <v>0</v>
      </c>
      <c r="Q193" s="424">
        <f t="shared" si="62"/>
        <v>0</v>
      </c>
      <c r="R193" s="424">
        <f t="shared" si="63"/>
        <v>0</v>
      </c>
      <c r="S193" s="425">
        <f t="shared" si="61"/>
        <v>0</v>
      </c>
      <c r="T193" s="422"/>
      <c r="W193" s="422" t="s">
        <v>640</v>
      </c>
      <c r="X193" s="422" t="s">
        <v>827</v>
      </c>
      <c r="Y193" s="829">
        <v>8042111.340000001</v>
      </c>
      <c r="Z193" s="829">
        <v>0</v>
      </c>
      <c r="AA193" s="829">
        <v>0</v>
      </c>
      <c r="AB193" s="829">
        <v>0</v>
      </c>
      <c r="AC193" s="829">
        <f t="shared" si="64"/>
        <v>0</v>
      </c>
      <c r="AD193" s="829">
        <v>0</v>
      </c>
      <c r="AE193" s="829">
        <v>0</v>
      </c>
      <c r="AF193" s="829">
        <v>0</v>
      </c>
      <c r="AG193" s="829">
        <v>0</v>
      </c>
      <c r="AH193" s="829">
        <v>0</v>
      </c>
    </row>
    <row r="194" spans="1:34" ht="12.75">
      <c r="A194" s="830"/>
      <c r="C194" s="202" t="s">
        <v>458</v>
      </c>
      <c r="D194" s="423">
        <f>SUM(D182:D193)</f>
        <v>0</v>
      </c>
      <c r="E194" s="423">
        <f>SUM(E182:E193)</f>
        <v>0</v>
      </c>
      <c r="F194" s="423">
        <f>SUM(F182:F193)</f>
        <v>0</v>
      </c>
      <c r="G194" s="423">
        <f>SUM(G182:G193)</f>
        <v>0</v>
      </c>
      <c r="H194" s="419"/>
      <c r="I194" s="423">
        <f>SUM(I182:I193)</f>
        <v>0</v>
      </c>
      <c r="J194" s="423">
        <f>SUM(J182:J193)</f>
        <v>0</v>
      </c>
      <c r="K194" s="423">
        <f>SUM(K182:K193)</f>
        <v>0</v>
      </c>
      <c r="L194" s="423">
        <f>SUM(L182:L193)</f>
        <v>0</v>
      </c>
      <c r="M194" s="423">
        <f>SUM(M182:M193)</f>
        <v>0</v>
      </c>
      <c r="N194" s="423">
        <f aca="true" t="shared" si="65" ref="N194:S194">AVERAGE(N181:N193)</f>
        <v>0</v>
      </c>
      <c r="O194" s="423">
        <f t="shared" si="65"/>
        <v>0</v>
      </c>
      <c r="P194" s="423">
        <f t="shared" si="65"/>
        <v>0</v>
      </c>
      <c r="Q194" s="423">
        <f t="shared" si="65"/>
        <v>0</v>
      </c>
      <c r="R194" s="423">
        <f t="shared" si="65"/>
        <v>0</v>
      </c>
      <c r="S194" s="423">
        <f t="shared" si="65"/>
        <v>0</v>
      </c>
      <c r="T194" s="423">
        <f>SUM(N194:S194)</f>
        <v>0</v>
      </c>
      <c r="W194" s="202" t="s">
        <v>458</v>
      </c>
      <c r="Y194" s="423">
        <f>SUM(Y182:Y193)</f>
        <v>33822339.11000001</v>
      </c>
      <c r="Z194" s="423">
        <f>SUM(Z182:Z193)</f>
        <v>0</v>
      </c>
      <c r="AA194" s="423">
        <f>SUM(AA182:AA193)</f>
        <v>0</v>
      </c>
      <c r="AB194" s="423">
        <f>SUM(AB182:AB193)</f>
        <v>0</v>
      </c>
      <c r="AC194" s="419"/>
      <c r="AD194" s="423">
        <f>SUM(AD182:AD193)</f>
        <v>0</v>
      </c>
      <c r="AE194" s="423">
        <f>SUM(AE182:AE193)</f>
        <v>0</v>
      </c>
      <c r="AF194" s="423">
        <f>SUM(AF182:AF193)</f>
        <v>0</v>
      </c>
      <c r="AG194" s="423">
        <f>SUM(AG182:AG193)</f>
        <v>0</v>
      </c>
      <c r="AH194" s="423">
        <f>SUM(AH182:AH193)</f>
        <v>0</v>
      </c>
    </row>
    <row r="195" spans="3:17" ht="12.75">
      <c r="C195" s="202"/>
      <c r="D195" s="423"/>
      <c r="E195" s="423"/>
      <c r="F195" s="423"/>
      <c r="G195" s="423"/>
      <c r="H195" s="419"/>
      <c r="I195" s="419"/>
      <c r="J195" s="419"/>
      <c r="K195" s="419"/>
      <c r="L195" s="423"/>
      <c r="M195" s="423"/>
      <c r="N195" s="423"/>
      <c r="O195" s="423"/>
      <c r="Q195" s="423"/>
    </row>
    <row r="196" spans="3:32" ht="12.75">
      <c r="C196" s="202"/>
      <c r="D196" s="423"/>
      <c r="E196" s="423"/>
      <c r="F196" s="423" t="s">
        <v>824</v>
      </c>
      <c r="G196" s="423"/>
      <c r="H196" s="419"/>
      <c r="I196" s="423">
        <f>N194+P194+Q194+S194</f>
        <v>0</v>
      </c>
      <c r="J196" s="423" t="str">
        <f>"goes to line "&amp;'Appendix A'!$A$29&amp;" of the formula"</f>
        <v>goes to line 14 of the formula</v>
      </c>
      <c r="K196" s="419"/>
      <c r="N196" s="423"/>
      <c r="O196" s="423"/>
      <c r="AF196" s="423"/>
    </row>
    <row r="197" spans="3:15" ht="12.75">
      <c r="C197" s="202"/>
      <c r="D197" s="423"/>
      <c r="E197" s="423"/>
      <c r="F197" s="423" t="s">
        <v>812</v>
      </c>
      <c r="G197" s="423"/>
      <c r="H197" s="419"/>
      <c r="I197" s="423">
        <f>O194+R194</f>
        <v>0</v>
      </c>
      <c r="J197" s="423" t="str">
        <f>"goes to line "&amp;'Appendix A'!$A$65&amp;" of the formula"</f>
        <v>goes to line 36 of the formula</v>
      </c>
      <c r="K197" s="419"/>
      <c r="N197" s="423"/>
      <c r="O197" s="423"/>
    </row>
    <row r="198" spans="3:11" ht="12.75">
      <c r="C198" s="202"/>
      <c r="H198" s="423"/>
      <c r="I198" s="423"/>
      <c r="J198" s="423"/>
      <c r="K198" s="423"/>
    </row>
    <row r="199" spans="3:19" ht="12.75">
      <c r="C199" s="417"/>
      <c r="D199" s="202" t="s">
        <v>801</v>
      </c>
      <c r="E199" s="202" t="s">
        <v>803</v>
      </c>
      <c r="F199" s="202" t="s">
        <v>802</v>
      </c>
      <c r="G199" s="202" t="s">
        <v>804</v>
      </c>
      <c r="H199" s="202" t="s">
        <v>805</v>
      </c>
      <c r="I199" s="202" t="s">
        <v>806</v>
      </c>
      <c r="J199" s="202" t="s">
        <v>807</v>
      </c>
      <c r="K199" s="202" t="s">
        <v>808</v>
      </c>
      <c r="L199" s="202" t="s">
        <v>813</v>
      </c>
      <c r="M199" s="202" t="s">
        <v>814</v>
      </c>
      <c r="N199" s="202" t="s">
        <v>815</v>
      </c>
      <c r="O199" s="202" t="s">
        <v>816</v>
      </c>
      <c r="P199" s="202" t="s">
        <v>817</v>
      </c>
      <c r="Q199" s="202" t="s">
        <v>810</v>
      </c>
      <c r="R199" s="202" t="s">
        <v>818</v>
      </c>
      <c r="S199" s="202" t="s">
        <v>819</v>
      </c>
    </row>
    <row r="200" spans="3:19" ht="12.75">
      <c r="C200" s="417"/>
      <c r="D200" s="415" t="s">
        <v>149</v>
      </c>
      <c r="E200" s="202" t="s">
        <v>126</v>
      </c>
      <c r="F200" s="415" t="s">
        <v>591</v>
      </c>
      <c r="G200" s="415" t="s">
        <v>669</v>
      </c>
      <c r="H200" s="415" t="s">
        <v>151</v>
      </c>
      <c r="I200" s="202" t="s">
        <v>126</v>
      </c>
      <c r="J200" s="415" t="s">
        <v>591</v>
      </c>
      <c r="K200" s="415" t="s">
        <v>382</v>
      </c>
      <c r="L200" s="415" t="s">
        <v>809</v>
      </c>
      <c r="M200" s="202" t="s">
        <v>126</v>
      </c>
      <c r="N200" s="415" t="s">
        <v>591</v>
      </c>
      <c r="O200" s="415" t="s">
        <v>382</v>
      </c>
      <c r="P200" s="415" t="s">
        <v>115</v>
      </c>
      <c r="Q200" s="202" t="s">
        <v>126</v>
      </c>
      <c r="R200" s="415" t="s">
        <v>591</v>
      </c>
      <c r="S200" s="415" t="s">
        <v>382</v>
      </c>
    </row>
    <row r="201" spans="3:19" ht="12.75">
      <c r="C201" s="202"/>
      <c r="D201" s="415" t="s">
        <v>124</v>
      </c>
      <c r="E201" s="415" t="s">
        <v>127</v>
      </c>
      <c r="F201" s="415" t="s">
        <v>128</v>
      </c>
      <c r="G201" s="415"/>
      <c r="H201" s="415" t="s">
        <v>125</v>
      </c>
      <c r="I201" s="415" t="s">
        <v>127</v>
      </c>
      <c r="J201" s="415" t="s">
        <v>128</v>
      </c>
      <c r="K201" s="415" t="s">
        <v>383</v>
      </c>
      <c r="L201" s="415" t="s">
        <v>125</v>
      </c>
      <c r="M201" s="415" t="s">
        <v>127</v>
      </c>
      <c r="N201" s="415" t="s">
        <v>128</v>
      </c>
      <c r="O201" s="415" t="s">
        <v>383</v>
      </c>
      <c r="P201" s="415" t="s">
        <v>125</v>
      </c>
      <c r="Q201" s="415" t="s">
        <v>127</v>
      </c>
      <c r="R201" s="415" t="s">
        <v>128</v>
      </c>
      <c r="S201" s="415" t="s">
        <v>383</v>
      </c>
    </row>
    <row r="202" spans="3:19" ht="12.75">
      <c r="C202" s="202" t="s">
        <v>150</v>
      </c>
      <c r="D202" s="338">
        <f aca="true" t="shared" si="66" ref="D202:D214">N181</f>
        <v>0</v>
      </c>
      <c r="E202" s="762">
        <v>0.0022</v>
      </c>
      <c r="F202" s="423">
        <f aca="true" t="shared" si="67" ref="F202:F214">D202*E202</f>
        <v>0</v>
      </c>
      <c r="G202" s="423">
        <f>F202</f>
        <v>0</v>
      </c>
      <c r="H202" s="460">
        <f>P181*0</f>
        <v>0</v>
      </c>
      <c r="I202" s="762">
        <f>E202</f>
        <v>0.0022</v>
      </c>
      <c r="J202" s="423">
        <f aca="true" t="shared" si="68" ref="J202:J214">H202*I202</f>
        <v>0</v>
      </c>
      <c r="K202" s="423">
        <f>J202</f>
        <v>0</v>
      </c>
      <c r="L202" s="460">
        <f>Q181</f>
        <v>0</v>
      </c>
      <c r="M202" s="762">
        <f>E202</f>
        <v>0.0022</v>
      </c>
      <c r="N202" s="423">
        <f>L202*M202</f>
        <v>0</v>
      </c>
      <c r="O202" s="423">
        <f>N202</f>
        <v>0</v>
      </c>
      <c r="P202" s="460">
        <f>S181*0</f>
        <v>0</v>
      </c>
      <c r="Q202" s="762">
        <f>E202</f>
        <v>0.0022</v>
      </c>
      <c r="R202" s="423">
        <f aca="true" t="shared" si="69" ref="R202:R214">P202*Q202</f>
        <v>0</v>
      </c>
      <c r="S202" s="423">
        <f>R202+S118*0</f>
        <v>0</v>
      </c>
    </row>
    <row r="203" spans="3:19" ht="12.75">
      <c r="C203" s="202" t="s">
        <v>630</v>
      </c>
      <c r="D203" s="423">
        <f t="shared" si="66"/>
        <v>0</v>
      </c>
      <c r="E203" s="453">
        <f>+E202</f>
        <v>0.0022</v>
      </c>
      <c r="F203" s="423">
        <f t="shared" si="67"/>
        <v>0</v>
      </c>
      <c r="G203" s="423">
        <f>G202+F203</f>
        <v>0</v>
      </c>
      <c r="H203" s="460">
        <f aca="true" t="shared" si="70" ref="H203:H214">P182</f>
        <v>0</v>
      </c>
      <c r="I203" s="453">
        <f>+I202</f>
        <v>0.0022</v>
      </c>
      <c r="J203" s="423">
        <f t="shared" si="68"/>
        <v>0</v>
      </c>
      <c r="K203" s="423">
        <f>J203+K202</f>
        <v>0</v>
      </c>
      <c r="L203" s="460">
        <f aca="true" t="shared" si="71" ref="L203:L214">Q182</f>
        <v>0</v>
      </c>
      <c r="M203" s="977">
        <f>M202</f>
        <v>0.0022</v>
      </c>
      <c r="N203" s="423">
        <f aca="true" t="shared" si="72" ref="N203:N214">L203*M203</f>
        <v>0</v>
      </c>
      <c r="O203" s="423">
        <f>N203+O202</f>
        <v>0</v>
      </c>
      <c r="P203" s="460">
        <f aca="true" t="shared" si="73" ref="P203:P214">S182</f>
        <v>0</v>
      </c>
      <c r="Q203" s="453">
        <f>+Q202</f>
        <v>0.0022</v>
      </c>
      <c r="R203" s="423">
        <f t="shared" si="69"/>
        <v>0</v>
      </c>
      <c r="S203" s="423">
        <f>R203+S202</f>
        <v>0</v>
      </c>
    </row>
    <row r="204" spans="3:19" ht="12.75">
      <c r="C204" s="202" t="s">
        <v>631</v>
      </c>
      <c r="D204" s="423">
        <f t="shared" si="66"/>
        <v>0</v>
      </c>
      <c r="E204" s="453">
        <f aca="true" t="shared" si="74" ref="E204:E214">+E203</f>
        <v>0.0022</v>
      </c>
      <c r="F204" s="423">
        <f t="shared" si="67"/>
        <v>0</v>
      </c>
      <c r="G204" s="423">
        <f aca="true" t="shared" si="75" ref="G204:G214">G203+F204</f>
        <v>0</v>
      </c>
      <c r="H204" s="460">
        <f t="shared" si="70"/>
        <v>0</v>
      </c>
      <c r="I204" s="453">
        <f aca="true" t="shared" si="76" ref="I204:I214">+I203</f>
        <v>0.0022</v>
      </c>
      <c r="J204" s="423">
        <f t="shared" si="68"/>
        <v>0</v>
      </c>
      <c r="K204" s="423">
        <f aca="true" t="shared" si="77" ref="K204:K214">J204+K203</f>
        <v>0</v>
      </c>
      <c r="L204" s="460">
        <f t="shared" si="71"/>
        <v>0</v>
      </c>
      <c r="M204" s="977">
        <f aca="true" t="shared" si="78" ref="M204:M214">M203</f>
        <v>0.0022</v>
      </c>
      <c r="N204" s="423">
        <f t="shared" si="72"/>
        <v>0</v>
      </c>
      <c r="O204" s="423">
        <f aca="true" t="shared" si="79" ref="O204:O214">N204+O203</f>
        <v>0</v>
      </c>
      <c r="P204" s="460">
        <f t="shared" si="73"/>
        <v>0</v>
      </c>
      <c r="Q204" s="453">
        <f aca="true" t="shared" si="80" ref="Q204:Q214">+Q203</f>
        <v>0.0022</v>
      </c>
      <c r="R204" s="423">
        <f t="shared" si="69"/>
        <v>0</v>
      </c>
      <c r="S204" s="423">
        <f aca="true" t="shared" si="81" ref="S204:S214">R204+S203</f>
        <v>0</v>
      </c>
    </row>
    <row r="205" spans="3:19" ht="12.75">
      <c r="C205" s="202" t="s">
        <v>632</v>
      </c>
      <c r="D205" s="423">
        <f t="shared" si="66"/>
        <v>0</v>
      </c>
      <c r="E205" s="453">
        <f t="shared" si="74"/>
        <v>0.0022</v>
      </c>
      <c r="F205" s="423">
        <f t="shared" si="67"/>
        <v>0</v>
      </c>
      <c r="G205" s="423">
        <f t="shared" si="75"/>
        <v>0</v>
      </c>
      <c r="H205" s="460">
        <f t="shared" si="70"/>
        <v>0</v>
      </c>
      <c r="I205" s="453">
        <f t="shared" si="76"/>
        <v>0.0022</v>
      </c>
      <c r="J205" s="423">
        <f t="shared" si="68"/>
        <v>0</v>
      </c>
      <c r="K205" s="423">
        <f t="shared" si="77"/>
        <v>0</v>
      </c>
      <c r="L205" s="460">
        <f t="shared" si="71"/>
        <v>0</v>
      </c>
      <c r="M205" s="977">
        <f t="shared" si="78"/>
        <v>0.0022</v>
      </c>
      <c r="N205" s="423">
        <f t="shared" si="72"/>
        <v>0</v>
      </c>
      <c r="O205" s="423">
        <f t="shared" si="79"/>
        <v>0</v>
      </c>
      <c r="P205" s="460">
        <f t="shared" si="73"/>
        <v>0</v>
      </c>
      <c r="Q205" s="453">
        <f t="shared" si="80"/>
        <v>0.0022</v>
      </c>
      <c r="R205" s="423">
        <f t="shared" si="69"/>
        <v>0</v>
      </c>
      <c r="S205" s="423">
        <f t="shared" si="81"/>
        <v>0</v>
      </c>
    </row>
    <row r="206" spans="3:19" ht="12.75">
      <c r="C206" s="202" t="s">
        <v>633</v>
      </c>
      <c r="D206" s="423">
        <f t="shared" si="66"/>
        <v>0</v>
      </c>
      <c r="E206" s="453">
        <f t="shared" si="74"/>
        <v>0.0022</v>
      </c>
      <c r="F206" s="423">
        <f t="shared" si="67"/>
        <v>0</v>
      </c>
      <c r="G206" s="423">
        <f t="shared" si="75"/>
        <v>0</v>
      </c>
      <c r="H206" s="460">
        <f t="shared" si="70"/>
        <v>0</v>
      </c>
      <c r="I206" s="453">
        <f t="shared" si="76"/>
        <v>0.0022</v>
      </c>
      <c r="J206" s="423">
        <f t="shared" si="68"/>
        <v>0</v>
      </c>
      <c r="K206" s="423">
        <f t="shared" si="77"/>
        <v>0</v>
      </c>
      <c r="L206" s="460">
        <f t="shared" si="71"/>
        <v>0</v>
      </c>
      <c r="M206" s="977">
        <f t="shared" si="78"/>
        <v>0.0022</v>
      </c>
      <c r="N206" s="423">
        <f t="shared" si="72"/>
        <v>0</v>
      </c>
      <c r="O206" s="423">
        <f t="shared" si="79"/>
        <v>0</v>
      </c>
      <c r="P206" s="460">
        <f t="shared" si="73"/>
        <v>0</v>
      </c>
      <c r="Q206" s="453">
        <f t="shared" si="80"/>
        <v>0.0022</v>
      </c>
      <c r="R206" s="423">
        <f t="shared" si="69"/>
        <v>0</v>
      </c>
      <c r="S206" s="423">
        <f t="shared" si="81"/>
        <v>0</v>
      </c>
    </row>
    <row r="207" spans="3:19" ht="12.75">
      <c r="C207" s="202" t="s">
        <v>628</v>
      </c>
      <c r="D207" s="423">
        <f t="shared" si="66"/>
        <v>0</v>
      </c>
      <c r="E207" s="453">
        <f t="shared" si="74"/>
        <v>0.0022</v>
      </c>
      <c r="F207" s="423">
        <f t="shared" si="67"/>
        <v>0</v>
      </c>
      <c r="G207" s="423">
        <f t="shared" si="75"/>
        <v>0</v>
      </c>
      <c r="H207" s="460">
        <f t="shared" si="70"/>
        <v>0</v>
      </c>
      <c r="I207" s="453">
        <f t="shared" si="76"/>
        <v>0.0022</v>
      </c>
      <c r="J207" s="423">
        <f t="shared" si="68"/>
        <v>0</v>
      </c>
      <c r="K207" s="423">
        <f t="shared" si="77"/>
        <v>0</v>
      </c>
      <c r="L207" s="460">
        <f t="shared" si="71"/>
        <v>0</v>
      </c>
      <c r="M207" s="977">
        <f t="shared" si="78"/>
        <v>0.0022</v>
      </c>
      <c r="N207" s="423">
        <f t="shared" si="72"/>
        <v>0</v>
      </c>
      <c r="O207" s="423">
        <f t="shared" si="79"/>
        <v>0</v>
      </c>
      <c r="P207" s="460">
        <f t="shared" si="73"/>
        <v>0</v>
      </c>
      <c r="Q207" s="453">
        <f t="shared" si="80"/>
        <v>0.0022</v>
      </c>
      <c r="R207" s="423">
        <f t="shared" si="69"/>
        <v>0</v>
      </c>
      <c r="S207" s="423">
        <f t="shared" si="81"/>
        <v>0</v>
      </c>
    </row>
    <row r="208" spans="3:19" ht="12.75">
      <c r="C208" s="202" t="s">
        <v>634</v>
      </c>
      <c r="D208" s="423">
        <f t="shared" si="66"/>
        <v>0</v>
      </c>
      <c r="E208" s="453">
        <f t="shared" si="74"/>
        <v>0.0022</v>
      </c>
      <c r="F208" s="423">
        <f t="shared" si="67"/>
        <v>0</v>
      </c>
      <c r="G208" s="423">
        <f t="shared" si="75"/>
        <v>0</v>
      </c>
      <c r="H208" s="460">
        <f t="shared" si="70"/>
        <v>0</v>
      </c>
      <c r="I208" s="453">
        <f t="shared" si="76"/>
        <v>0.0022</v>
      </c>
      <c r="J208" s="423">
        <f t="shared" si="68"/>
        <v>0</v>
      </c>
      <c r="K208" s="423">
        <f t="shared" si="77"/>
        <v>0</v>
      </c>
      <c r="L208" s="460">
        <f t="shared" si="71"/>
        <v>0</v>
      </c>
      <c r="M208" s="977">
        <f t="shared" si="78"/>
        <v>0.0022</v>
      </c>
      <c r="N208" s="423">
        <f t="shared" si="72"/>
        <v>0</v>
      </c>
      <c r="O208" s="423">
        <f t="shared" si="79"/>
        <v>0</v>
      </c>
      <c r="P208" s="460">
        <f t="shared" si="73"/>
        <v>0</v>
      </c>
      <c r="Q208" s="453">
        <f t="shared" si="80"/>
        <v>0.0022</v>
      </c>
      <c r="R208" s="423">
        <f t="shared" si="69"/>
        <v>0</v>
      </c>
      <c r="S208" s="423">
        <f t="shared" si="81"/>
        <v>0</v>
      </c>
    </row>
    <row r="209" spans="3:19" ht="12.75">
      <c r="C209" s="202" t="s">
        <v>635</v>
      </c>
      <c r="D209" s="423">
        <f t="shared" si="66"/>
        <v>0</v>
      </c>
      <c r="E209" s="453">
        <f t="shared" si="74"/>
        <v>0.0022</v>
      </c>
      <c r="F209" s="423">
        <f t="shared" si="67"/>
        <v>0</v>
      </c>
      <c r="G209" s="423">
        <f t="shared" si="75"/>
        <v>0</v>
      </c>
      <c r="H209" s="460">
        <f t="shared" si="70"/>
        <v>0</v>
      </c>
      <c r="I209" s="453">
        <f t="shared" si="76"/>
        <v>0.0022</v>
      </c>
      <c r="J209" s="423">
        <f t="shared" si="68"/>
        <v>0</v>
      </c>
      <c r="K209" s="423">
        <f t="shared" si="77"/>
        <v>0</v>
      </c>
      <c r="L209" s="460">
        <f t="shared" si="71"/>
        <v>0</v>
      </c>
      <c r="M209" s="977">
        <f t="shared" si="78"/>
        <v>0.0022</v>
      </c>
      <c r="N209" s="423">
        <f t="shared" si="72"/>
        <v>0</v>
      </c>
      <c r="O209" s="423">
        <f t="shared" si="79"/>
        <v>0</v>
      </c>
      <c r="P209" s="460">
        <f t="shared" si="73"/>
        <v>0</v>
      </c>
      <c r="Q209" s="453">
        <f t="shared" si="80"/>
        <v>0.0022</v>
      </c>
      <c r="R209" s="423">
        <f t="shared" si="69"/>
        <v>0</v>
      </c>
      <c r="S209" s="423">
        <f t="shared" si="81"/>
        <v>0</v>
      </c>
    </row>
    <row r="210" spans="3:19" ht="12.75">
      <c r="C210" s="202" t="s">
        <v>636</v>
      </c>
      <c r="D210" s="423">
        <f t="shared" si="66"/>
        <v>0</v>
      </c>
      <c r="E210" s="453">
        <f t="shared" si="74"/>
        <v>0.0022</v>
      </c>
      <c r="F210" s="423">
        <f t="shared" si="67"/>
        <v>0</v>
      </c>
      <c r="G210" s="423">
        <f t="shared" si="75"/>
        <v>0</v>
      </c>
      <c r="H210" s="460">
        <f t="shared" si="70"/>
        <v>0</v>
      </c>
      <c r="I210" s="453">
        <f t="shared" si="76"/>
        <v>0.0022</v>
      </c>
      <c r="J210" s="423">
        <f t="shared" si="68"/>
        <v>0</v>
      </c>
      <c r="K210" s="423">
        <f t="shared" si="77"/>
        <v>0</v>
      </c>
      <c r="L210" s="460">
        <f t="shared" si="71"/>
        <v>0</v>
      </c>
      <c r="M210" s="977">
        <f t="shared" si="78"/>
        <v>0.0022</v>
      </c>
      <c r="N210" s="423">
        <f t="shared" si="72"/>
        <v>0</v>
      </c>
      <c r="O210" s="423">
        <f t="shared" si="79"/>
        <v>0</v>
      </c>
      <c r="P210" s="460">
        <f t="shared" si="73"/>
        <v>0</v>
      </c>
      <c r="Q210" s="453">
        <f t="shared" si="80"/>
        <v>0.0022</v>
      </c>
      <c r="R210" s="423">
        <f t="shared" si="69"/>
        <v>0</v>
      </c>
      <c r="S210" s="423">
        <f t="shared" si="81"/>
        <v>0</v>
      </c>
    </row>
    <row r="211" spans="3:19" ht="12.75">
      <c r="C211" s="202" t="s">
        <v>637</v>
      </c>
      <c r="D211" s="423">
        <f t="shared" si="66"/>
        <v>0</v>
      </c>
      <c r="E211" s="453">
        <f t="shared" si="74"/>
        <v>0.0022</v>
      </c>
      <c r="F211" s="423">
        <f t="shared" si="67"/>
        <v>0</v>
      </c>
      <c r="G211" s="423">
        <f t="shared" si="75"/>
        <v>0</v>
      </c>
      <c r="H211" s="460">
        <f t="shared" si="70"/>
        <v>0</v>
      </c>
      <c r="I211" s="453">
        <f t="shared" si="76"/>
        <v>0.0022</v>
      </c>
      <c r="J211" s="423">
        <f t="shared" si="68"/>
        <v>0</v>
      </c>
      <c r="K211" s="423">
        <f t="shared" si="77"/>
        <v>0</v>
      </c>
      <c r="L211" s="460">
        <f t="shared" si="71"/>
        <v>0</v>
      </c>
      <c r="M211" s="977">
        <f t="shared" si="78"/>
        <v>0.0022</v>
      </c>
      <c r="N211" s="423">
        <f t="shared" si="72"/>
        <v>0</v>
      </c>
      <c r="O211" s="423">
        <f t="shared" si="79"/>
        <v>0</v>
      </c>
      <c r="P211" s="460">
        <f t="shared" si="73"/>
        <v>0</v>
      </c>
      <c r="Q211" s="453">
        <f t="shared" si="80"/>
        <v>0.0022</v>
      </c>
      <c r="R211" s="423">
        <f t="shared" si="69"/>
        <v>0</v>
      </c>
      <c r="S211" s="423">
        <f t="shared" si="81"/>
        <v>0</v>
      </c>
    </row>
    <row r="212" spans="3:19" ht="12.75">
      <c r="C212" s="202" t="s">
        <v>638</v>
      </c>
      <c r="D212" s="423">
        <f t="shared" si="66"/>
        <v>0</v>
      </c>
      <c r="E212" s="453">
        <f t="shared" si="74"/>
        <v>0.0022</v>
      </c>
      <c r="F212" s="423">
        <f t="shared" si="67"/>
        <v>0</v>
      </c>
      <c r="G212" s="423">
        <f t="shared" si="75"/>
        <v>0</v>
      </c>
      <c r="H212" s="460">
        <f t="shared" si="70"/>
        <v>0</v>
      </c>
      <c r="I212" s="453">
        <f t="shared" si="76"/>
        <v>0.0022</v>
      </c>
      <c r="J212" s="423">
        <f t="shared" si="68"/>
        <v>0</v>
      </c>
      <c r="K212" s="423">
        <f t="shared" si="77"/>
        <v>0</v>
      </c>
      <c r="L212" s="460">
        <f t="shared" si="71"/>
        <v>0</v>
      </c>
      <c r="M212" s="977">
        <f t="shared" si="78"/>
        <v>0.0022</v>
      </c>
      <c r="N212" s="423">
        <f t="shared" si="72"/>
        <v>0</v>
      </c>
      <c r="O212" s="423">
        <f t="shared" si="79"/>
        <v>0</v>
      </c>
      <c r="P212" s="460">
        <f t="shared" si="73"/>
        <v>0</v>
      </c>
      <c r="Q212" s="453">
        <f t="shared" si="80"/>
        <v>0.0022</v>
      </c>
      <c r="R212" s="423">
        <f t="shared" si="69"/>
        <v>0</v>
      </c>
      <c r="S212" s="423">
        <f t="shared" si="81"/>
        <v>0</v>
      </c>
    </row>
    <row r="213" spans="3:19" ht="12.75">
      <c r="C213" s="202" t="s">
        <v>639</v>
      </c>
      <c r="D213" s="423">
        <f t="shared" si="66"/>
        <v>0</v>
      </c>
      <c r="E213" s="453">
        <f t="shared" si="74"/>
        <v>0.0022</v>
      </c>
      <c r="F213" s="423">
        <f t="shared" si="67"/>
        <v>0</v>
      </c>
      <c r="G213" s="423">
        <f t="shared" si="75"/>
        <v>0</v>
      </c>
      <c r="H213" s="460">
        <f t="shared" si="70"/>
        <v>0</v>
      </c>
      <c r="I213" s="453">
        <f t="shared" si="76"/>
        <v>0.0022</v>
      </c>
      <c r="J213" s="423">
        <f t="shared" si="68"/>
        <v>0</v>
      </c>
      <c r="K213" s="423">
        <f t="shared" si="77"/>
        <v>0</v>
      </c>
      <c r="L213" s="460">
        <f t="shared" si="71"/>
        <v>0</v>
      </c>
      <c r="M213" s="977">
        <f t="shared" si="78"/>
        <v>0.0022</v>
      </c>
      <c r="N213" s="423">
        <f t="shared" si="72"/>
        <v>0</v>
      </c>
      <c r="O213" s="423">
        <f t="shared" si="79"/>
        <v>0</v>
      </c>
      <c r="P213" s="460">
        <f t="shared" si="73"/>
        <v>0</v>
      </c>
      <c r="Q213" s="453">
        <f t="shared" si="80"/>
        <v>0.0022</v>
      </c>
      <c r="R213" s="423">
        <f t="shared" si="69"/>
        <v>0</v>
      </c>
      <c r="S213" s="423">
        <f t="shared" si="81"/>
        <v>0</v>
      </c>
    </row>
    <row r="214" spans="3:19" ht="12.75">
      <c r="C214" s="202" t="s">
        <v>640</v>
      </c>
      <c r="D214" s="425">
        <f t="shared" si="66"/>
        <v>0</v>
      </c>
      <c r="E214" s="454">
        <f t="shared" si="74"/>
        <v>0.0022</v>
      </c>
      <c r="F214" s="425">
        <f t="shared" si="67"/>
        <v>0</v>
      </c>
      <c r="G214" s="425">
        <f t="shared" si="75"/>
        <v>0</v>
      </c>
      <c r="H214" s="461">
        <f t="shared" si="70"/>
        <v>0</v>
      </c>
      <c r="I214" s="454">
        <f t="shared" si="76"/>
        <v>0.0022</v>
      </c>
      <c r="J214" s="425">
        <f t="shared" si="68"/>
        <v>0</v>
      </c>
      <c r="K214" s="425">
        <f t="shared" si="77"/>
        <v>0</v>
      </c>
      <c r="L214" s="461">
        <f t="shared" si="71"/>
        <v>0</v>
      </c>
      <c r="M214" s="978">
        <f t="shared" si="78"/>
        <v>0.0022</v>
      </c>
      <c r="N214" s="425">
        <f t="shared" si="72"/>
        <v>0</v>
      </c>
      <c r="O214" s="425">
        <f t="shared" si="79"/>
        <v>0</v>
      </c>
      <c r="P214" s="461">
        <f t="shared" si="73"/>
        <v>0</v>
      </c>
      <c r="Q214" s="454">
        <f t="shared" si="80"/>
        <v>0.0022</v>
      </c>
      <c r="R214" s="425">
        <f t="shared" si="69"/>
        <v>0</v>
      </c>
      <c r="S214" s="425">
        <f t="shared" si="81"/>
        <v>0</v>
      </c>
    </row>
    <row r="215" spans="3:19" ht="12.75">
      <c r="C215" s="202" t="s">
        <v>458</v>
      </c>
      <c r="D215" s="423"/>
      <c r="E215" s="423"/>
      <c r="F215" s="423">
        <f>SUM(F203:F214)</f>
        <v>0</v>
      </c>
      <c r="G215" s="423">
        <f>AVERAGE(G202:G214)</f>
        <v>0</v>
      </c>
      <c r="J215" s="423">
        <f>SUM(J203:J214)</f>
        <v>0</v>
      </c>
      <c r="K215" s="423">
        <f>AVERAGE(K202:K214)</f>
        <v>0</v>
      </c>
      <c r="N215" s="423">
        <f>SUM(N203:N214)</f>
        <v>0</v>
      </c>
      <c r="O215" s="423">
        <f>AVERAGE(O202:O214)</f>
        <v>0</v>
      </c>
      <c r="R215" s="423">
        <f>SUM(R203:R214)</f>
        <v>0</v>
      </c>
      <c r="S215" s="423">
        <f>AVERAGE(S202:S214)</f>
        <v>0</v>
      </c>
    </row>
    <row r="216" spans="3:19" ht="12.75">
      <c r="C216" s="202"/>
      <c r="D216" s="423"/>
      <c r="E216" s="423"/>
      <c r="F216" s="423"/>
      <c r="G216" s="423"/>
      <c r="J216" s="423"/>
      <c r="K216" s="423"/>
      <c r="N216" s="423"/>
      <c r="O216" s="423"/>
      <c r="R216" s="423"/>
      <c r="S216" s="423"/>
    </row>
    <row r="217" spans="2:11" ht="12.75">
      <c r="B217" s="202"/>
      <c r="D217" s="975" t="s">
        <v>820</v>
      </c>
      <c r="H217" s="423">
        <f>G215+K215+O215+S215</f>
        <v>0</v>
      </c>
      <c r="I217" s="423" t="str">
        <f>"goes to line "&amp;'Appendix A'!$A$43&amp;" of the formula"</f>
        <v>goes to line 23 of the formula</v>
      </c>
      <c r="K217" s="419"/>
    </row>
    <row r="218" spans="4:9" ht="12.75">
      <c r="D218" s="975" t="s">
        <v>821</v>
      </c>
      <c r="F218" s="423"/>
      <c r="H218" s="423">
        <f>F215+J215+N215+R215</f>
        <v>0</v>
      </c>
      <c r="I218" s="423" t="str">
        <f>"goes to line "&amp;'Appendix A'!$A$132&amp;" of the formula"</f>
        <v>goes to line 77 of the formula</v>
      </c>
    </row>
    <row r="219" spans="2:12" ht="12.75">
      <c r="B219" s="202"/>
      <c r="H219" s="423"/>
      <c r="I219" s="423"/>
      <c r="J219" s="423"/>
      <c r="K219" s="423"/>
      <c r="L219" s="423"/>
    </row>
    <row r="220" spans="2:13" ht="12.75">
      <c r="B220" s="429" t="str">
        <f>"Rev Req based on Year 2 data with estimated Cap Adds, Rets, CWIP and Deprec for Year 3  Cap Adds (Step "&amp;A176&amp;") and True up of Year 1 data (Step "&amp;A132&amp;")"</f>
        <v>Rev Req based on Year 2 data with estimated Cap Adds, Rets, CWIP and Deprec for Year 3  Cap Adds (Step 9) and True up of Year 1 data (Step 8)</v>
      </c>
      <c r="C220" s="202"/>
      <c r="D220" s="415"/>
      <c r="E220" s="415"/>
      <c r="G220" s="415"/>
      <c r="M220" s="423"/>
    </row>
    <row r="221" spans="3:13" ht="12.75">
      <c r="C221" s="429"/>
      <c r="D221" s="417" t="s">
        <v>697</v>
      </c>
      <c r="E221" s="415"/>
      <c r="G221" s="415"/>
      <c r="H221" s="426"/>
      <c r="I221" s="426"/>
      <c r="J221" s="426"/>
      <c r="K221" s="426"/>
      <c r="L221" s="417"/>
      <c r="M221" s="423"/>
    </row>
    <row r="222" spans="1:13" ht="12.75">
      <c r="A222" s="415">
        <f>+A14</f>
        <v>11</v>
      </c>
      <c r="B222" s="415" t="str">
        <f>+B14</f>
        <v>May</v>
      </c>
      <c r="C222" s="415" t="str">
        <f>+C14</f>
        <v>Year 3</v>
      </c>
      <c r="D222" s="417" t="str">
        <f>+D14</f>
        <v>Post results of Step 10 on PJM web site.</v>
      </c>
      <c r="E222" s="417"/>
      <c r="M222" s="417"/>
    </row>
    <row r="223" spans="4:6" ht="12.75">
      <c r="D223" s="434">
        <f>IF('Appendix A'!I1=1,0,'Appendix A'!G270)</f>
        <v>0</v>
      </c>
      <c r="E223" s="420"/>
      <c r="F223" s="202" t="str">
        <f>+D69</f>
        <v>Post results of Step 3 on PJM web site.</v>
      </c>
    </row>
    <row r="224" spans="4:6" ht="12.75">
      <c r="D224" s="992"/>
      <c r="E224" s="427"/>
      <c r="F224" s="426"/>
    </row>
    <row r="225" spans="1:5" ht="12.75">
      <c r="A225" s="415">
        <f>+A15</f>
        <v>12</v>
      </c>
      <c r="B225" s="415" t="str">
        <f>+B15</f>
        <v>June</v>
      </c>
      <c r="C225" s="415" t="str">
        <f>+C15</f>
        <v>Year 3</v>
      </c>
      <c r="D225" s="417" t="str">
        <f>+D15</f>
        <v>Results of Step 9 go into effect for the Rate Year 2.</v>
      </c>
      <c r="E225" s="417"/>
    </row>
    <row r="226" spans="4:5" ht="12.75">
      <c r="D226" s="434">
        <f>+D223</f>
        <v>0</v>
      </c>
      <c r="E226" s="434"/>
    </row>
    <row r="286" spans="3:7" ht="15.75">
      <c r="C286" s="768"/>
      <c r="D286" s="655"/>
      <c r="E286" s="655"/>
      <c r="F286" s="655"/>
      <c r="G286" s="655"/>
    </row>
    <row r="287" spans="3:7" ht="99.75" customHeight="1">
      <c r="C287" s="768"/>
      <c r="D287" s="655"/>
      <c r="E287" s="655"/>
      <c r="F287" s="655"/>
      <c r="G287" s="655"/>
    </row>
    <row r="288" spans="3:7" ht="15.75">
      <c r="C288" s="768"/>
      <c r="D288" s="655"/>
      <c r="E288" s="655"/>
      <c r="F288" s="655"/>
      <c r="G288" s="655"/>
    </row>
    <row r="289" spans="3:7" ht="15.75">
      <c r="C289" s="768"/>
      <c r="D289" s="655"/>
      <c r="E289" s="655"/>
      <c r="F289" s="655"/>
      <c r="G289" s="655"/>
    </row>
    <row r="290" spans="3:7" ht="15.75">
      <c r="C290" s="768"/>
      <c r="D290" s="655"/>
      <c r="E290" s="655"/>
      <c r="F290" s="655"/>
      <c r="G290" s="655"/>
    </row>
    <row r="291" spans="3:7" ht="15.75">
      <c r="C291" s="768"/>
      <c r="D291" s="655"/>
      <c r="E291" s="655"/>
      <c r="F291" s="655"/>
      <c r="G291" s="655"/>
    </row>
    <row r="292" spans="3:7" ht="15.75">
      <c r="C292" s="768"/>
      <c r="D292" s="655"/>
      <c r="E292" s="655"/>
      <c r="F292" s="655"/>
      <c r="G292" s="655"/>
    </row>
    <row r="293" spans="3:7" ht="15.75">
      <c r="C293" s="768"/>
      <c r="D293" s="655"/>
      <c r="E293" s="655"/>
      <c r="F293" s="655"/>
      <c r="G293" s="655"/>
    </row>
    <row r="294" spans="3:7" ht="15.75">
      <c r="C294" s="768"/>
      <c r="D294" s="655"/>
      <c r="E294" s="655"/>
      <c r="F294" s="655"/>
      <c r="G294" s="655"/>
    </row>
    <row r="295" spans="3:7" ht="15.75">
      <c r="C295" s="768"/>
      <c r="D295" s="655"/>
      <c r="E295" s="655"/>
      <c r="F295" s="655"/>
      <c r="G295" s="655"/>
    </row>
    <row r="296" spans="3:7" ht="15.75">
      <c r="C296" s="768"/>
      <c r="D296" s="655"/>
      <c r="E296" s="655"/>
      <c r="F296" s="655"/>
      <c r="G296" s="655"/>
    </row>
    <row r="297" spans="3:7" ht="15.75">
      <c r="C297" s="768"/>
      <c r="D297" s="655"/>
      <c r="E297" s="655"/>
      <c r="F297" s="655"/>
      <c r="G297" s="655"/>
    </row>
    <row r="298" spans="3:7" ht="15.75">
      <c r="C298" s="768"/>
      <c r="D298" s="655"/>
      <c r="E298" s="655"/>
      <c r="F298" s="655"/>
      <c r="G298" s="655"/>
    </row>
    <row r="299" spans="3:7" ht="15.75">
      <c r="C299" s="768"/>
      <c r="D299" s="655"/>
      <c r="E299" s="655"/>
      <c r="F299" s="655"/>
      <c r="G299" s="655"/>
    </row>
    <row r="300" spans="3:7" ht="15.75">
      <c r="C300" s="768"/>
      <c r="D300" s="655"/>
      <c r="E300" s="655"/>
      <c r="F300" s="655"/>
      <c r="G300" s="655"/>
    </row>
    <row r="301" spans="3:7" ht="15.75">
      <c r="C301" s="768"/>
      <c r="D301" s="655"/>
      <c r="E301" s="655"/>
      <c r="F301" s="655"/>
      <c r="G301" s="655"/>
    </row>
    <row r="302" spans="3:7" ht="15.75">
      <c r="C302" s="768"/>
      <c r="D302" s="655"/>
      <c r="E302" s="655"/>
      <c r="F302" s="655"/>
      <c r="G302" s="655"/>
    </row>
    <row r="303" spans="3:7" ht="15.75">
      <c r="C303" s="768"/>
      <c r="D303" s="655"/>
      <c r="E303" s="655"/>
      <c r="F303" s="655"/>
      <c r="G303" s="655"/>
    </row>
    <row r="304" spans="3:7" ht="15.75">
      <c r="C304" s="768"/>
      <c r="D304" s="655"/>
      <c r="E304" s="655"/>
      <c r="F304" s="655"/>
      <c r="G304" s="655"/>
    </row>
    <row r="305" spans="3:7" ht="15.75">
      <c r="C305" s="768"/>
      <c r="D305" s="655"/>
      <c r="E305" s="655"/>
      <c r="F305" s="655"/>
      <c r="G305" s="655"/>
    </row>
    <row r="306" spans="3:7" ht="15.75">
      <c r="C306" s="768"/>
      <c r="D306" s="655"/>
      <c r="E306" s="655"/>
      <c r="F306" s="655"/>
      <c r="G306" s="655"/>
    </row>
    <row r="307" spans="3:7" ht="15.75">
      <c r="C307" s="768"/>
      <c r="D307" s="655"/>
      <c r="E307" s="655"/>
      <c r="F307" s="655"/>
      <c r="G307" s="655"/>
    </row>
    <row r="308" spans="3:7" ht="40.5" customHeight="1">
      <c r="C308" s="768"/>
      <c r="D308" s="655"/>
      <c r="E308" s="655"/>
      <c r="F308" s="655"/>
      <c r="G308" s="655"/>
    </row>
    <row r="309" spans="3:7" ht="15.75">
      <c r="C309" s="768"/>
      <c r="D309" s="655"/>
      <c r="E309" s="655"/>
      <c r="F309" s="655"/>
      <c r="G309" s="655"/>
    </row>
    <row r="404" ht="12.75">
      <c r="A404" s="416"/>
    </row>
    <row r="405" ht="12.75">
      <c r="A405" s="416"/>
    </row>
    <row r="406" spans="1:7" ht="12.75">
      <c r="A406" s="416"/>
      <c r="B406" s="416"/>
      <c r="C406" s="416"/>
      <c r="D406" s="331"/>
      <c r="E406" s="331"/>
      <c r="F406" s="331"/>
      <c r="G406" s="331"/>
    </row>
    <row r="407" spans="1:7" ht="12.75">
      <c r="A407" s="416"/>
      <c r="B407" s="416"/>
      <c r="C407" s="416"/>
      <c r="D407" s="331"/>
      <c r="E407" s="331"/>
      <c r="F407" s="331"/>
      <c r="G407" s="331"/>
    </row>
    <row r="408" spans="1:7" ht="12.75">
      <c r="A408" s="416"/>
      <c r="B408" s="416"/>
      <c r="C408" s="416"/>
      <c r="D408" s="331"/>
      <c r="E408" s="331"/>
      <c r="F408" s="331"/>
      <c r="G408" s="331"/>
    </row>
    <row r="409" spans="1:7" ht="12.75">
      <c r="A409" s="416"/>
      <c r="B409" s="416"/>
      <c r="C409" s="416"/>
      <c r="D409" s="331"/>
      <c r="E409" s="331"/>
      <c r="F409" s="331"/>
      <c r="G409" s="331"/>
    </row>
    <row r="410" spans="1:7" ht="12.75">
      <c r="A410" s="416"/>
      <c r="B410" s="416"/>
      <c r="C410" s="416"/>
      <c r="D410" s="331"/>
      <c r="E410" s="331"/>
      <c r="F410" s="331"/>
      <c r="G410" s="331"/>
    </row>
    <row r="411" spans="1:7" ht="12.75">
      <c r="A411" s="416"/>
      <c r="B411" s="416"/>
      <c r="C411" s="416"/>
      <c r="D411" s="331"/>
      <c r="E411" s="331"/>
      <c r="F411" s="331"/>
      <c r="G411" s="331"/>
    </row>
    <row r="412" spans="1:7" ht="12.75">
      <c r="A412" s="416"/>
      <c r="B412" s="416"/>
      <c r="C412" s="416"/>
      <c r="D412" s="331"/>
      <c r="E412" s="331"/>
      <c r="F412" s="331"/>
      <c r="G412" s="331"/>
    </row>
    <row r="413" spans="2:7" ht="12.75">
      <c r="B413" s="416"/>
      <c r="C413" s="416"/>
      <c r="D413" s="331"/>
      <c r="E413" s="331"/>
      <c r="F413" s="331"/>
      <c r="G413" s="331"/>
    </row>
    <row r="414" spans="2:7" ht="12.75">
      <c r="B414" s="416"/>
      <c r="C414" s="416"/>
      <c r="D414" s="331"/>
      <c r="E414" s="331"/>
      <c r="F414" s="331"/>
      <c r="G414" s="331"/>
    </row>
  </sheetData>
  <sheetProtection/>
  <mergeCells count="3">
    <mergeCell ref="D10:N11"/>
    <mergeCell ref="D124:O125"/>
    <mergeCell ref="D132:O133"/>
  </mergeCells>
  <printOptions/>
  <pageMargins left="0.5" right="0.5" top="1" bottom="1" header="0.5" footer="0.5"/>
  <pageSetup fitToHeight="0" fitToWidth="1" horizontalDpi="600" verticalDpi="600" orientation="landscape" scale="42" r:id="rId1"/>
  <headerFooter alignWithMargins="0">
    <oddHeader>&amp;CDuquesne Light Company
Attachment H -17A
Attachment 6 - Estimate and Reconciliation Worksheet&amp;RPage &amp;P of &amp;N</oddHeader>
  </headerFooter>
  <rowBreaks count="4" manualBreakCount="4">
    <brk id="45" max="255" man="1"/>
    <brk id="102" max="19" man="1"/>
    <brk id="131" max="255" man="1"/>
    <brk id="17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C313"/>
  <sheetViews>
    <sheetView zoomScale="80" zoomScaleNormal="80" zoomScaleSheetLayoutView="100" zoomScalePageLayoutView="0" workbookViewId="0" topLeftCell="A67">
      <selection activeCell="AB34" sqref="AB34:AB75"/>
    </sheetView>
  </sheetViews>
  <sheetFormatPr defaultColWidth="9.140625" defaultRowHeight="12.75"/>
  <cols>
    <col min="1" max="1" width="5.421875" style="387" bestFit="1" customWidth="1"/>
    <col min="2" max="2" width="15.140625" style="387" customWidth="1"/>
    <col min="3" max="3" width="10.140625" style="435" customWidth="1"/>
    <col min="4" max="4" width="11.57421875" style="387" customWidth="1"/>
    <col min="5" max="5" width="13.00390625" style="387" customWidth="1"/>
    <col min="6" max="6" width="10.7109375" style="387" customWidth="1"/>
    <col min="7" max="7" width="19.00390625" style="436" customWidth="1"/>
    <col min="8" max="8" width="13.57421875" style="387" customWidth="1"/>
    <col min="9" max="9" width="12.421875" style="387" customWidth="1"/>
    <col min="10" max="10" width="11.8515625" style="387" customWidth="1"/>
    <col min="11" max="11" width="20.421875" style="436" customWidth="1"/>
    <col min="12" max="15" width="13.421875" style="436" customWidth="1"/>
    <col min="16" max="16" width="11.421875" style="436" bestFit="1" customWidth="1"/>
    <col min="17" max="17" width="16.140625" style="436" customWidth="1"/>
    <col min="18" max="18" width="11.8515625" style="436" customWidth="1"/>
    <col min="19" max="19" width="20.7109375" style="436" bestFit="1" customWidth="1"/>
    <col min="20" max="20" width="11.8515625" style="436" customWidth="1"/>
    <col min="21" max="21" width="13.7109375" style="436" customWidth="1"/>
    <col min="22" max="22" width="12.00390625" style="436" customWidth="1"/>
    <col min="23" max="23" width="19.421875" style="436" bestFit="1" customWidth="1"/>
    <col min="24" max="26" width="12.00390625" style="387" bestFit="1" customWidth="1"/>
    <col min="27" max="27" width="11.421875" style="387" bestFit="1" customWidth="1"/>
    <col min="28" max="28" width="12.28125" style="387" bestFit="1" customWidth="1"/>
    <col min="29" max="16384" width="9.140625" style="387" customWidth="1"/>
  </cols>
  <sheetData>
    <row r="1" spans="1:3" ht="12.75">
      <c r="A1" s="387" t="s">
        <v>668</v>
      </c>
      <c r="C1" s="387" t="s">
        <v>595</v>
      </c>
    </row>
    <row r="2" spans="1:23" ht="12.75">
      <c r="A2" s="387">
        <v>1</v>
      </c>
      <c r="C2" s="435">
        <f>'Appendix A'!A267</f>
        <v>165</v>
      </c>
      <c r="D2" s="387" t="str">
        <f>'Appendix A'!C267</f>
        <v>Plus any increased ROE calculated on Attachment 7 other than PJM Sch. 12 projects</v>
      </c>
      <c r="K2" s="442">
        <f>Y72-Z72</f>
        <v>3631195.719030246</v>
      </c>
      <c r="L2" s="442"/>
      <c r="M2" s="442"/>
      <c r="N2" s="442"/>
      <c r="O2" s="442"/>
      <c r="P2" s="442"/>
      <c r="Q2" s="442"/>
      <c r="R2" s="442"/>
      <c r="S2" s="442"/>
      <c r="T2" s="442"/>
      <c r="U2" s="442"/>
      <c r="V2" s="442"/>
      <c r="W2" s="442"/>
    </row>
    <row r="3" spans="5:23" ht="12.75">
      <c r="E3" s="387" t="str">
        <f>"=Incentive - Revenue Credit for the corresponding rate year"</f>
        <v>=Incentive - Revenue Credit for the corresponding rate year</v>
      </c>
      <c r="K3" s="324"/>
      <c r="L3" s="324"/>
      <c r="M3" s="324"/>
      <c r="N3" s="991"/>
      <c r="O3" s="991"/>
      <c r="P3" s="991"/>
      <c r="Q3" s="384"/>
      <c r="R3" s="384"/>
      <c r="S3" s="324"/>
      <c r="T3" s="324"/>
      <c r="U3" s="324"/>
      <c r="V3" s="324"/>
      <c r="W3" s="324"/>
    </row>
    <row r="4" spans="2:23" ht="12.75">
      <c r="B4" s="224" t="s">
        <v>705</v>
      </c>
      <c r="C4" s="437"/>
      <c r="K4" s="387"/>
      <c r="L4" s="387"/>
      <c r="M4" s="387"/>
      <c r="N4" s="991"/>
      <c r="O4" s="991"/>
      <c r="P4" s="991"/>
      <c r="Q4" s="384"/>
      <c r="R4" s="384"/>
      <c r="S4" s="387"/>
      <c r="T4" s="387"/>
      <c r="U4" s="387"/>
      <c r="V4" s="387"/>
      <c r="W4" s="387"/>
    </row>
    <row r="5" spans="1:23" ht="12.75">
      <c r="A5" s="387">
        <f>A2+1</f>
        <v>2</v>
      </c>
      <c r="B5" s="435"/>
      <c r="C5" s="435">
        <f>+'Appendix A'!A253</f>
        <v>155</v>
      </c>
      <c r="D5" s="437" t="str">
        <f>+'Appendix A'!C253</f>
        <v>Net Plant Carrying Charge without Depreciation</v>
      </c>
      <c r="G5" s="438"/>
      <c r="K5" s="439">
        <f>+'Appendix A'!G253</f>
        <v>0.17839624936348683</v>
      </c>
      <c r="L5" s="439"/>
      <c r="M5" s="439"/>
      <c r="N5" s="991"/>
      <c r="O5" s="991"/>
      <c r="P5" s="991"/>
      <c r="Q5" s="1022"/>
      <c r="R5" s="1022"/>
      <c r="S5" s="439"/>
      <c r="T5" s="439"/>
      <c r="U5" s="439"/>
      <c r="V5" s="439"/>
      <c r="W5" s="439"/>
    </row>
    <row r="6" spans="1:23" ht="12.75">
      <c r="A6" s="387">
        <f>A5+1</f>
        <v>3</v>
      </c>
      <c r="B6" s="435"/>
      <c r="C6" s="435">
        <f>+'Appendix A'!A263</f>
        <v>162</v>
      </c>
      <c r="D6" s="437" t="str">
        <f>+'Appendix A'!C263</f>
        <v>Net Plant Carrying Charge per 100 Basis Point increase in ROE without Depreciation</v>
      </c>
      <c r="G6" s="438"/>
      <c r="K6" s="439">
        <f>+'Appendix A'!G263</f>
        <v>0.18627498514663182</v>
      </c>
      <c r="L6" s="439"/>
      <c r="M6" s="439"/>
      <c r="N6" s="991"/>
      <c r="O6" s="991"/>
      <c r="P6" s="991"/>
      <c r="Q6" s="1022"/>
      <c r="R6" s="1022"/>
      <c r="S6" s="439"/>
      <c r="T6" s="439"/>
      <c r="U6" s="439"/>
      <c r="V6" s="439"/>
      <c r="W6" s="439"/>
    </row>
    <row r="7" spans="1:23" ht="12.75">
      <c r="A7" s="387">
        <f>A6+1</f>
        <v>4</v>
      </c>
      <c r="B7" s="435"/>
      <c r="D7" s="387" t="s">
        <v>581</v>
      </c>
      <c r="G7" s="438"/>
      <c r="K7" s="439">
        <f>+K6-K5</f>
        <v>0.007878735783144991</v>
      </c>
      <c r="L7" s="439"/>
      <c r="M7" s="439"/>
      <c r="N7" s="1022"/>
      <c r="O7" s="1022"/>
      <c r="P7" s="1022"/>
      <c r="Q7" s="1022"/>
      <c r="R7" s="1022"/>
      <c r="S7" s="439"/>
      <c r="T7" s="439"/>
      <c r="U7" s="439"/>
      <c r="V7" s="439"/>
      <c r="W7" s="439"/>
    </row>
    <row r="8" spans="2:23" ht="12.75">
      <c r="B8" s="224"/>
      <c r="G8" s="438"/>
      <c r="K8" s="439"/>
      <c r="L8" s="439"/>
      <c r="M8" s="439"/>
      <c r="N8" s="331"/>
      <c r="O8" s="331"/>
      <c r="P8" s="331"/>
      <c r="Q8" s="331"/>
      <c r="R8" s="331"/>
      <c r="S8" s="439"/>
      <c r="T8" s="439"/>
      <c r="U8" s="439"/>
      <c r="V8" s="439"/>
      <c r="W8" s="439"/>
    </row>
    <row r="9" spans="1:23" ht="12.75">
      <c r="A9" s="387">
        <f>A7+1</f>
        <v>5</v>
      </c>
      <c r="B9" s="435"/>
      <c r="C9" s="435">
        <f>+'Appendix A'!A254</f>
        <v>156</v>
      </c>
      <c r="D9" s="437" t="str">
        <f>+'Appendix A'!C254</f>
        <v>Net Plant Carrying Charge without Depreciation, Return, nor Income Taxes</v>
      </c>
      <c r="G9" s="438"/>
      <c r="K9" s="439">
        <f>+'Appendix A'!G254</f>
        <v>0.06940273052298247</v>
      </c>
      <c r="L9" s="439"/>
      <c r="M9" s="439"/>
      <c r="N9" s="331"/>
      <c r="O9" s="991"/>
      <c r="P9" s="331"/>
      <c r="Q9" s="331"/>
      <c r="R9" s="331"/>
      <c r="S9" s="439"/>
      <c r="T9" s="439"/>
      <c r="U9" s="439"/>
      <c r="V9" s="439"/>
      <c r="W9" s="439"/>
    </row>
    <row r="10" spans="2:20" ht="12.75">
      <c r="B10" s="435"/>
      <c r="D10" s="437"/>
      <c r="G10" s="438"/>
      <c r="N10" s="504"/>
      <c r="O10" s="991"/>
      <c r="P10" s="331"/>
      <c r="Q10" s="331"/>
      <c r="R10" s="331"/>
      <c r="T10" s="266"/>
    </row>
    <row r="11" spans="2:18" ht="12.75">
      <c r="B11" s="445"/>
      <c r="C11" s="830"/>
      <c r="D11" s="445"/>
      <c r="E11" s="445"/>
      <c r="F11" s="445"/>
      <c r="J11" s="280"/>
      <c r="M11" s="1163"/>
      <c r="N11" s="331"/>
      <c r="O11" s="991"/>
      <c r="P11" s="331"/>
      <c r="Q11" s="331"/>
      <c r="R11" s="331"/>
    </row>
    <row r="12" spans="2:17" ht="12.75">
      <c r="B12" s="202"/>
      <c r="C12" s="415"/>
      <c r="D12" s="202"/>
      <c r="E12" s="202"/>
      <c r="F12" s="202"/>
      <c r="P12" s="439"/>
      <c r="Q12" s="439"/>
    </row>
    <row r="13" spans="2:23" ht="12.75">
      <c r="B13" s="445"/>
      <c r="D13" s="381"/>
      <c r="E13" s="381"/>
      <c r="F13" s="381"/>
      <c r="G13" s="405"/>
      <c r="H13" s="331"/>
      <c r="I13" s="384"/>
      <c r="J13" s="384"/>
      <c r="K13" s="444"/>
      <c r="L13" s="444"/>
      <c r="M13" s="444"/>
      <c r="N13" s="444"/>
      <c r="O13" s="444"/>
      <c r="P13" s="331"/>
      <c r="Q13" s="384"/>
      <c r="R13" s="444"/>
      <c r="S13" s="444"/>
      <c r="T13" s="331"/>
      <c r="U13" s="384"/>
      <c r="V13" s="444"/>
      <c r="W13" s="444"/>
    </row>
    <row r="14" spans="4:23" ht="12.75">
      <c r="D14" s="331" t="s">
        <v>155</v>
      </c>
      <c r="E14" s="381"/>
      <c r="F14" s="381"/>
      <c r="G14" s="405"/>
      <c r="H14" s="331"/>
      <c r="I14" s="381"/>
      <c r="J14" s="381"/>
      <c r="K14" s="331" t="s">
        <v>157</v>
      </c>
      <c r="L14" s="331"/>
      <c r="M14" s="331"/>
      <c r="N14" s="331"/>
      <c r="O14" s="331"/>
      <c r="P14" s="331"/>
      <c r="Q14" s="331"/>
      <c r="R14" s="331"/>
      <c r="S14" s="331"/>
      <c r="T14" s="331"/>
      <c r="U14" s="331"/>
      <c r="V14" s="331"/>
      <c r="W14" s="331"/>
    </row>
    <row r="15" spans="4:23" ht="12.75">
      <c r="D15" s="331" t="s">
        <v>156</v>
      </c>
      <c r="E15" s="381"/>
      <c r="F15" s="381"/>
      <c r="G15" s="405"/>
      <c r="H15" s="331"/>
      <c r="I15" s="381"/>
      <c r="J15" s="381"/>
      <c r="K15" s="331" t="s">
        <v>295</v>
      </c>
      <c r="L15" s="331"/>
      <c r="M15" s="331"/>
      <c r="N15" s="331"/>
      <c r="O15" s="331"/>
      <c r="P15" s="331"/>
      <c r="Q15" s="331"/>
      <c r="R15" s="331"/>
      <c r="S15" s="331"/>
      <c r="T15" s="331"/>
      <c r="U15" s="331"/>
      <c r="V15" s="331"/>
      <c r="W15" s="331"/>
    </row>
    <row r="16" spans="2:23" ht="12.75">
      <c r="B16" s="202"/>
      <c r="D16" s="331" t="s">
        <v>294</v>
      </c>
      <c r="E16" s="381"/>
      <c r="F16" s="381"/>
      <c r="G16" s="405"/>
      <c r="H16" s="331"/>
      <c r="I16" s="381"/>
      <c r="J16" s="381"/>
      <c r="K16" s="331" t="str">
        <f>"Revenue Credit = Total for '"&amp;B29&amp;"' row"</f>
        <v>Revenue Credit = Total for ''FCR W base ROE'' row</v>
      </c>
      <c r="L16" s="331"/>
      <c r="M16" s="331"/>
      <c r="N16" s="331"/>
      <c r="O16" s="331"/>
      <c r="P16" s="331"/>
      <c r="Q16" s="331"/>
      <c r="R16" s="331"/>
      <c r="S16" s="331"/>
      <c r="T16" s="331"/>
      <c r="U16" s="331"/>
      <c r="V16" s="331"/>
      <c r="W16" s="331"/>
    </row>
    <row r="17" spans="2:23" ht="13.5" thickBot="1">
      <c r="B17" s="445"/>
      <c r="D17" s="452" t="str">
        <f>"Revenue= FCR* "&amp;F$28&amp;" + "&amp;F28&amp;""</f>
        <v>Revenue= FCR* Ending + Ending</v>
      </c>
      <c r="E17" s="449"/>
      <c r="F17" s="449"/>
      <c r="G17" s="450"/>
      <c r="H17" s="452"/>
      <c r="I17" s="449"/>
      <c r="J17" s="449"/>
      <c r="K17" s="450"/>
      <c r="L17" s="450"/>
      <c r="M17" s="450"/>
      <c r="N17" s="450"/>
      <c r="O17" s="450"/>
      <c r="P17" s="450"/>
      <c r="Q17" s="450"/>
      <c r="R17" s="450"/>
      <c r="S17" s="450"/>
      <c r="T17" s="405"/>
      <c r="U17" s="405"/>
      <c r="V17" s="405"/>
      <c r="W17" s="405"/>
    </row>
    <row r="18" spans="2:26" ht="12.75">
      <c r="B18" s="446" t="s">
        <v>579</v>
      </c>
      <c r="C18" s="245"/>
      <c r="D18" s="1287" t="s">
        <v>840</v>
      </c>
      <c r="E18" s="1288"/>
      <c r="F18" s="1288"/>
      <c r="G18" s="1289"/>
      <c r="H18" s="1287" t="s">
        <v>54</v>
      </c>
      <c r="I18" s="1288"/>
      <c r="J18" s="1288"/>
      <c r="K18" s="1289"/>
      <c r="L18" s="1293" t="s">
        <v>797</v>
      </c>
      <c r="M18" s="1294"/>
      <c r="N18" s="1294"/>
      <c r="O18" s="1295"/>
      <c r="P18" s="1290" t="s">
        <v>795</v>
      </c>
      <c r="Q18" s="1291"/>
      <c r="R18" s="1291"/>
      <c r="S18" s="1291"/>
      <c r="T18" s="1290" t="s">
        <v>114</v>
      </c>
      <c r="U18" s="1291"/>
      <c r="V18" s="1291"/>
      <c r="W18" s="1292"/>
      <c r="X18" s="974"/>
      <c r="Y18" s="446"/>
      <c r="Z18" s="974"/>
    </row>
    <row r="19" spans="1:26" ht="12.75">
      <c r="A19" s="387">
        <f>A9+1</f>
        <v>6</v>
      </c>
      <c r="B19" s="265" t="s">
        <v>24</v>
      </c>
      <c r="C19" s="246"/>
      <c r="D19" s="292" t="s">
        <v>97</v>
      </c>
      <c r="E19" s="440"/>
      <c r="F19" s="440"/>
      <c r="G19" s="441"/>
      <c r="H19" s="292" t="s">
        <v>97</v>
      </c>
      <c r="I19" s="440"/>
      <c r="J19" s="440"/>
      <c r="K19" s="441"/>
      <c r="L19" s="292" t="s">
        <v>97</v>
      </c>
      <c r="M19" s="440"/>
      <c r="N19" s="440"/>
      <c r="O19" s="441"/>
      <c r="P19" s="292" t="s">
        <v>97</v>
      </c>
      <c r="Q19" s="440"/>
      <c r="R19" s="440"/>
      <c r="S19" s="440"/>
      <c r="T19" s="292" t="s">
        <v>97</v>
      </c>
      <c r="U19" s="440"/>
      <c r="V19" s="440"/>
      <c r="W19" s="441"/>
      <c r="X19" s="233"/>
      <c r="Y19" s="234"/>
      <c r="Z19" s="233"/>
    </row>
    <row r="20" spans="1:26" ht="12.75">
      <c r="A20" s="387">
        <f>A19+1</f>
        <v>7</v>
      </c>
      <c r="B20" s="265" t="s">
        <v>577</v>
      </c>
      <c r="C20" s="246"/>
      <c r="D20" s="292"/>
      <c r="E20" s="238"/>
      <c r="F20" s="238"/>
      <c r="G20" s="326"/>
      <c r="H20" s="292">
        <v>43</v>
      </c>
      <c r="I20" s="238"/>
      <c r="J20" s="238"/>
      <c r="K20" s="326"/>
      <c r="L20" s="292"/>
      <c r="M20" s="238"/>
      <c r="N20" s="238"/>
      <c r="O20" s="326"/>
      <c r="P20" s="292">
        <v>43</v>
      </c>
      <c r="Q20" s="238"/>
      <c r="R20" s="238"/>
      <c r="S20" s="1201"/>
      <c r="T20" s="292">
        <v>43</v>
      </c>
      <c r="U20" s="606"/>
      <c r="V20" s="238"/>
      <c r="W20" s="326"/>
      <c r="X20" s="233"/>
      <c r="Y20" s="234"/>
      <c r="Z20" s="233"/>
    </row>
    <row r="21" spans="1:26" ht="12.75">
      <c r="A21" s="387">
        <f aca="true" t="shared" si="0" ref="A21:A72">A20+1</f>
        <v>8</v>
      </c>
      <c r="B21" s="265" t="s">
        <v>578</v>
      </c>
      <c r="C21" s="246"/>
      <c r="D21" s="292" t="s">
        <v>364</v>
      </c>
      <c r="E21" s="238"/>
      <c r="F21" s="238"/>
      <c r="G21" s="326"/>
      <c r="H21" s="292" t="s">
        <v>364</v>
      </c>
      <c r="I21" s="238"/>
      <c r="J21" s="238"/>
      <c r="K21" s="326"/>
      <c r="L21" s="292" t="s">
        <v>364</v>
      </c>
      <c r="M21" s="238"/>
      <c r="N21" s="238"/>
      <c r="O21" s="326"/>
      <c r="P21" s="292" t="s">
        <v>364</v>
      </c>
      <c r="Q21" s="238"/>
      <c r="R21" s="238"/>
      <c r="S21" s="1201"/>
      <c r="T21" s="292" t="s">
        <v>364</v>
      </c>
      <c r="U21" s="238"/>
      <c r="V21" s="238"/>
      <c r="W21" s="326"/>
      <c r="X21" s="233"/>
      <c r="Y21" s="234"/>
      <c r="Z21" s="233"/>
    </row>
    <row r="22" spans="1:26" ht="12.75">
      <c r="A22" s="387">
        <f t="shared" si="0"/>
        <v>9</v>
      </c>
      <c r="B22" s="265" t="s">
        <v>748</v>
      </c>
      <c r="C22" s="246"/>
      <c r="D22" s="292">
        <v>100</v>
      </c>
      <c r="E22" s="238"/>
      <c r="F22" s="238"/>
      <c r="G22" s="326"/>
      <c r="H22" s="292">
        <v>100</v>
      </c>
      <c r="I22" s="238"/>
      <c r="J22" s="238"/>
      <c r="K22" s="326"/>
      <c r="L22" s="292">
        <v>150</v>
      </c>
      <c r="M22" s="238"/>
      <c r="N22" s="238"/>
      <c r="O22" s="326"/>
      <c r="P22" s="292">
        <v>150</v>
      </c>
      <c r="Q22" s="238"/>
      <c r="R22" s="238"/>
      <c r="S22" s="1201"/>
      <c r="T22" s="292">
        <v>0</v>
      </c>
      <c r="U22" s="606"/>
      <c r="V22" s="238"/>
      <c r="W22" s="326"/>
      <c r="X22" s="233"/>
      <c r="Y22" s="234"/>
      <c r="Z22" s="233"/>
    </row>
    <row r="23" spans="1:26" ht="12.75">
      <c r="A23" s="387">
        <f t="shared" si="0"/>
        <v>10</v>
      </c>
      <c r="B23" s="265" t="str">
        <f>"FCR W base ROE"</f>
        <v>FCR W base ROE</v>
      </c>
      <c r="C23" s="246"/>
      <c r="D23" s="451">
        <f>+$K5</f>
        <v>0.17839624936348683</v>
      </c>
      <c r="E23" s="210"/>
      <c r="F23" s="210"/>
      <c r="G23" s="267"/>
      <c r="H23" s="451">
        <f>+$K5</f>
        <v>0.17839624936348683</v>
      </c>
      <c r="I23" s="997"/>
      <c r="J23" s="998"/>
      <c r="K23" s="999"/>
      <c r="L23" s="451">
        <f>+$K5</f>
        <v>0.17839624936348683</v>
      </c>
      <c r="M23" s="210"/>
      <c r="N23" s="210"/>
      <c r="O23" s="267"/>
      <c r="P23" s="451">
        <f>+$K5</f>
        <v>0.17839624936348683</v>
      </c>
      <c r="Q23" s="997"/>
      <c r="R23" s="998"/>
      <c r="S23" s="1202"/>
      <c r="T23" s="451">
        <f>+$K5</f>
        <v>0.17839624936348683</v>
      </c>
      <c r="U23" s="606"/>
      <c r="V23" s="238"/>
      <c r="W23" s="326"/>
      <c r="X23" s="233"/>
      <c r="Y23" s="234"/>
      <c r="Z23" s="233"/>
    </row>
    <row r="24" spans="1:26" ht="12.75">
      <c r="A24" s="387">
        <f t="shared" si="0"/>
        <v>11</v>
      </c>
      <c r="B24" s="265" t="s">
        <v>241</v>
      </c>
      <c r="C24" s="246"/>
      <c r="D24" s="451">
        <f>($K5+$K7/100*D22)</f>
        <v>0.18627498514663182</v>
      </c>
      <c r="E24" s="210"/>
      <c r="F24" s="238"/>
      <c r="G24" s="267"/>
      <c r="H24" s="451">
        <f>($K5+$K7/100*H22)</f>
        <v>0.18627498514663182</v>
      </c>
      <c r="I24" s="997"/>
      <c r="J24" s="998"/>
      <c r="K24" s="999"/>
      <c r="L24" s="451">
        <f>($K5+$K7/100*L22)</f>
        <v>0.19021435303820433</v>
      </c>
      <c r="M24" s="210"/>
      <c r="N24" s="238"/>
      <c r="O24" s="267"/>
      <c r="P24" s="451">
        <f>($K5+$K7/100*P22)</f>
        <v>0.19021435303820433</v>
      </c>
      <c r="Q24" s="997"/>
      <c r="R24" s="998"/>
      <c r="S24" s="1202"/>
      <c r="T24" s="451">
        <f>($K5+$K7/100*T22)</f>
        <v>0.17839624936348683</v>
      </c>
      <c r="U24" s="606"/>
      <c r="V24" s="238"/>
      <c r="W24" s="326"/>
      <c r="X24" s="233"/>
      <c r="Y24" s="234"/>
      <c r="Z24" s="233"/>
    </row>
    <row r="25" spans="1:26" ht="12.75">
      <c r="A25" s="387">
        <f t="shared" si="0"/>
        <v>12</v>
      </c>
      <c r="B25" s="265" t="s">
        <v>588</v>
      </c>
      <c r="C25" s="246"/>
      <c r="D25" s="680"/>
      <c r="E25" s="266"/>
      <c r="F25" s="266"/>
      <c r="G25" s="267"/>
      <c r="H25" s="867">
        <f>IF('Appendix A'!I1=1,'6- Est &amp; Reconcile WS'!G96,'6- Est &amp; Reconcile WS'!G194)</f>
        <v>0</v>
      </c>
      <c r="I25" s="266" t="s">
        <v>825</v>
      </c>
      <c r="J25" s="266"/>
      <c r="K25" s="267"/>
      <c r="L25" s="680"/>
      <c r="M25" s="266"/>
      <c r="N25" s="266"/>
      <c r="O25" s="267"/>
      <c r="P25" s="867">
        <f>IF('Appendix A'!I1=1,'6- Est &amp; Reconcile WS'!I96,'6- Est &amp; Reconcile WS'!I194)</f>
        <v>-664571.4399999985</v>
      </c>
      <c r="Q25" s="266" t="s">
        <v>243</v>
      </c>
      <c r="R25" s="266"/>
      <c r="S25" s="266"/>
      <c r="T25" s="867">
        <f>IF('Appendix A'!I1=1,'6- Est &amp; Reconcile WS'!L96,'6- Est &amp; Reconcile WS'!L194)</f>
        <v>0</v>
      </c>
      <c r="U25" s="266" t="s">
        <v>101</v>
      </c>
      <c r="V25" s="266"/>
      <c r="W25" s="267"/>
      <c r="X25" s="233"/>
      <c r="Y25" s="234"/>
      <c r="Z25" s="233"/>
    </row>
    <row r="26" spans="1:26" ht="12.75">
      <c r="A26" s="387">
        <f t="shared" si="0"/>
        <v>13</v>
      </c>
      <c r="B26" s="234" t="s">
        <v>589</v>
      </c>
      <c r="C26" s="246"/>
      <c r="D26" s="680">
        <v>0</v>
      </c>
      <c r="E26" s="266"/>
      <c r="F26" s="646"/>
      <c r="G26" s="267"/>
      <c r="H26" s="867">
        <f>IF('Appendix A'!I1=1,'6- Est &amp; Reconcile WS'!K120,57985783)</f>
        <v>51043886.945200905</v>
      </c>
      <c r="I26" s="266" t="s">
        <v>99</v>
      </c>
      <c r="J26" s="266"/>
      <c r="K26" s="267"/>
      <c r="L26" s="680">
        <v>0</v>
      </c>
      <c r="M26" s="266"/>
      <c r="N26" s="646"/>
      <c r="O26" s="267"/>
      <c r="P26" s="867">
        <f>IF('Appendix A'!I1=1,'6- Est &amp; Reconcile WS'!O120,18427676)</f>
        <v>14310453.816231012</v>
      </c>
      <c r="Q26" s="266" t="s">
        <v>99</v>
      </c>
      <c r="R26" s="266"/>
      <c r="S26" s="266"/>
      <c r="T26" s="867">
        <f>IF('Appendix A'!I1=1,'6- Est &amp; Reconcile WS'!S120,562465)</f>
        <v>479087.75363699964</v>
      </c>
      <c r="U26" s="266" t="s">
        <v>102</v>
      </c>
      <c r="V26" s="266"/>
      <c r="W26" s="267"/>
      <c r="X26" s="233"/>
      <c r="Y26" s="234"/>
      <c r="Z26" s="233"/>
    </row>
    <row r="27" spans="1:26" ht="13.5" thickBot="1">
      <c r="A27" s="387">
        <f>A26+1</f>
        <v>14</v>
      </c>
      <c r="B27" s="235" t="s">
        <v>154</v>
      </c>
      <c r="C27" s="247"/>
      <c r="D27" s="868">
        <f>IF('Appendix A'!I1=1,'6- Est &amp; Reconcile WS'!O96,+'6- Est &amp; Reconcile WS'!O194)</f>
        <v>0</v>
      </c>
      <c r="E27" s="266" t="s">
        <v>98</v>
      </c>
      <c r="F27" s="951"/>
      <c r="G27" s="952"/>
      <c r="H27" s="868">
        <f>IF('Appendix A'!I1=1,'6- Est &amp; Reconcile WS'!P96,262950644)</f>
        <v>262950644.58900008</v>
      </c>
      <c r="I27" s="266" t="s">
        <v>100</v>
      </c>
      <c r="J27" s="951"/>
      <c r="K27" s="952"/>
      <c r="L27" s="868">
        <f>IF('Appendix A'!I1=1,'6- Est &amp; Reconcile WS'!R96,+'6- Est &amp; Reconcile WS'!R194)</f>
        <v>0</v>
      </c>
      <c r="M27" s="266" t="s">
        <v>98</v>
      </c>
      <c r="N27" s="951"/>
      <c r="O27" s="952"/>
      <c r="P27" s="868">
        <f>IF('Appendix A'!I1=1,'6- Est &amp; Reconcile WS'!Q96,155913694)</f>
        <v>156126480.16976923</v>
      </c>
      <c r="Q27" s="266" t="s">
        <v>100</v>
      </c>
      <c r="R27" s="951"/>
      <c r="S27" s="951"/>
      <c r="T27" s="868">
        <f>IF('Appendix A'!I1=1,'6- Est &amp; Reconcile WS'!S96,3158242)</f>
        <v>3158242</v>
      </c>
      <c r="U27" s="951" t="s">
        <v>103</v>
      </c>
      <c r="V27" s="951"/>
      <c r="W27" s="952"/>
      <c r="X27" s="236"/>
      <c r="Y27" s="235"/>
      <c r="Z27" s="236"/>
    </row>
    <row r="28" spans="1:26" ht="40.5" customHeight="1">
      <c r="A28" s="387">
        <f t="shared" si="0"/>
        <v>15</v>
      </c>
      <c r="B28" s="244"/>
      <c r="C28" s="248" t="s">
        <v>580</v>
      </c>
      <c r="D28" s="249" t="s">
        <v>590</v>
      </c>
      <c r="E28" s="249" t="s">
        <v>591</v>
      </c>
      <c r="F28" s="249" t="s">
        <v>592</v>
      </c>
      <c r="G28" s="688" t="s">
        <v>695</v>
      </c>
      <c r="H28" s="249" t="s">
        <v>590</v>
      </c>
      <c r="I28" s="249" t="s">
        <v>591</v>
      </c>
      <c r="J28" s="249" t="s">
        <v>592</v>
      </c>
      <c r="K28" s="688" t="s">
        <v>695</v>
      </c>
      <c r="L28" s="249" t="s">
        <v>590</v>
      </c>
      <c r="M28" s="249" t="s">
        <v>591</v>
      </c>
      <c r="N28" s="249" t="s">
        <v>592</v>
      </c>
      <c r="O28" s="688" t="s">
        <v>695</v>
      </c>
      <c r="P28" s="981" t="s">
        <v>590</v>
      </c>
      <c r="Q28" s="249" t="s">
        <v>591</v>
      </c>
      <c r="R28" s="249" t="s">
        <v>592</v>
      </c>
      <c r="S28" s="688" t="s">
        <v>695</v>
      </c>
      <c r="T28" s="1200" t="s">
        <v>590</v>
      </c>
      <c r="U28" s="1200" t="s">
        <v>591</v>
      </c>
      <c r="V28" s="1200" t="s">
        <v>592</v>
      </c>
      <c r="W28" s="1203" t="s">
        <v>695</v>
      </c>
      <c r="X28" s="263" t="s">
        <v>458</v>
      </c>
      <c r="Y28" s="249" t="s">
        <v>297</v>
      </c>
      <c r="Z28" s="250" t="s">
        <v>296</v>
      </c>
    </row>
    <row r="29" spans="1:26" ht="12.75">
      <c r="A29" s="387">
        <f t="shared" si="0"/>
        <v>16</v>
      </c>
      <c r="B29" s="234" t="str">
        <f>B23</f>
        <v>FCR W base ROE</v>
      </c>
      <c r="C29" s="251">
        <v>2006</v>
      </c>
      <c r="D29" s="327">
        <f>+D27*0</f>
        <v>0</v>
      </c>
      <c r="E29" s="266">
        <v>0</v>
      </c>
      <c r="F29" s="327">
        <f>+D29-E29</f>
        <v>0</v>
      </c>
      <c r="G29" s="267">
        <f>+D$23*(D29+F29)/2+E29</f>
        <v>0</v>
      </c>
      <c r="H29" s="327">
        <v>12009449</v>
      </c>
      <c r="I29" s="266">
        <v>131821</v>
      </c>
      <c r="J29" s="327">
        <f>+H29-I29</f>
        <v>11877628</v>
      </c>
      <c r="K29" s="267">
        <f>+H$23*(J29+H29)/2</f>
        <v>2130682.4725284055</v>
      </c>
      <c r="L29" s="327">
        <f>+L27*0</f>
        <v>0</v>
      </c>
      <c r="M29" s="266">
        <v>0</v>
      </c>
      <c r="N29" s="327">
        <f aca="true" t="shared" si="1" ref="N29:N34">+L29-M29</f>
        <v>0</v>
      </c>
      <c r="O29" s="267">
        <f>+L$23*(L29+N29)/2</f>
        <v>0</v>
      </c>
      <c r="P29" s="982">
        <v>0</v>
      </c>
      <c r="Q29" s="266">
        <v>0</v>
      </c>
      <c r="R29" s="327">
        <f aca="true" t="shared" si="2" ref="R29:R40">+P29-Q29</f>
        <v>0</v>
      </c>
      <c r="S29" s="267">
        <f>+P$23*(R29+P29)/2</f>
        <v>0</v>
      </c>
      <c r="T29" s="327">
        <v>0</v>
      </c>
      <c r="U29" s="266">
        <v>0</v>
      </c>
      <c r="V29" s="327">
        <f>+T29-U29</f>
        <v>0</v>
      </c>
      <c r="W29" s="267">
        <f>+T$23*(V29+T29)/2</f>
        <v>0</v>
      </c>
      <c r="X29" s="264">
        <f aca="true" t="shared" si="3" ref="X29:X70">+G29+K29+O29+S29+W29</f>
        <v>2130682.4725284055</v>
      </c>
      <c r="Y29" s="209"/>
      <c r="Z29" s="252">
        <f>+X29</f>
        <v>2130682.4725284055</v>
      </c>
    </row>
    <row r="30" spans="1:29" ht="12.75">
      <c r="A30" s="387">
        <f t="shared" si="0"/>
        <v>17</v>
      </c>
      <c r="B30" s="234" t="s">
        <v>749</v>
      </c>
      <c r="C30" s="251">
        <v>2006</v>
      </c>
      <c r="D30" s="327">
        <f>+D29</f>
        <v>0</v>
      </c>
      <c r="E30" s="266">
        <v>0</v>
      </c>
      <c r="F30" s="327">
        <f aca="true" t="shared" si="4" ref="F30:F70">+D30-E30</f>
        <v>0</v>
      </c>
      <c r="G30" s="267">
        <f>+D$24*(F30+D30)/2+E30</f>
        <v>0</v>
      </c>
      <c r="H30" s="327">
        <f>+H29</f>
        <v>12009449</v>
      </c>
      <c r="I30" s="266">
        <f>+I29</f>
        <v>131821</v>
      </c>
      <c r="J30" s="327">
        <f>+H30-I30</f>
        <v>11877628</v>
      </c>
      <c r="K30" s="267">
        <f>+H$24*(J30+H30)/2</f>
        <v>2224782.456685725</v>
      </c>
      <c r="L30" s="327">
        <f>+L29</f>
        <v>0</v>
      </c>
      <c r="M30" s="266">
        <v>0</v>
      </c>
      <c r="N30" s="327">
        <f t="shared" si="1"/>
        <v>0</v>
      </c>
      <c r="O30" s="267">
        <f>+L$24*(N30+L30)/2</f>
        <v>0</v>
      </c>
      <c r="P30" s="982">
        <f>+P29</f>
        <v>0</v>
      </c>
      <c r="Q30" s="266">
        <f>+Q29</f>
        <v>0</v>
      </c>
      <c r="R30" s="327">
        <f t="shared" si="2"/>
        <v>0</v>
      </c>
      <c r="S30" s="267">
        <f>+P$24*(R30+P30)/2</f>
        <v>0</v>
      </c>
      <c r="T30" s="327">
        <f>+T29</f>
        <v>0</v>
      </c>
      <c r="U30" s="266">
        <f>+U29</f>
        <v>0</v>
      </c>
      <c r="V30" s="327">
        <f>+T30-U30</f>
        <v>0</v>
      </c>
      <c r="W30" s="267">
        <f>+T$24*(V30+T30)/2</f>
        <v>0</v>
      </c>
      <c r="X30" s="264">
        <f t="shared" si="3"/>
        <v>2224782.456685725</v>
      </c>
      <c r="Y30" s="253">
        <f>+X30</f>
        <v>2224782.456685725</v>
      </c>
      <c r="Z30" s="233"/>
      <c r="AA30" s="863"/>
      <c r="AB30" s="863"/>
      <c r="AC30" s="863"/>
    </row>
    <row r="31" spans="1:26" ht="12.75">
      <c r="A31" s="387">
        <f t="shared" si="0"/>
        <v>18</v>
      </c>
      <c r="B31" s="234" t="str">
        <f>+B29</f>
        <v>FCR W base ROE</v>
      </c>
      <c r="C31" s="251">
        <f aca="true" t="shared" si="5" ref="C31:C70">+C29+1</f>
        <v>2007</v>
      </c>
      <c r="D31" s="327">
        <f>D27*0</f>
        <v>0</v>
      </c>
      <c r="E31" s="327">
        <f>+D$26</f>
        <v>0</v>
      </c>
      <c r="F31" s="327">
        <f t="shared" si="4"/>
        <v>0</v>
      </c>
      <c r="G31" s="267">
        <f>+D$23*(D31+F31)/2+E31</f>
        <v>0</v>
      </c>
      <c r="H31" s="327">
        <v>50485747.27946154</v>
      </c>
      <c r="I31" s="266">
        <v>776717.5581861077</v>
      </c>
      <c r="J31" s="327">
        <f>+H31-I31</f>
        <v>49709029.721275434</v>
      </c>
      <c r="K31" s="267">
        <f>+H$23*(J31+H31)/2</f>
        <v>8937186.211371215</v>
      </c>
      <c r="L31" s="327">
        <f>L27*0</f>
        <v>0</v>
      </c>
      <c r="M31" s="327">
        <f>+L$26</f>
        <v>0</v>
      </c>
      <c r="N31" s="327">
        <f t="shared" si="1"/>
        <v>0</v>
      </c>
      <c r="O31" s="267">
        <f>+L$23*(L31+N31)/2</f>
        <v>0</v>
      </c>
      <c r="P31" s="982">
        <v>0</v>
      </c>
      <c r="Q31" s="266">
        <v>0</v>
      </c>
      <c r="R31" s="327">
        <f t="shared" si="2"/>
        <v>0</v>
      </c>
      <c r="S31" s="267">
        <f>+P$23*(R31+P31)/2</f>
        <v>0</v>
      </c>
      <c r="T31" s="327">
        <v>0</v>
      </c>
      <c r="U31" s="266">
        <v>0</v>
      </c>
      <c r="V31" s="327">
        <f>+T31-U31</f>
        <v>0</v>
      </c>
      <c r="W31" s="267">
        <f>+T$23*(V31+T31)/2</f>
        <v>0</v>
      </c>
      <c r="X31" s="264">
        <f t="shared" si="3"/>
        <v>8937186.211371215</v>
      </c>
      <c r="Y31" s="209"/>
      <c r="Z31" s="252">
        <f>+X31</f>
        <v>8937186.211371215</v>
      </c>
    </row>
    <row r="32" spans="1:29" ht="12.75">
      <c r="A32" s="387">
        <f t="shared" si="0"/>
        <v>19</v>
      </c>
      <c r="B32" s="234" t="str">
        <f>+B30</f>
        <v>W Increased ROE</v>
      </c>
      <c r="C32" s="251">
        <f t="shared" si="5"/>
        <v>2007</v>
      </c>
      <c r="D32" s="327">
        <f>+D31</f>
        <v>0</v>
      </c>
      <c r="E32" s="327">
        <f>+E31</f>
        <v>0</v>
      </c>
      <c r="F32" s="327">
        <f t="shared" si="4"/>
        <v>0</v>
      </c>
      <c r="G32" s="267">
        <f>+D$24*(F32+D32)/2+E32</f>
        <v>0</v>
      </c>
      <c r="H32" s="327">
        <f>H31</f>
        <v>50485747.27946154</v>
      </c>
      <c r="I32" s="266">
        <f>I31</f>
        <v>776717.5581861077</v>
      </c>
      <c r="J32" s="327">
        <f>+H32-I32</f>
        <v>49709029.721275434</v>
      </c>
      <c r="K32" s="267">
        <f>+H$24*(J32+H32)/2</f>
        <v>9331890.298791185</v>
      </c>
      <c r="L32" s="327">
        <f>+L31</f>
        <v>0</v>
      </c>
      <c r="M32" s="327">
        <f>+M31</f>
        <v>0</v>
      </c>
      <c r="N32" s="327">
        <f t="shared" si="1"/>
        <v>0</v>
      </c>
      <c r="O32" s="267">
        <f>+L$24*(N32+L32)/2</f>
        <v>0</v>
      </c>
      <c r="P32" s="982">
        <f>+P31</f>
        <v>0</v>
      </c>
      <c r="Q32" s="266">
        <f>+Q31</f>
        <v>0</v>
      </c>
      <c r="R32" s="327">
        <f t="shared" si="2"/>
        <v>0</v>
      </c>
      <c r="S32" s="267">
        <f>+P$24*(R32+P32)/2</f>
        <v>0</v>
      </c>
      <c r="T32" s="327">
        <f>T31</f>
        <v>0</v>
      </c>
      <c r="U32" s="266">
        <f>U31</f>
        <v>0</v>
      </c>
      <c r="V32" s="327">
        <f>+T32-U32</f>
        <v>0</v>
      </c>
      <c r="W32" s="267">
        <f>+T$24*(V32+T32)/2</f>
        <v>0</v>
      </c>
      <c r="X32" s="264">
        <f t="shared" si="3"/>
        <v>9331890.298791185</v>
      </c>
      <c r="Y32" s="253">
        <f>+X32</f>
        <v>9331890.298791185</v>
      </c>
      <c r="Z32" s="233"/>
      <c r="AA32" s="863"/>
      <c r="AB32" s="863"/>
      <c r="AC32" s="863"/>
    </row>
    <row r="33" spans="1:26" ht="12.75">
      <c r="A33" s="387">
        <f t="shared" si="0"/>
        <v>20</v>
      </c>
      <c r="B33" s="234" t="str">
        <f aca="true" t="shared" si="6" ref="B33:B70">+B31</f>
        <v>FCR W base ROE</v>
      </c>
      <c r="C33" s="251">
        <f t="shared" si="5"/>
        <v>2008</v>
      </c>
      <c r="D33" s="327">
        <f>D27*0</f>
        <v>0</v>
      </c>
      <c r="E33" s="327">
        <f>+D$26</f>
        <v>0</v>
      </c>
      <c r="F33" s="327">
        <f t="shared" si="4"/>
        <v>0</v>
      </c>
      <c r="G33" s="267">
        <f>+D$23*(D33+F33)/2+E33</f>
        <v>0</v>
      </c>
      <c r="H33" s="327">
        <v>96868229.69999999</v>
      </c>
      <c r="I33" s="327">
        <v>1396150.8309223847</v>
      </c>
      <c r="J33" s="327">
        <f>+H33-I33</f>
        <v>95472078.86907761</v>
      </c>
      <c r="K33" s="267">
        <f>+H$23*(J33+H33)/2</f>
        <v>17156394.825069588</v>
      </c>
      <c r="L33" s="327">
        <f>L27*0</f>
        <v>0</v>
      </c>
      <c r="M33" s="327">
        <f>+L$26</f>
        <v>0</v>
      </c>
      <c r="N33" s="327">
        <f t="shared" si="1"/>
        <v>0</v>
      </c>
      <c r="O33" s="267">
        <f>+L$23*(L33+N33)/2</f>
        <v>0</v>
      </c>
      <c r="P33" s="982">
        <v>0</v>
      </c>
      <c r="Q33" s="266">
        <v>0</v>
      </c>
      <c r="R33" s="327">
        <f t="shared" si="2"/>
        <v>0</v>
      </c>
      <c r="S33" s="267">
        <f>+P$23*(R33+P33)/2</f>
        <v>0</v>
      </c>
      <c r="T33" s="327">
        <v>0</v>
      </c>
      <c r="U33" s="327">
        <v>0</v>
      </c>
      <c r="V33" s="327">
        <v>0</v>
      </c>
      <c r="W33" s="267">
        <f>+T$23*(V33+T33)/2</f>
        <v>0</v>
      </c>
      <c r="X33" s="264">
        <f t="shared" si="3"/>
        <v>17156394.825069588</v>
      </c>
      <c r="Y33" s="209"/>
      <c r="Z33" s="252">
        <f>+X33</f>
        <v>17156394.825069588</v>
      </c>
    </row>
    <row r="34" spans="1:27" ht="12.75">
      <c r="A34" s="387">
        <f t="shared" si="0"/>
        <v>21</v>
      </c>
      <c r="B34" s="234" t="str">
        <f t="shared" si="6"/>
        <v>W Increased ROE</v>
      </c>
      <c r="C34" s="251">
        <f t="shared" si="5"/>
        <v>2008</v>
      </c>
      <c r="D34" s="327">
        <f>+D33</f>
        <v>0</v>
      </c>
      <c r="E34" s="327">
        <f>+E33</f>
        <v>0</v>
      </c>
      <c r="F34" s="327">
        <f t="shared" si="4"/>
        <v>0</v>
      </c>
      <c r="G34" s="267">
        <f>+D$24*(F34+D34)/2+E34</f>
        <v>0</v>
      </c>
      <c r="H34" s="327">
        <f>+H33</f>
        <v>96868229.69999999</v>
      </c>
      <c r="I34" s="327">
        <f>I33</f>
        <v>1396150.8309223847</v>
      </c>
      <c r="J34" s="327">
        <f>+J33</f>
        <v>95472078.86907761</v>
      </c>
      <c r="K34" s="267">
        <f>+H$24*(J34+H34)/2</f>
        <v>17914094.060901757</v>
      </c>
      <c r="L34" s="327">
        <f>+L33</f>
        <v>0</v>
      </c>
      <c r="M34" s="327">
        <f>+M33</f>
        <v>0</v>
      </c>
      <c r="N34" s="327">
        <f t="shared" si="1"/>
        <v>0</v>
      </c>
      <c r="O34" s="267">
        <f>+L$24*(N34+L34)/2</f>
        <v>0</v>
      </c>
      <c r="P34" s="982">
        <f>+P33</f>
        <v>0</v>
      </c>
      <c r="Q34" s="266">
        <f>+Q33</f>
        <v>0</v>
      </c>
      <c r="R34" s="327">
        <f t="shared" si="2"/>
        <v>0</v>
      </c>
      <c r="S34" s="267">
        <f>+P$24*(R34+P34)/2</f>
        <v>0</v>
      </c>
      <c r="T34" s="327">
        <f>+T33</f>
        <v>0</v>
      </c>
      <c r="U34" s="327">
        <f>U33</f>
        <v>0</v>
      </c>
      <c r="V34" s="327">
        <f>+V33</f>
        <v>0</v>
      </c>
      <c r="W34" s="267">
        <f>+T$24*(V34+T34)/2</f>
        <v>0</v>
      </c>
      <c r="X34" s="264">
        <f t="shared" si="3"/>
        <v>17914094.060901757</v>
      </c>
      <c r="Y34" s="253">
        <f>+X34</f>
        <v>17914094.060901757</v>
      </c>
      <c r="Z34" s="233"/>
      <c r="AA34" s="442"/>
    </row>
    <row r="35" spans="1:26" s="324" customFormat="1" ht="12.75">
      <c r="A35" s="324">
        <f t="shared" si="0"/>
        <v>22</v>
      </c>
      <c r="B35" s="265" t="str">
        <f t="shared" si="6"/>
        <v>FCR W base ROE</v>
      </c>
      <c r="C35" s="985">
        <f t="shared" si="5"/>
        <v>2009</v>
      </c>
      <c r="D35" s="327">
        <f>IF('Appendix A'!I1=1,'7 - Cap Add WS'!D27,0)*0</f>
        <v>0</v>
      </c>
      <c r="E35" s="327">
        <f>+D$26</f>
        <v>0</v>
      </c>
      <c r="F35" s="327">
        <f t="shared" si="4"/>
        <v>0</v>
      </c>
      <c r="G35" s="267">
        <f>+D$23*(D35+F35)/2+E35</f>
        <v>0</v>
      </c>
      <c r="H35" s="327">
        <v>115267201.65107693</v>
      </c>
      <c r="I35" s="327">
        <v>4954232.13815247</v>
      </c>
      <c r="J35" s="327">
        <f>+H35-I35</f>
        <v>110312969.51292446</v>
      </c>
      <c r="K35" s="267">
        <f>+H$23*(J35+H35)/2</f>
        <v>20121328.23321562</v>
      </c>
      <c r="L35" s="327">
        <f>L29*0</f>
        <v>0</v>
      </c>
      <c r="M35" s="327">
        <f>+L$26</f>
        <v>0</v>
      </c>
      <c r="N35" s="327">
        <f aca="true" t="shared" si="7" ref="N35:N46">+L35-M35</f>
        <v>0</v>
      </c>
      <c r="O35" s="267">
        <f>+L$23*(L35+N35)/2</f>
        <v>0</v>
      </c>
      <c r="P35" s="982">
        <v>0</v>
      </c>
      <c r="Q35" s="266">
        <v>0</v>
      </c>
      <c r="R35" s="327">
        <f t="shared" si="2"/>
        <v>0</v>
      </c>
      <c r="S35" s="267">
        <f>+P$23*(R35+P35)/2</f>
        <v>0</v>
      </c>
      <c r="T35" s="327">
        <v>0</v>
      </c>
      <c r="U35" s="327">
        <v>0</v>
      </c>
      <c r="V35" s="327">
        <f>+T35-U35</f>
        <v>0</v>
      </c>
      <c r="W35" s="267">
        <f>+T$23*(V35+T35)/2</f>
        <v>0</v>
      </c>
      <c r="X35" s="986">
        <f t="shared" si="3"/>
        <v>20121328.23321562</v>
      </c>
      <c r="Y35" s="210"/>
      <c r="Z35" s="987">
        <f>+X35</f>
        <v>20121328.23321562</v>
      </c>
    </row>
    <row r="36" spans="1:28" s="324" customFormat="1" ht="12.75">
      <c r="A36" s="324">
        <f t="shared" si="0"/>
        <v>23</v>
      </c>
      <c r="B36" s="265" t="str">
        <f t="shared" si="6"/>
        <v>W Increased ROE</v>
      </c>
      <c r="C36" s="985">
        <f t="shared" si="5"/>
        <v>2009</v>
      </c>
      <c r="D36" s="327">
        <f>+D35</f>
        <v>0</v>
      </c>
      <c r="E36" s="327">
        <f>+E35</f>
        <v>0</v>
      </c>
      <c r="F36" s="327">
        <f t="shared" si="4"/>
        <v>0</v>
      </c>
      <c r="G36" s="267">
        <f>+D$24*(F36+D36)/2+E36</f>
        <v>0</v>
      </c>
      <c r="H36" s="327">
        <f>H35</f>
        <v>115267201.65107693</v>
      </c>
      <c r="I36" s="327">
        <f>I35</f>
        <v>4954232.13815247</v>
      </c>
      <c r="J36" s="327">
        <f>+J35</f>
        <v>110312969.51292446</v>
      </c>
      <c r="K36" s="267">
        <f>+H$24*(J36+H36)/2</f>
        <v>21009971.51647451</v>
      </c>
      <c r="L36" s="327">
        <f>+L35</f>
        <v>0</v>
      </c>
      <c r="M36" s="327">
        <f>+M35</f>
        <v>0</v>
      </c>
      <c r="N36" s="327">
        <f t="shared" si="7"/>
        <v>0</v>
      </c>
      <c r="O36" s="267">
        <f>+L$24*(N36+L36)/2</f>
        <v>0</v>
      </c>
      <c r="P36" s="982">
        <f>+P35</f>
        <v>0</v>
      </c>
      <c r="Q36" s="266">
        <f>+Q35</f>
        <v>0</v>
      </c>
      <c r="R36" s="327">
        <f t="shared" si="2"/>
        <v>0</v>
      </c>
      <c r="S36" s="267">
        <f>+P$24*(R36+P36)/2</f>
        <v>0</v>
      </c>
      <c r="T36" s="327">
        <f>T35</f>
        <v>0</v>
      </c>
      <c r="U36" s="327">
        <f>U35</f>
        <v>0</v>
      </c>
      <c r="V36" s="327">
        <f>+V35</f>
        <v>0</v>
      </c>
      <c r="W36" s="267">
        <f>+T$24*(V36+T36)/2</f>
        <v>0</v>
      </c>
      <c r="X36" s="986">
        <f t="shared" si="3"/>
        <v>21009971.51647451</v>
      </c>
      <c r="Y36" s="988">
        <f>+X36</f>
        <v>21009971.51647451</v>
      </c>
      <c r="Z36" s="989"/>
      <c r="AB36" s="990"/>
    </row>
    <row r="37" spans="1:26" s="324" customFormat="1" ht="12.75">
      <c r="A37" s="324">
        <f t="shared" si="0"/>
        <v>24</v>
      </c>
      <c r="B37" s="265" t="str">
        <f t="shared" si="6"/>
        <v>FCR W base ROE</v>
      </c>
      <c r="C37" s="985">
        <f t="shared" si="5"/>
        <v>2010</v>
      </c>
      <c r="D37" s="327">
        <f>IF('Appendix A'!I1=1,'7 - Cap Add WS'!D27,0)*0</f>
        <v>0</v>
      </c>
      <c r="E37" s="327">
        <f>+D$26</f>
        <v>0</v>
      </c>
      <c r="F37" s="327">
        <f t="shared" si="4"/>
        <v>0</v>
      </c>
      <c r="G37" s="267">
        <f>+D$23*(D37+F37)/2+E37</f>
        <v>0</v>
      </c>
      <c r="H37" s="327">
        <v>195470338.322</v>
      </c>
      <c r="I37" s="327">
        <v>8478483.091957407</v>
      </c>
      <c r="J37" s="327">
        <f>+H37-I37</f>
        <v>186991855.23004258</v>
      </c>
      <c r="K37" s="267">
        <f>+H$23*(J37+H37)/2</f>
        <v>34114910.42650818</v>
      </c>
      <c r="L37" s="327">
        <f>IF('Appendix A'!I1=1,'7 - Cap Add WS'!L27,0)*0</f>
        <v>0</v>
      </c>
      <c r="M37" s="327">
        <f>+L$26</f>
        <v>0</v>
      </c>
      <c r="N37" s="327">
        <f t="shared" si="7"/>
        <v>0</v>
      </c>
      <c r="O37" s="267">
        <f>+L$23*(L37+N37)/2</f>
        <v>0</v>
      </c>
      <c r="P37" s="982">
        <v>0</v>
      </c>
      <c r="Q37" s="266">
        <v>0</v>
      </c>
      <c r="R37" s="327">
        <f t="shared" si="2"/>
        <v>0</v>
      </c>
      <c r="S37" s="267">
        <f>+P$23*(R37+P37)/2</f>
        <v>0</v>
      </c>
      <c r="T37" s="327">
        <v>0</v>
      </c>
      <c r="U37" s="327">
        <v>0</v>
      </c>
      <c r="V37" s="327">
        <f>+T37-U37</f>
        <v>0</v>
      </c>
      <c r="W37" s="267">
        <f>+T$23*(V37+T37)/2</f>
        <v>0</v>
      </c>
      <c r="X37" s="986">
        <f t="shared" si="3"/>
        <v>34114910.42650818</v>
      </c>
      <c r="Y37" s="210"/>
      <c r="Z37" s="987">
        <f>+X37</f>
        <v>34114910.42650818</v>
      </c>
    </row>
    <row r="38" spans="1:28" s="324" customFormat="1" ht="12.75">
      <c r="A38" s="324">
        <f t="shared" si="0"/>
        <v>25</v>
      </c>
      <c r="B38" s="265" t="str">
        <f t="shared" si="6"/>
        <v>W Increased ROE</v>
      </c>
      <c r="C38" s="985">
        <f t="shared" si="5"/>
        <v>2010</v>
      </c>
      <c r="D38" s="327">
        <f>+D37</f>
        <v>0</v>
      </c>
      <c r="E38" s="327">
        <f>+E37</f>
        <v>0</v>
      </c>
      <c r="F38" s="327">
        <f t="shared" si="4"/>
        <v>0</v>
      </c>
      <c r="G38" s="267">
        <f>+D$24*(F38+D38)/2+E38</f>
        <v>0</v>
      </c>
      <c r="H38" s="327">
        <f>H37</f>
        <v>195470338.322</v>
      </c>
      <c r="I38" s="327">
        <f>I37</f>
        <v>8478483.091957407</v>
      </c>
      <c r="J38" s="327">
        <f>+J37</f>
        <v>186991855.23004258</v>
      </c>
      <c r="K38" s="267">
        <f>+H$24*(J38+H38)/2</f>
        <v>35621569.71152748</v>
      </c>
      <c r="L38" s="327">
        <f>+L37</f>
        <v>0</v>
      </c>
      <c r="M38" s="327">
        <f>+M37</f>
        <v>0</v>
      </c>
      <c r="N38" s="327">
        <f t="shared" si="7"/>
        <v>0</v>
      </c>
      <c r="O38" s="267">
        <f>+L$24*(N38+L38)/2</f>
        <v>0</v>
      </c>
      <c r="P38" s="982">
        <f>+P37</f>
        <v>0</v>
      </c>
      <c r="Q38" s="266">
        <f>+Q37</f>
        <v>0</v>
      </c>
      <c r="R38" s="327">
        <f t="shared" si="2"/>
        <v>0</v>
      </c>
      <c r="S38" s="267">
        <f>+P$24*(R38+P38)/2</f>
        <v>0</v>
      </c>
      <c r="T38" s="327">
        <f>T37</f>
        <v>0</v>
      </c>
      <c r="U38" s="327">
        <f>U37</f>
        <v>0</v>
      </c>
      <c r="V38" s="327">
        <f>+V37</f>
        <v>0</v>
      </c>
      <c r="W38" s="267">
        <f>+T$24*(V38+T38)/2</f>
        <v>0</v>
      </c>
      <c r="X38" s="986">
        <f t="shared" si="3"/>
        <v>35621569.71152748</v>
      </c>
      <c r="Y38" s="988">
        <f>+X38</f>
        <v>35621569.71152748</v>
      </c>
      <c r="Z38" s="989"/>
      <c r="AB38" s="990"/>
    </row>
    <row r="39" spans="1:26" ht="12.75">
      <c r="A39" s="387">
        <f t="shared" si="0"/>
        <v>26</v>
      </c>
      <c r="B39" s="234" t="str">
        <f t="shared" si="6"/>
        <v>FCR W base ROE</v>
      </c>
      <c r="C39" s="251">
        <f t="shared" si="5"/>
        <v>2011</v>
      </c>
      <c r="D39" s="327">
        <f>IF('Appendix A'!I1=1,'7 - Cap Add WS'!D27,0)*0</f>
        <v>0</v>
      </c>
      <c r="E39" s="327">
        <f>+D$26</f>
        <v>0</v>
      </c>
      <c r="F39" s="327">
        <f>+D39-E39</f>
        <v>0</v>
      </c>
      <c r="G39" s="267">
        <f>+D$23*(D39+F39)/2+E39</f>
        <v>0</v>
      </c>
      <c r="H39" s="327">
        <v>230878255.0586154</v>
      </c>
      <c r="I39" s="327">
        <v>13522528.054738857</v>
      </c>
      <c r="J39" s="327">
        <f>+H39-I39</f>
        <v>217355727.00387654</v>
      </c>
      <c r="K39" s="267">
        <f>+H$23*(J39+H39)/2</f>
        <v>39981630.618604496</v>
      </c>
      <c r="L39" s="327">
        <f>IF('Appendix A'!I1=1,'7 - Cap Add WS'!L27,0)*0</f>
        <v>0</v>
      </c>
      <c r="M39" s="327">
        <f>+L$26</f>
        <v>0</v>
      </c>
      <c r="N39" s="327">
        <f t="shared" si="7"/>
        <v>0</v>
      </c>
      <c r="O39" s="267">
        <f>+L$23*(L39+N39)/2</f>
        <v>0</v>
      </c>
      <c r="P39" s="982">
        <v>24663027.30076923</v>
      </c>
      <c r="Q39" s="266">
        <v>245995.4974447693</v>
      </c>
      <c r="R39" s="327">
        <f t="shared" si="2"/>
        <v>24417031.80332446</v>
      </c>
      <c r="S39" s="267">
        <f>+P$23*(R39+P39)/2</f>
        <v>4377849.231354285</v>
      </c>
      <c r="T39" s="327">
        <v>1942823.746153846</v>
      </c>
      <c r="U39" s="327">
        <v>16718.537508615384</v>
      </c>
      <c r="V39" s="327">
        <f>+T39-U39</f>
        <v>1926105.2086452306</v>
      </c>
      <c r="W39" s="267">
        <f>+T$23*(V39+T39)/2</f>
        <v>345101.2072949753</v>
      </c>
      <c r="X39" s="986">
        <f t="shared" si="3"/>
        <v>44704581.057253756</v>
      </c>
      <c r="Y39" s="209"/>
      <c r="Z39" s="252">
        <f>+X39</f>
        <v>44704581.057253756</v>
      </c>
    </row>
    <row r="40" spans="1:28" ht="12.75">
      <c r="A40" s="387">
        <f t="shared" si="0"/>
        <v>27</v>
      </c>
      <c r="B40" s="234" t="str">
        <f t="shared" si="6"/>
        <v>W Increased ROE</v>
      </c>
      <c r="C40" s="251">
        <f t="shared" si="5"/>
        <v>2011</v>
      </c>
      <c r="D40" s="327">
        <f>+D39</f>
        <v>0</v>
      </c>
      <c r="E40" s="327">
        <f>+E39</f>
        <v>0</v>
      </c>
      <c r="F40" s="327">
        <f t="shared" si="4"/>
        <v>0</v>
      </c>
      <c r="G40" s="267">
        <f>+D$24*(F40+D40)/2+E40</f>
        <v>0</v>
      </c>
      <c r="H40" s="327">
        <f>H39</f>
        <v>230878255.0586154</v>
      </c>
      <c r="I40" s="327">
        <f>I39</f>
        <v>13522528.054738857</v>
      </c>
      <c r="J40" s="327">
        <f>J39</f>
        <v>217355727.00387654</v>
      </c>
      <c r="K40" s="267">
        <f>+H$24*(J40+H40)/2</f>
        <v>41747389.175453156</v>
      </c>
      <c r="L40" s="327">
        <f>+L39</f>
        <v>0</v>
      </c>
      <c r="M40" s="327">
        <f>+M39</f>
        <v>0</v>
      </c>
      <c r="N40" s="327">
        <f t="shared" si="7"/>
        <v>0</v>
      </c>
      <c r="O40" s="267">
        <f>+L$24*(N40+L40)/2</f>
        <v>0</v>
      </c>
      <c r="P40" s="982">
        <f>+P39</f>
        <v>24663027.30076923</v>
      </c>
      <c r="Q40" s="266">
        <f>+Q39</f>
        <v>245995.4974447693</v>
      </c>
      <c r="R40" s="327">
        <f t="shared" si="2"/>
        <v>24417031.80332446</v>
      </c>
      <c r="S40" s="267">
        <f>+P$24*(R40+P40)/2</f>
        <v>4667865.844781006</v>
      </c>
      <c r="T40" s="327">
        <f>T39</f>
        <v>1942823.746153846</v>
      </c>
      <c r="U40" s="327">
        <f>U39</f>
        <v>16718.537508615384</v>
      </c>
      <c r="V40" s="327">
        <f>+V39</f>
        <v>1926105.2086452306</v>
      </c>
      <c r="W40" s="267">
        <f>+T$24*(V40+T40)/2</f>
        <v>345101.2072949753</v>
      </c>
      <c r="X40" s="986">
        <f t="shared" si="3"/>
        <v>46760356.22752914</v>
      </c>
      <c r="Y40" s="253">
        <f>+X40</f>
        <v>46760356.22752914</v>
      </c>
      <c r="Z40" s="233"/>
      <c r="AB40" s="442"/>
    </row>
    <row r="41" spans="1:26" ht="12.75">
      <c r="A41" s="387">
        <f t="shared" si="0"/>
        <v>28</v>
      </c>
      <c r="B41" s="234" t="str">
        <f t="shared" si="6"/>
        <v>FCR W base ROE</v>
      </c>
      <c r="C41" s="251">
        <f t="shared" si="5"/>
        <v>2012</v>
      </c>
      <c r="D41" s="327">
        <f>IF('Appendix A'!I1=1,'7 - Cap Add WS'!D27,0)*0</f>
        <v>0</v>
      </c>
      <c r="E41" s="327">
        <f>+D$26</f>
        <v>0</v>
      </c>
      <c r="F41" s="327">
        <f>+D41-E41</f>
        <v>0</v>
      </c>
      <c r="G41" s="267">
        <f>+D$23*(D41+F41)/2+E41</f>
        <v>0</v>
      </c>
      <c r="H41" s="327">
        <v>230204308.15669236</v>
      </c>
      <c r="I41" s="327">
        <v>18782179.647368785</v>
      </c>
      <c r="J41" s="327">
        <f>+H41-I41</f>
        <v>211422128.50932357</v>
      </c>
      <c r="K41" s="267">
        <f>+H$23*(J41+H41)/2</f>
        <v>39392249.96048935</v>
      </c>
      <c r="L41" s="327">
        <f>IF('Appendix A'!I1=1,'7 - Cap Add WS'!L27,0)*0</f>
        <v>0</v>
      </c>
      <c r="M41" s="327">
        <f>+L$26</f>
        <v>0</v>
      </c>
      <c r="N41" s="327">
        <f t="shared" si="7"/>
        <v>0</v>
      </c>
      <c r="O41" s="267">
        <f>+L$23*(L41+N41)/2</f>
        <v>0</v>
      </c>
      <c r="P41" s="327">
        <v>59983494.66507693</v>
      </c>
      <c r="Q41" s="327">
        <v>1220207.2058427692</v>
      </c>
      <c r="R41" s="327">
        <f aca="true" t="shared" si="8" ref="R41:R54">+P41-Q41</f>
        <v>58763287.459234156</v>
      </c>
      <c r="S41" s="267">
        <f>+P$23*(R41+P41)/2</f>
        <v>10591990.277480122</v>
      </c>
      <c r="T41" s="327">
        <v>3158241.7899999996</v>
      </c>
      <c r="U41" s="327">
        <v>83991.70293599999</v>
      </c>
      <c r="V41" s="327">
        <f>+T41-U41</f>
        <v>3074250.0870639994</v>
      </c>
      <c r="W41" s="267">
        <f>+T$23*(V41+T41)/2</f>
        <v>555926.5875283077</v>
      </c>
      <c r="X41" s="264">
        <f t="shared" si="3"/>
        <v>50540166.82549778</v>
      </c>
      <c r="Y41" s="209"/>
      <c r="Z41" s="252">
        <f>+X41</f>
        <v>50540166.82549778</v>
      </c>
    </row>
    <row r="42" spans="1:28" ht="12.75">
      <c r="A42" s="387">
        <f t="shared" si="0"/>
        <v>29</v>
      </c>
      <c r="B42" s="234" t="str">
        <f t="shared" si="6"/>
        <v>W Increased ROE</v>
      </c>
      <c r="C42" s="251">
        <f t="shared" si="5"/>
        <v>2012</v>
      </c>
      <c r="D42" s="327">
        <f>+D41</f>
        <v>0</v>
      </c>
      <c r="E42" s="327">
        <f>+E41</f>
        <v>0</v>
      </c>
      <c r="F42" s="327">
        <f>+D42-E42</f>
        <v>0</v>
      </c>
      <c r="G42" s="267">
        <f>+D$24*(F42+D42)/2+E42</f>
        <v>0</v>
      </c>
      <c r="H42" s="327">
        <f>H41</f>
        <v>230204308.15669236</v>
      </c>
      <c r="I42" s="327">
        <f>I41</f>
        <v>18782179.647368785</v>
      </c>
      <c r="J42" s="327">
        <f>J41</f>
        <v>211422128.50932357</v>
      </c>
      <c r="K42" s="267">
        <f>+H$24*(J42+H42)/2</f>
        <v>41131978.965161026</v>
      </c>
      <c r="L42" s="327">
        <f>+L41</f>
        <v>0</v>
      </c>
      <c r="M42" s="327">
        <f>+M41</f>
        <v>0</v>
      </c>
      <c r="N42" s="327">
        <f t="shared" si="7"/>
        <v>0</v>
      </c>
      <c r="O42" s="267">
        <f>+L$24*(N42+L42)/2</f>
        <v>0</v>
      </c>
      <c r="P42" s="982">
        <f>+P41</f>
        <v>59983494.66507693</v>
      </c>
      <c r="Q42" s="266">
        <f>+Q41</f>
        <v>1220207.2058427692</v>
      </c>
      <c r="R42" s="327">
        <f t="shared" si="8"/>
        <v>58763287.459234156</v>
      </c>
      <c r="S42" s="267">
        <f>+P$24*(R42+P42)/2</f>
        <v>11293671.168572221</v>
      </c>
      <c r="T42" s="327">
        <f>T41</f>
        <v>3158241.7899999996</v>
      </c>
      <c r="U42" s="327">
        <f>U41</f>
        <v>83991.70293599999</v>
      </c>
      <c r="V42" s="327">
        <f>+V41</f>
        <v>3074250.0870639994</v>
      </c>
      <c r="W42" s="267">
        <f>+T$24*(V42+T42)/2</f>
        <v>555926.5875283077</v>
      </c>
      <c r="X42" s="264">
        <f t="shared" si="3"/>
        <v>52981576.72126155</v>
      </c>
      <c r="Y42" s="253">
        <f>+X42</f>
        <v>52981576.72126155</v>
      </c>
      <c r="Z42" s="233"/>
      <c r="AB42" s="442"/>
    </row>
    <row r="43" spans="1:26" s="202" customFormat="1" ht="12.75">
      <c r="A43" s="202">
        <f t="shared" si="0"/>
        <v>30</v>
      </c>
      <c r="B43" s="265" t="str">
        <f t="shared" si="6"/>
        <v>FCR W base ROE</v>
      </c>
      <c r="C43" s="985">
        <f t="shared" si="5"/>
        <v>2013</v>
      </c>
      <c r="D43" s="327">
        <f>IF('Appendix A'!I1=1,'7 - Cap Add WS'!D27,0)</f>
        <v>0</v>
      </c>
      <c r="E43" s="327">
        <f>+D$26</f>
        <v>0</v>
      </c>
      <c r="F43" s="327">
        <f>+D43-E43</f>
        <v>0</v>
      </c>
      <c r="G43" s="267">
        <f>+D$23*(D43+F43)/2+E43</f>
        <v>0</v>
      </c>
      <c r="H43" s="327">
        <v>250007863</v>
      </c>
      <c r="I43" s="327">
        <v>24198376</v>
      </c>
      <c r="J43" s="327">
        <f>+H43-I43</f>
        <v>225809487</v>
      </c>
      <c r="K43" s="267">
        <f>+H$23*(J43+H43)/2</f>
        <v>42442015.31103674</v>
      </c>
      <c r="L43" s="327">
        <f>IF('Appendix A'!I1=1,'7 - Cap Add WS'!L27,0)*0</f>
        <v>0</v>
      </c>
      <c r="M43" s="327">
        <f>+L$26</f>
        <v>0</v>
      </c>
      <c r="N43" s="327">
        <f t="shared" si="7"/>
        <v>0</v>
      </c>
      <c r="O43" s="267">
        <f>+L$23*(L43+N43)/2</f>
        <v>0</v>
      </c>
      <c r="P43" s="327">
        <v>86857916</v>
      </c>
      <c r="Q43" s="327">
        <v>3021138</v>
      </c>
      <c r="R43" s="327">
        <f t="shared" si="8"/>
        <v>83836778</v>
      </c>
      <c r="S43" s="267">
        <f>+P$23*(R43+P43)/2</f>
        <v>15225646.597924039</v>
      </c>
      <c r="T43" s="327">
        <v>3158242</v>
      </c>
      <c r="U43" s="327">
        <v>156000</v>
      </c>
      <c r="V43" s="327">
        <f>+T43-U43</f>
        <v>3002242</v>
      </c>
      <c r="W43" s="267">
        <f>+T$23*(V43+T43)/2</f>
        <v>549503.6199318854</v>
      </c>
      <c r="X43" s="986">
        <f>+G43+K43+O43+S43+W43</f>
        <v>58217165.528892666</v>
      </c>
      <c r="Y43" s="210"/>
      <c r="Z43" s="987">
        <f>+X43</f>
        <v>58217165.528892666</v>
      </c>
    </row>
    <row r="44" spans="1:28" ht="12.75">
      <c r="A44" s="387">
        <f t="shared" si="0"/>
        <v>31</v>
      </c>
      <c r="B44" s="234" t="str">
        <f t="shared" si="6"/>
        <v>W Increased ROE</v>
      </c>
      <c r="C44" s="251">
        <f t="shared" si="5"/>
        <v>2013</v>
      </c>
      <c r="D44" s="327">
        <f>+D43</f>
        <v>0</v>
      </c>
      <c r="E44" s="327">
        <f>+E43</f>
        <v>0</v>
      </c>
      <c r="F44" s="327">
        <f t="shared" si="4"/>
        <v>0</v>
      </c>
      <c r="G44" s="267">
        <f>+D$24*(F44+D44)/2+E44</f>
        <v>0</v>
      </c>
      <c r="H44" s="327">
        <f>H43</f>
        <v>250007863</v>
      </c>
      <c r="I44" s="327">
        <f>I43</f>
        <v>24198376</v>
      </c>
      <c r="J44" s="327">
        <f>J43</f>
        <v>225809487</v>
      </c>
      <c r="K44" s="267">
        <f>+H$24*(J44+H44)/2</f>
        <v>44316434.901879855</v>
      </c>
      <c r="L44" s="327">
        <f>+L43</f>
        <v>0</v>
      </c>
      <c r="M44" s="327">
        <f>+M43</f>
        <v>0</v>
      </c>
      <c r="N44" s="327">
        <f t="shared" si="7"/>
        <v>0</v>
      </c>
      <c r="O44" s="267">
        <f>+L$24*(N44+L44)/2</f>
        <v>0</v>
      </c>
      <c r="P44" s="982">
        <f>+P43</f>
        <v>86857916</v>
      </c>
      <c r="Q44" s="266">
        <f>+Q43</f>
        <v>3021138</v>
      </c>
      <c r="R44" s="327">
        <f t="shared" si="8"/>
        <v>83836778</v>
      </c>
      <c r="S44" s="267">
        <f>+P$24*(R44+P44)/2</f>
        <v>16234290.39313213</v>
      </c>
      <c r="T44" s="327">
        <f>T43</f>
        <v>3158242</v>
      </c>
      <c r="U44" s="327">
        <f>U43</f>
        <v>156000</v>
      </c>
      <c r="V44" s="327">
        <f>+V43</f>
        <v>3002242</v>
      </c>
      <c r="W44" s="267">
        <f>+T$24*(V44+T44)/2</f>
        <v>549503.6199318854</v>
      </c>
      <c r="X44" s="986">
        <f aca="true" t="shared" si="9" ref="X44:X52">+G44+K44+O44+S44+W44</f>
        <v>61100228.91494387</v>
      </c>
      <c r="Y44" s="253">
        <f>+X44</f>
        <v>61100228.91494387</v>
      </c>
      <c r="Z44" s="233"/>
      <c r="AB44" s="442"/>
    </row>
    <row r="45" spans="1:26" s="324" customFormat="1" ht="12.75">
      <c r="A45" s="324">
        <f t="shared" si="0"/>
        <v>32</v>
      </c>
      <c r="B45" s="265" t="str">
        <f t="shared" si="6"/>
        <v>FCR W base ROE</v>
      </c>
      <c r="C45" s="985">
        <f t="shared" si="5"/>
        <v>2014</v>
      </c>
      <c r="D45" s="327">
        <f>IF('Appendix A'!I1=1,0,'7 - Cap Add WS'!D27)</f>
        <v>0</v>
      </c>
      <c r="E45" s="327">
        <f>+D$26</f>
        <v>0</v>
      </c>
      <c r="F45" s="327">
        <f>+D45-E45</f>
        <v>0</v>
      </c>
      <c r="G45" s="267">
        <f>+D$23*(D45+F45)/2+E45</f>
        <v>0</v>
      </c>
      <c r="H45" s="327">
        <v>262865544.27515393</v>
      </c>
      <c r="I45" s="327">
        <v>30309924.887097068</v>
      </c>
      <c r="J45" s="327">
        <f>+H45-I45</f>
        <v>232555619.38805687</v>
      </c>
      <c r="K45" s="267">
        <f>+H$23*(J45+H45)/2</f>
        <v>44190638.72640549</v>
      </c>
      <c r="L45" s="327">
        <f>1700213.7846154*0</f>
        <v>0</v>
      </c>
      <c r="M45" s="327">
        <f>+L$26</f>
        <v>0</v>
      </c>
      <c r="N45" s="327">
        <f>+L45-M45</f>
        <v>0</v>
      </c>
      <c r="O45" s="267">
        <f>+L$24*(N45+L45)/2</f>
        <v>0</v>
      </c>
      <c r="P45" s="982">
        <v>92325263.63438462</v>
      </c>
      <c r="Q45" s="266">
        <v>5176295.354844246</v>
      </c>
      <c r="R45" s="327">
        <f t="shared" si="8"/>
        <v>87148968.27954037</v>
      </c>
      <c r="S45" s="267">
        <f>+P$24*(R45+P45)/2</f>
        <v>17069287.455267943</v>
      </c>
      <c r="T45" s="327">
        <v>3158242</v>
      </c>
      <c r="U45" s="327">
        <v>230048.24116938468</v>
      </c>
      <c r="V45" s="327">
        <f>T45-U45</f>
        <v>2928193.7588306153</v>
      </c>
      <c r="W45" s="267">
        <f>+T$24*(V45+T45)/2</f>
        <v>542898.6556835949</v>
      </c>
      <c r="X45" s="986">
        <f>+G45+K45+O45+S45+W45</f>
        <v>61802824.83735702</v>
      </c>
      <c r="Y45" s="210"/>
      <c r="Z45" s="987">
        <f>+X45</f>
        <v>61802824.83735702</v>
      </c>
    </row>
    <row r="46" spans="1:28" s="324" customFormat="1" ht="12.75">
      <c r="A46" s="324">
        <f t="shared" si="0"/>
        <v>33</v>
      </c>
      <c r="B46" s="265" t="str">
        <f t="shared" si="6"/>
        <v>W Increased ROE</v>
      </c>
      <c r="C46" s="985">
        <f t="shared" si="5"/>
        <v>2014</v>
      </c>
      <c r="D46" s="327">
        <f>+D45</f>
        <v>0</v>
      </c>
      <c r="E46" s="327">
        <f>+E45</f>
        <v>0</v>
      </c>
      <c r="F46" s="327">
        <f t="shared" si="4"/>
        <v>0</v>
      </c>
      <c r="G46" s="267">
        <f>+D$24*(F46+D46)/2+E46</f>
        <v>0</v>
      </c>
      <c r="H46" s="327">
        <f>H45</f>
        <v>262865544.27515393</v>
      </c>
      <c r="I46" s="327">
        <f>I45</f>
        <v>30309924.887097068</v>
      </c>
      <c r="J46" s="327">
        <f>J45</f>
        <v>232555619.38805687</v>
      </c>
      <c r="K46" s="267">
        <f>+H$24*(J46+H46)/2</f>
        <v>46142284.95134582</v>
      </c>
      <c r="L46" s="327">
        <f>+L45</f>
        <v>0</v>
      </c>
      <c r="M46" s="327">
        <f>+M45</f>
        <v>0</v>
      </c>
      <c r="N46" s="327">
        <f t="shared" si="7"/>
        <v>0</v>
      </c>
      <c r="O46" s="267">
        <f>+L$24*(N46+L46)/2</f>
        <v>0</v>
      </c>
      <c r="P46" s="982">
        <f>+P45</f>
        <v>92325263.63438462</v>
      </c>
      <c r="Q46" s="266">
        <f>+Q45</f>
        <v>5176295.354844246</v>
      </c>
      <c r="R46" s="327">
        <f t="shared" si="8"/>
        <v>87148968.27954037</v>
      </c>
      <c r="S46" s="267">
        <f>+P$24*(R46+P46)/2</f>
        <v>17069287.455267943</v>
      </c>
      <c r="T46" s="327">
        <f>+T45</f>
        <v>3158242</v>
      </c>
      <c r="U46" s="327">
        <f>+U45</f>
        <v>230048.24116938468</v>
      </c>
      <c r="V46" s="327">
        <f>+V45</f>
        <v>2928193.7588306153</v>
      </c>
      <c r="W46" s="267">
        <f>+T$24*(V46+T46)/2</f>
        <v>542898.6556835949</v>
      </c>
      <c r="X46" s="986">
        <f t="shared" si="9"/>
        <v>63754471.06229736</v>
      </c>
      <c r="Y46" s="988">
        <f>+X46</f>
        <v>63754471.06229736</v>
      </c>
      <c r="Z46" s="989"/>
      <c r="AB46" s="990"/>
    </row>
    <row r="47" spans="1:26" ht="12.75">
      <c r="A47" s="387">
        <f t="shared" si="0"/>
        <v>34</v>
      </c>
      <c r="B47" s="234" t="str">
        <f t="shared" si="6"/>
        <v>FCR W base ROE</v>
      </c>
      <c r="C47" s="251">
        <f t="shared" si="5"/>
        <v>2015</v>
      </c>
      <c r="D47" s="327">
        <f>+F46*0</f>
        <v>0</v>
      </c>
      <c r="E47" s="327">
        <f>+D$26</f>
        <v>0</v>
      </c>
      <c r="F47" s="327">
        <f t="shared" si="4"/>
        <v>0</v>
      </c>
      <c r="G47" s="267">
        <f>+D$23*(D47+F47)/2+E47</f>
        <v>0</v>
      </c>
      <c r="H47" s="327">
        <v>262942889.70538458</v>
      </c>
      <c r="I47" s="327">
        <v>37160176.01124689</v>
      </c>
      <c r="J47" s="327">
        <f>+H47-I47</f>
        <v>225782713.6941377</v>
      </c>
      <c r="K47" s="267">
        <f>+H$23*(J47+H47)/2</f>
        <v>43593407.30719087</v>
      </c>
      <c r="L47" s="327">
        <f>18103518.0276923*0</f>
        <v>0</v>
      </c>
      <c r="M47" s="327">
        <f>+L$26</f>
        <v>0</v>
      </c>
      <c r="N47" s="327">
        <f aca="true" t="shared" si="10" ref="N47:N54">+L47-M47</f>
        <v>0</v>
      </c>
      <c r="O47" s="267">
        <f>+L$23*(L47+N47)/2</f>
        <v>0</v>
      </c>
      <c r="P47" s="982">
        <v>92576763.42207694</v>
      </c>
      <c r="Q47" s="327">
        <v>7582470.1913362695</v>
      </c>
      <c r="R47" s="327">
        <f t="shared" si="8"/>
        <v>84994293.23074067</v>
      </c>
      <c r="S47" s="267">
        <f>+P$23*(R47+P47)/2</f>
        <v>15839005.251186948</v>
      </c>
      <c r="T47" s="327">
        <v>3158242</v>
      </c>
      <c r="U47" s="327">
        <v>312332.58712500014</v>
      </c>
      <c r="V47" s="327">
        <f>+T47-U47</f>
        <v>2845909.412875</v>
      </c>
      <c r="W47" s="267">
        <f>+T$23*(V47+T47)/2</f>
        <v>535559.0463336902</v>
      </c>
      <c r="X47" s="986">
        <f t="shared" si="9"/>
        <v>59967971.60471151</v>
      </c>
      <c r="Y47" s="209"/>
      <c r="Z47" s="252">
        <f>+X47</f>
        <v>59967971.60471151</v>
      </c>
    </row>
    <row r="48" spans="1:28" ht="12.75">
      <c r="A48" s="387">
        <f t="shared" si="0"/>
        <v>35</v>
      </c>
      <c r="B48" s="234" t="str">
        <f t="shared" si="6"/>
        <v>W Increased ROE</v>
      </c>
      <c r="C48" s="251">
        <f t="shared" si="5"/>
        <v>2015</v>
      </c>
      <c r="D48" s="327">
        <f>+D47</f>
        <v>0</v>
      </c>
      <c r="E48" s="327">
        <f>+E47</f>
        <v>0</v>
      </c>
      <c r="F48" s="327">
        <f t="shared" si="4"/>
        <v>0</v>
      </c>
      <c r="G48" s="267">
        <f>+D$24*(F48+D48)/2+E48</f>
        <v>0</v>
      </c>
      <c r="H48" s="327">
        <f>+H47</f>
        <v>262942889.70538458</v>
      </c>
      <c r="I48" s="327">
        <f>I47</f>
        <v>37160176.01124689</v>
      </c>
      <c r="J48" s="327">
        <f>+J47</f>
        <v>225782713.6941377</v>
      </c>
      <c r="K48" s="267">
        <f>+H$24*(J48+H48)/2</f>
        <v>45518677.257012345</v>
      </c>
      <c r="L48" s="327">
        <f>+L47</f>
        <v>0</v>
      </c>
      <c r="M48" s="327">
        <f>+M47</f>
        <v>0</v>
      </c>
      <c r="N48" s="327">
        <f t="shared" si="10"/>
        <v>0</v>
      </c>
      <c r="O48" s="267">
        <f>+L$24*(N48+L48)/2</f>
        <v>0</v>
      </c>
      <c r="P48" s="982">
        <f>+P47</f>
        <v>92576763.42207694</v>
      </c>
      <c r="Q48" s="266">
        <f>+Q47</f>
        <v>7582470.1913362695</v>
      </c>
      <c r="R48" s="327">
        <f t="shared" si="8"/>
        <v>84994293.23074067</v>
      </c>
      <c r="S48" s="267">
        <f>+P$24*(R48+P48)/2</f>
        <v>16888281.829763014</v>
      </c>
      <c r="T48" s="327">
        <f>T47</f>
        <v>3158242</v>
      </c>
      <c r="U48" s="327">
        <f>U47</f>
        <v>312332.58712500014</v>
      </c>
      <c r="V48" s="327">
        <f>+V47</f>
        <v>2845909.412875</v>
      </c>
      <c r="W48" s="267">
        <f>+T$24*(V48+T48)/2</f>
        <v>535559.0463336902</v>
      </c>
      <c r="X48" s="986">
        <f t="shared" si="9"/>
        <v>62942518.133109055</v>
      </c>
      <c r="Y48" s="253">
        <f>+X48</f>
        <v>62942518.133109055</v>
      </c>
      <c r="Z48" s="233"/>
      <c r="AB48" s="990"/>
    </row>
    <row r="49" spans="1:28" ht="12.75">
      <c r="A49" s="387">
        <f t="shared" si="0"/>
        <v>36</v>
      </c>
      <c r="B49" s="234" t="str">
        <f>+B47</f>
        <v>FCR W base ROE</v>
      </c>
      <c r="C49" s="251">
        <f t="shared" si="5"/>
        <v>2016</v>
      </c>
      <c r="D49" s="327">
        <f>+F48*0</f>
        <v>0</v>
      </c>
      <c r="E49" s="327">
        <f>+D$26</f>
        <v>0</v>
      </c>
      <c r="F49" s="327">
        <f>+D49-E49</f>
        <v>0</v>
      </c>
      <c r="G49" s="267">
        <f>+D$23*(D49+F49)/2+E49</f>
        <v>0</v>
      </c>
      <c r="H49" s="327">
        <v>262951630.8966924</v>
      </c>
      <c r="I49" s="327">
        <v>44101979.27459908</v>
      </c>
      <c r="J49" s="327">
        <f>+H49-I49</f>
        <v>218849651.62209332</v>
      </c>
      <c r="K49" s="267">
        <f>+H$24*(J49+H49)/2</f>
        <v>44873763.37240749</v>
      </c>
      <c r="L49" s="327">
        <f>22801062.5715385*0</f>
        <v>0</v>
      </c>
      <c r="M49" s="327">
        <f>+L$26</f>
        <v>0</v>
      </c>
      <c r="N49" s="327">
        <f>+L49-M49</f>
        <v>0</v>
      </c>
      <c r="O49" s="267">
        <f>+L$23*(L49+N49)/2</f>
        <v>0</v>
      </c>
      <c r="P49" s="982">
        <v>127551725.21976924</v>
      </c>
      <c r="Q49" s="266">
        <v>10344496.85351141</v>
      </c>
      <c r="R49" s="327">
        <f>+P49-Q49</f>
        <v>117207228.36625783</v>
      </c>
      <c r="S49" s="267">
        <f>+P$23*(R49+P49)/2</f>
        <v>21832039.658939492</v>
      </c>
      <c r="T49" s="327">
        <v>3158242</v>
      </c>
      <c r="U49" s="327">
        <v>395710.1703809999</v>
      </c>
      <c r="V49" s="327">
        <f>+T49-U49</f>
        <v>2762531.829619</v>
      </c>
      <c r="W49" s="267">
        <f>+T$24*(V49+T49)/2</f>
        <v>528121.922266759</v>
      </c>
      <c r="X49" s="986">
        <f t="shared" si="9"/>
        <v>67233924.95361373</v>
      </c>
      <c r="Y49" s="209"/>
      <c r="Z49" s="252">
        <f>+X49</f>
        <v>67233924.95361373</v>
      </c>
      <c r="AB49" s="990"/>
    </row>
    <row r="50" spans="1:28" ht="12.75">
      <c r="A50" s="387">
        <f t="shared" si="0"/>
        <v>37</v>
      </c>
      <c r="B50" s="234" t="str">
        <f t="shared" si="6"/>
        <v>W Increased ROE</v>
      </c>
      <c r="C50" s="251">
        <f t="shared" si="5"/>
        <v>2016</v>
      </c>
      <c r="D50" s="327">
        <f>+D49</f>
        <v>0</v>
      </c>
      <c r="E50" s="327">
        <f>+E49</f>
        <v>0</v>
      </c>
      <c r="F50" s="327">
        <f>+D50-E50</f>
        <v>0</v>
      </c>
      <c r="G50" s="267">
        <f>+D$24*(F50+D50)/2+E50</f>
        <v>0</v>
      </c>
      <c r="H50" s="327">
        <f>+H49</f>
        <v>262951630.8966924</v>
      </c>
      <c r="I50" s="327">
        <f>+I49</f>
        <v>44101979.27459908</v>
      </c>
      <c r="J50" s="327">
        <f>+J49</f>
        <v>218849651.62209332</v>
      </c>
      <c r="K50" s="267">
        <f>+H$24*(J50+H50)/2</f>
        <v>44873763.37240749</v>
      </c>
      <c r="L50" s="327">
        <f>+L49</f>
        <v>0</v>
      </c>
      <c r="M50" s="327">
        <f>+M49</f>
        <v>0</v>
      </c>
      <c r="N50" s="327">
        <f>+L50-M50</f>
        <v>0</v>
      </c>
      <c r="O50" s="267">
        <f>+L$24*(N50+L50)/2</f>
        <v>0</v>
      </c>
      <c r="P50" s="982">
        <f>+P49</f>
        <v>127551725.21976924</v>
      </c>
      <c r="Q50" s="266">
        <f>+Q49</f>
        <v>10344496.85351141</v>
      </c>
      <c r="R50" s="327">
        <f>+P50-Q50</f>
        <v>117207228.36625783</v>
      </c>
      <c r="S50" s="267">
        <f>+P$24*(R50+P50)/2</f>
        <v>23278333.00333701</v>
      </c>
      <c r="T50" s="327">
        <f>T49</f>
        <v>3158242</v>
      </c>
      <c r="U50" s="327">
        <f>U49</f>
        <v>395710.1703809999</v>
      </c>
      <c r="V50" s="327">
        <f>+V49</f>
        <v>2762531.829619</v>
      </c>
      <c r="W50" s="267">
        <f>+T$24*(V50+T50)/2</f>
        <v>528121.922266759</v>
      </c>
      <c r="X50" s="986">
        <f t="shared" si="9"/>
        <v>68680218.29801124</v>
      </c>
      <c r="Y50" s="253">
        <f>+X50</f>
        <v>68680218.29801124</v>
      </c>
      <c r="Z50" s="233"/>
      <c r="AB50" s="990"/>
    </row>
    <row r="51" spans="1:28" ht="12.75">
      <c r="A51" s="387">
        <f t="shared" si="0"/>
        <v>38</v>
      </c>
      <c r="B51" s="234" t="str">
        <f>+B47</f>
        <v>FCR W base ROE</v>
      </c>
      <c r="C51" s="251">
        <f>+C49+1</f>
        <v>2017</v>
      </c>
      <c r="D51" s="327">
        <f>+F48</f>
        <v>0</v>
      </c>
      <c r="E51" s="327">
        <f>+D$26</f>
        <v>0</v>
      </c>
      <c r="F51" s="327">
        <f t="shared" si="4"/>
        <v>0</v>
      </c>
      <c r="G51" s="267">
        <f>+D$23*(D51+F51)/2+E51</f>
        <v>0</v>
      </c>
      <c r="H51" s="327">
        <f>'6- Est &amp; Reconcile WS'!P96</f>
        <v>262950644.58900008</v>
      </c>
      <c r="I51" s="327">
        <f>'6- Est &amp; Reconcile WS'!K120</f>
        <v>51043886.945200905</v>
      </c>
      <c r="J51" s="327">
        <f>+H51-I51</f>
        <v>211906757.6437992</v>
      </c>
      <c r="K51" s="267">
        <f>+H$23*(J51+H51)/2</f>
        <v>42356389.770410016</v>
      </c>
      <c r="L51" s="327">
        <f>IF('Appendix A'!I1=1,'7 - Cap Add WS'!L27,0)</f>
        <v>0</v>
      </c>
      <c r="M51" s="327">
        <f>+L$26</f>
        <v>0</v>
      </c>
      <c r="N51" s="327">
        <f t="shared" si="10"/>
        <v>0</v>
      </c>
      <c r="O51" s="267">
        <f>+L$23*(L51+N51)/2</f>
        <v>0</v>
      </c>
      <c r="P51" s="982">
        <f>'6- Est &amp; Reconcile WS'!Q96</f>
        <v>156126480.16976923</v>
      </c>
      <c r="Q51" s="327">
        <f>'6- Est &amp; Reconcile WS'!O120</f>
        <v>14310453.816231012</v>
      </c>
      <c r="R51" s="327">
        <f t="shared" si="8"/>
        <v>141816026.35353822</v>
      </c>
      <c r="S51" s="267">
        <f>+P$23*(R51+P51)/2</f>
        <v>26575912.844857126</v>
      </c>
      <c r="T51" s="327">
        <f>'6- Est &amp; Reconcile WS'!S96</f>
        <v>3158242</v>
      </c>
      <c r="U51" s="327">
        <f>'6- Est &amp; Reconcile WS'!S120</f>
        <v>479087.75363699964</v>
      </c>
      <c r="V51" s="327">
        <f>+T51-U51</f>
        <v>2679154.2463630005</v>
      </c>
      <c r="W51" s="267">
        <f>+T$23*(V51+T51)/2</f>
        <v>520684.79819982796</v>
      </c>
      <c r="X51" s="986">
        <f t="shared" si="9"/>
        <v>69452987.41346698</v>
      </c>
      <c r="Y51" s="209"/>
      <c r="Z51" s="252">
        <f>+X51</f>
        <v>69452987.41346698</v>
      </c>
      <c r="AB51" s="990"/>
    </row>
    <row r="52" spans="1:28" ht="12.75">
      <c r="A52" s="387">
        <f t="shared" si="0"/>
        <v>39</v>
      </c>
      <c r="B52" s="234" t="str">
        <f>+B48</f>
        <v>W Increased ROE</v>
      </c>
      <c r="C52" s="251">
        <f>+C50+1</f>
        <v>2017</v>
      </c>
      <c r="D52" s="327">
        <f>+D51</f>
        <v>0</v>
      </c>
      <c r="E52" s="327">
        <f>+E51</f>
        <v>0</v>
      </c>
      <c r="F52" s="327">
        <f t="shared" si="4"/>
        <v>0</v>
      </c>
      <c r="G52" s="267">
        <f>+D$24*(F52+D52)/2+E52</f>
        <v>0</v>
      </c>
      <c r="H52" s="327">
        <f>+H51</f>
        <v>262950644.58900008</v>
      </c>
      <c r="I52" s="327">
        <f>I51</f>
        <v>51043886.945200905</v>
      </c>
      <c r="J52" s="327">
        <f>+J51</f>
        <v>211906757.6437992</v>
      </c>
      <c r="K52" s="267">
        <f>+H$24*(J52+H52)/2</f>
        <v>44227027.77384143</v>
      </c>
      <c r="L52" s="327">
        <f>+L51</f>
        <v>0</v>
      </c>
      <c r="M52" s="327">
        <f>+M51</f>
        <v>0</v>
      </c>
      <c r="N52" s="327">
        <f t="shared" si="10"/>
        <v>0</v>
      </c>
      <c r="O52" s="267">
        <f>+L$24*(N52+L52)/2</f>
        <v>0</v>
      </c>
      <c r="P52" s="982">
        <f>+P51</f>
        <v>156126480.16976923</v>
      </c>
      <c r="Q52" s="266">
        <f>+Q51</f>
        <v>14310453.816231012</v>
      </c>
      <c r="R52" s="327">
        <f t="shared" si="8"/>
        <v>141816026.35353822</v>
      </c>
      <c r="S52" s="267">
        <f>+P$24*(R52+P52)/2</f>
        <v>28336470.560455948</v>
      </c>
      <c r="T52" s="327">
        <f>T51</f>
        <v>3158242</v>
      </c>
      <c r="U52" s="327">
        <f>U51</f>
        <v>479087.75363699964</v>
      </c>
      <c r="V52" s="327">
        <f>+V51</f>
        <v>2679154.2463630005</v>
      </c>
      <c r="W52" s="267">
        <f>+T$24*(V52+T52)/2</f>
        <v>520684.79819982796</v>
      </c>
      <c r="X52" s="986">
        <f t="shared" si="9"/>
        <v>73084183.13249722</v>
      </c>
      <c r="Y52" s="253">
        <f>+X52</f>
        <v>73084183.13249722</v>
      </c>
      <c r="Z52" s="233"/>
      <c r="AB52" s="990"/>
    </row>
    <row r="53" spans="1:26" ht="12.75">
      <c r="A53" s="387">
        <f t="shared" si="0"/>
        <v>40</v>
      </c>
      <c r="B53" s="234" t="str">
        <f t="shared" si="6"/>
        <v>FCR W base ROE</v>
      </c>
      <c r="C53" s="251">
        <f t="shared" si="5"/>
        <v>2018</v>
      </c>
      <c r="D53" s="327">
        <f>+F52</f>
        <v>0</v>
      </c>
      <c r="E53" s="327">
        <f>+D$26</f>
        <v>0</v>
      </c>
      <c r="F53" s="327">
        <f t="shared" si="4"/>
        <v>0</v>
      </c>
      <c r="G53" s="267">
        <f>+D$23*(D53+F53)/2+E53</f>
        <v>0</v>
      </c>
      <c r="H53" s="327">
        <f>IF('Appendix A'!I1=1,0,'7 - Cap Add WS'!H27)</f>
        <v>0</v>
      </c>
      <c r="I53" s="327">
        <f>IF('Appendix A'!I1=1,0,'7 - Cap Add WS'!H26)</f>
        <v>0</v>
      </c>
      <c r="J53" s="327">
        <f>+H53-I53</f>
        <v>0</v>
      </c>
      <c r="K53" s="267">
        <f>+H$23*(J53+H53)/2</f>
        <v>0</v>
      </c>
      <c r="L53" s="327">
        <f>IF('Appendix A'!I1=1,0,'7 - Cap Add WS'!L27)</f>
        <v>0</v>
      </c>
      <c r="M53" s="327">
        <f>+L$26</f>
        <v>0</v>
      </c>
      <c r="N53" s="327">
        <f t="shared" si="10"/>
        <v>0</v>
      </c>
      <c r="O53" s="267">
        <f>+L$23*(L53+N53)/2</f>
        <v>0</v>
      </c>
      <c r="P53" s="327">
        <f>IF('Appendix A'!I1=1,0,'7 - Cap Add WS'!P27)</f>
        <v>0</v>
      </c>
      <c r="Q53" s="327">
        <f>IF('Appendix A'!I1=1,0,'7 - Cap Add WS'!P26)</f>
        <v>0</v>
      </c>
      <c r="R53" s="327">
        <f t="shared" si="8"/>
        <v>0</v>
      </c>
      <c r="S53" s="267">
        <f>+P$23*(R53+P53)/2</f>
        <v>0</v>
      </c>
      <c r="T53" s="327">
        <f>IF('Appendix A'!I1=1,0,'7 - Cap Add WS'!T27)</f>
        <v>0</v>
      </c>
      <c r="U53" s="327">
        <f>IF('Appendix A'!I1=1,0,'7 - Cap Add WS'!T26)</f>
        <v>0</v>
      </c>
      <c r="V53" s="327">
        <f>+T53-U53</f>
        <v>0</v>
      </c>
      <c r="W53" s="267">
        <f>+T$23*(V53+T53)/2</f>
        <v>0</v>
      </c>
      <c r="X53" s="264">
        <f t="shared" si="3"/>
        <v>0</v>
      </c>
      <c r="Y53" s="209"/>
      <c r="Z53" s="252">
        <f>+X53</f>
        <v>0</v>
      </c>
    </row>
    <row r="54" spans="1:26" ht="12.75">
      <c r="A54" s="387">
        <f t="shared" si="0"/>
        <v>41</v>
      </c>
      <c r="B54" s="234" t="str">
        <f t="shared" si="6"/>
        <v>W Increased ROE</v>
      </c>
      <c r="C54" s="251">
        <f t="shared" si="5"/>
        <v>2018</v>
      </c>
      <c r="D54" s="327">
        <f>+D53</f>
        <v>0</v>
      </c>
      <c r="E54" s="327">
        <f>+E53</f>
        <v>0</v>
      </c>
      <c r="F54" s="327">
        <f t="shared" si="4"/>
        <v>0</v>
      </c>
      <c r="G54" s="267">
        <f>+D$24*(F54+D54)/2+E54</f>
        <v>0</v>
      </c>
      <c r="H54" s="327">
        <f>H53</f>
        <v>0</v>
      </c>
      <c r="I54" s="327">
        <f>I53</f>
        <v>0</v>
      </c>
      <c r="J54" s="327">
        <f>J53</f>
        <v>0</v>
      </c>
      <c r="K54" s="267">
        <f>+H$24*(J54+H54)/2</f>
        <v>0</v>
      </c>
      <c r="L54" s="327">
        <f>+L53</f>
        <v>0</v>
      </c>
      <c r="M54" s="327">
        <f>+M53</f>
        <v>0</v>
      </c>
      <c r="N54" s="327">
        <f t="shared" si="10"/>
        <v>0</v>
      </c>
      <c r="O54" s="267">
        <f>+L$24*(N54+L54)/2</f>
        <v>0</v>
      </c>
      <c r="P54" s="982">
        <f>+P53</f>
        <v>0</v>
      </c>
      <c r="Q54" s="266">
        <f>+Q53</f>
        <v>0</v>
      </c>
      <c r="R54" s="327">
        <f t="shared" si="8"/>
        <v>0</v>
      </c>
      <c r="S54" s="267">
        <f>+P$24*(R54+P54)/2</f>
        <v>0</v>
      </c>
      <c r="T54" s="327">
        <f>T53</f>
        <v>0</v>
      </c>
      <c r="U54" s="327">
        <f>U53</f>
        <v>0</v>
      </c>
      <c r="V54" s="327">
        <f>+V53</f>
        <v>0</v>
      </c>
      <c r="W54" s="267">
        <f>+T$24*(V54+T54)/2</f>
        <v>0</v>
      </c>
      <c r="X54" s="264">
        <f t="shared" si="3"/>
        <v>0</v>
      </c>
      <c r="Y54" s="253">
        <f>+X54</f>
        <v>0</v>
      </c>
      <c r="Z54" s="233"/>
    </row>
    <row r="55" spans="1:26" ht="12.75">
      <c r="A55" s="387">
        <f t="shared" si="0"/>
        <v>42</v>
      </c>
      <c r="B55" s="234" t="str">
        <f t="shared" si="6"/>
        <v>FCR W base ROE</v>
      </c>
      <c r="C55" s="251">
        <f t="shared" si="5"/>
        <v>2019</v>
      </c>
      <c r="D55" s="327">
        <f>+F54</f>
        <v>0</v>
      </c>
      <c r="E55" s="327">
        <f>+D$26</f>
        <v>0</v>
      </c>
      <c r="F55" s="327">
        <f t="shared" si="4"/>
        <v>0</v>
      </c>
      <c r="G55" s="267">
        <f>+D$23*(D55+F55)/2+E55</f>
        <v>0</v>
      </c>
      <c r="H55" s="327"/>
      <c r="I55" s="327"/>
      <c r="J55" s="327"/>
      <c r="K55" s="267"/>
      <c r="L55" s="327"/>
      <c r="M55" s="327"/>
      <c r="N55" s="327"/>
      <c r="O55" s="267"/>
      <c r="P55" s="867"/>
      <c r="Q55" s="266"/>
      <c r="R55" s="266"/>
      <c r="S55" s="267"/>
      <c r="T55" s="327"/>
      <c r="U55" s="327"/>
      <c r="V55" s="327"/>
      <c r="W55" s="267"/>
      <c r="X55" s="264">
        <f t="shared" si="3"/>
        <v>0</v>
      </c>
      <c r="Y55" s="209"/>
      <c r="Z55" s="252">
        <f>+X55</f>
        <v>0</v>
      </c>
    </row>
    <row r="56" spans="1:26" ht="12.75">
      <c r="A56" s="387">
        <f t="shared" si="0"/>
        <v>43</v>
      </c>
      <c r="B56" s="234" t="str">
        <f t="shared" si="6"/>
        <v>W Increased ROE</v>
      </c>
      <c r="C56" s="251">
        <f t="shared" si="5"/>
        <v>2019</v>
      </c>
      <c r="D56" s="327">
        <f>+D55</f>
        <v>0</v>
      </c>
      <c r="E56" s="327">
        <f>+E55</f>
        <v>0</v>
      </c>
      <c r="F56" s="327">
        <f t="shared" si="4"/>
        <v>0</v>
      </c>
      <c r="G56" s="267">
        <f>+D$24*(F56+D56)/2+E56</f>
        <v>0</v>
      </c>
      <c r="H56" s="327"/>
      <c r="I56" s="327"/>
      <c r="J56" s="327"/>
      <c r="K56" s="267"/>
      <c r="L56" s="327"/>
      <c r="M56" s="327"/>
      <c r="N56" s="327"/>
      <c r="O56" s="267"/>
      <c r="P56" s="867"/>
      <c r="Q56" s="266"/>
      <c r="R56" s="266"/>
      <c r="S56" s="267"/>
      <c r="T56" s="327"/>
      <c r="U56" s="327"/>
      <c r="V56" s="327"/>
      <c r="W56" s="267"/>
      <c r="X56" s="264">
        <f t="shared" si="3"/>
        <v>0</v>
      </c>
      <c r="Y56" s="253">
        <f>+X56</f>
        <v>0</v>
      </c>
      <c r="Z56" s="233"/>
    </row>
    <row r="57" spans="1:26" ht="12.75">
      <c r="A57" s="387">
        <f t="shared" si="0"/>
        <v>44</v>
      </c>
      <c r="B57" s="234" t="str">
        <f t="shared" si="6"/>
        <v>FCR W base ROE</v>
      </c>
      <c r="C57" s="251">
        <f t="shared" si="5"/>
        <v>2020</v>
      </c>
      <c r="D57" s="327">
        <f>+F56</f>
        <v>0</v>
      </c>
      <c r="E57" s="327">
        <f>+D$26</f>
        <v>0</v>
      </c>
      <c r="F57" s="327">
        <f t="shared" si="4"/>
        <v>0</v>
      </c>
      <c r="G57" s="267">
        <f>+D$23*(D57+F57)/2+E57</f>
        <v>0</v>
      </c>
      <c r="H57" s="327"/>
      <c r="I57" s="327"/>
      <c r="J57" s="327"/>
      <c r="K57" s="267"/>
      <c r="L57" s="327"/>
      <c r="M57" s="327"/>
      <c r="N57" s="327"/>
      <c r="O57" s="267"/>
      <c r="P57" s="867"/>
      <c r="Q57" s="266"/>
      <c r="R57" s="266"/>
      <c r="S57" s="267"/>
      <c r="T57" s="327"/>
      <c r="U57" s="327"/>
      <c r="V57" s="327"/>
      <c r="W57" s="267"/>
      <c r="X57" s="264">
        <f t="shared" si="3"/>
        <v>0</v>
      </c>
      <c r="Y57" s="209"/>
      <c r="Z57" s="252">
        <f>+X57</f>
        <v>0</v>
      </c>
    </row>
    <row r="58" spans="1:26" ht="12.75">
      <c r="A58" s="387">
        <f t="shared" si="0"/>
        <v>45</v>
      </c>
      <c r="B58" s="234" t="str">
        <f t="shared" si="6"/>
        <v>W Increased ROE</v>
      </c>
      <c r="C58" s="251">
        <f t="shared" si="5"/>
        <v>2020</v>
      </c>
      <c r="D58" s="327">
        <f>+D57</f>
        <v>0</v>
      </c>
      <c r="E58" s="327">
        <f>+E57</f>
        <v>0</v>
      </c>
      <c r="F58" s="327">
        <f t="shared" si="4"/>
        <v>0</v>
      </c>
      <c r="G58" s="267">
        <f>+D$24*(F58+D58)/2+E58</f>
        <v>0</v>
      </c>
      <c r="H58" s="327"/>
      <c r="I58" s="327"/>
      <c r="J58" s="327"/>
      <c r="K58" s="267"/>
      <c r="L58" s="327"/>
      <c r="M58" s="327"/>
      <c r="N58" s="327"/>
      <c r="O58" s="267"/>
      <c r="P58" s="867"/>
      <c r="Q58" s="266"/>
      <c r="R58" s="266"/>
      <c r="S58" s="267"/>
      <c r="T58" s="327"/>
      <c r="U58" s="327"/>
      <c r="V58" s="327"/>
      <c r="W58" s="267"/>
      <c r="X58" s="264">
        <f t="shared" si="3"/>
        <v>0</v>
      </c>
      <c r="Y58" s="253">
        <f>+X58</f>
        <v>0</v>
      </c>
      <c r="Z58" s="233"/>
    </row>
    <row r="59" spans="1:26" ht="12.75">
      <c r="A59" s="387">
        <f t="shared" si="0"/>
        <v>46</v>
      </c>
      <c r="B59" s="234" t="str">
        <f t="shared" si="6"/>
        <v>FCR W base ROE</v>
      </c>
      <c r="C59" s="251">
        <f t="shared" si="5"/>
        <v>2021</v>
      </c>
      <c r="D59" s="327">
        <f>+F58</f>
        <v>0</v>
      </c>
      <c r="E59" s="327">
        <f>+D$26</f>
        <v>0</v>
      </c>
      <c r="F59" s="327">
        <f t="shared" si="4"/>
        <v>0</v>
      </c>
      <c r="G59" s="267">
        <f>+D$23*(D59+F59)/2+E59</f>
        <v>0</v>
      </c>
      <c r="H59" s="327"/>
      <c r="I59" s="327"/>
      <c r="J59" s="327"/>
      <c r="K59" s="267"/>
      <c r="L59" s="327"/>
      <c r="M59" s="327"/>
      <c r="N59" s="327"/>
      <c r="O59" s="267"/>
      <c r="P59" s="867"/>
      <c r="Q59" s="266"/>
      <c r="R59" s="266"/>
      <c r="S59" s="267"/>
      <c r="T59" s="327"/>
      <c r="U59" s="327"/>
      <c r="V59" s="327"/>
      <c r="W59" s="267"/>
      <c r="X59" s="264">
        <f t="shared" si="3"/>
        <v>0</v>
      </c>
      <c r="Y59" s="209"/>
      <c r="Z59" s="252">
        <f>+X59</f>
        <v>0</v>
      </c>
    </row>
    <row r="60" spans="1:26" ht="12.75">
      <c r="A60" s="387">
        <f t="shared" si="0"/>
        <v>47</v>
      </c>
      <c r="B60" s="234" t="str">
        <f t="shared" si="6"/>
        <v>W Increased ROE</v>
      </c>
      <c r="C60" s="251">
        <f t="shared" si="5"/>
        <v>2021</v>
      </c>
      <c r="D60" s="327">
        <f>+D59</f>
        <v>0</v>
      </c>
      <c r="E60" s="327">
        <f>+E59</f>
        <v>0</v>
      </c>
      <c r="F60" s="327">
        <f t="shared" si="4"/>
        <v>0</v>
      </c>
      <c r="G60" s="267">
        <f>+D$24*(F60+D60)/2+E60</f>
        <v>0</v>
      </c>
      <c r="H60" s="327"/>
      <c r="I60" s="327"/>
      <c r="J60" s="327"/>
      <c r="K60" s="267"/>
      <c r="L60" s="327"/>
      <c r="M60" s="327"/>
      <c r="N60" s="327"/>
      <c r="O60" s="267"/>
      <c r="P60" s="867"/>
      <c r="Q60" s="266"/>
      <c r="R60" s="266"/>
      <c r="S60" s="267"/>
      <c r="T60" s="327"/>
      <c r="U60" s="327"/>
      <c r="V60" s="327"/>
      <c r="W60" s="267"/>
      <c r="X60" s="264">
        <f t="shared" si="3"/>
        <v>0</v>
      </c>
      <c r="Y60" s="253">
        <f>+X60</f>
        <v>0</v>
      </c>
      <c r="Z60" s="233"/>
    </row>
    <row r="61" spans="1:26" ht="12.75">
      <c r="A61" s="387">
        <f t="shared" si="0"/>
        <v>48</v>
      </c>
      <c r="B61" s="234" t="str">
        <f t="shared" si="6"/>
        <v>FCR W base ROE</v>
      </c>
      <c r="C61" s="251">
        <f t="shared" si="5"/>
        <v>2022</v>
      </c>
      <c r="D61" s="327">
        <f>+F60</f>
        <v>0</v>
      </c>
      <c r="E61" s="327">
        <f>+D$26</f>
        <v>0</v>
      </c>
      <c r="F61" s="327">
        <f t="shared" si="4"/>
        <v>0</v>
      </c>
      <c r="G61" s="267">
        <f>+D$23*(D61+F61)/2+E61</f>
        <v>0</v>
      </c>
      <c r="H61" s="327"/>
      <c r="I61" s="327"/>
      <c r="J61" s="327"/>
      <c r="K61" s="267"/>
      <c r="L61" s="327"/>
      <c r="M61" s="327"/>
      <c r="N61" s="327"/>
      <c r="O61" s="267"/>
      <c r="P61" s="867"/>
      <c r="Q61" s="266"/>
      <c r="R61" s="266"/>
      <c r="S61" s="267"/>
      <c r="T61" s="327"/>
      <c r="U61" s="327"/>
      <c r="V61" s="327"/>
      <c r="W61" s="267"/>
      <c r="X61" s="264">
        <f t="shared" si="3"/>
        <v>0</v>
      </c>
      <c r="Y61" s="209"/>
      <c r="Z61" s="252">
        <f>+X61</f>
        <v>0</v>
      </c>
    </row>
    <row r="62" spans="1:26" ht="12.75">
      <c r="A62" s="387">
        <f t="shared" si="0"/>
        <v>49</v>
      </c>
      <c r="B62" s="234" t="str">
        <f t="shared" si="6"/>
        <v>W Increased ROE</v>
      </c>
      <c r="C62" s="251">
        <f t="shared" si="5"/>
        <v>2022</v>
      </c>
      <c r="D62" s="327">
        <f>+D61</f>
        <v>0</v>
      </c>
      <c r="E62" s="327">
        <f>+E61</f>
        <v>0</v>
      </c>
      <c r="F62" s="327">
        <f t="shared" si="4"/>
        <v>0</v>
      </c>
      <c r="G62" s="267">
        <f>+D$24*(F62+D62)/2+E62</f>
        <v>0</v>
      </c>
      <c r="H62" s="327"/>
      <c r="I62" s="327"/>
      <c r="J62" s="327"/>
      <c r="K62" s="267"/>
      <c r="L62" s="327"/>
      <c r="M62" s="327"/>
      <c r="N62" s="327"/>
      <c r="O62" s="267"/>
      <c r="P62" s="867"/>
      <c r="Q62" s="266"/>
      <c r="R62" s="266"/>
      <c r="S62" s="267"/>
      <c r="T62" s="327"/>
      <c r="U62" s="327"/>
      <c r="V62" s="327"/>
      <c r="W62" s="267"/>
      <c r="X62" s="264">
        <f t="shared" si="3"/>
        <v>0</v>
      </c>
      <c r="Y62" s="253">
        <f>+X62</f>
        <v>0</v>
      </c>
      <c r="Z62" s="233"/>
    </row>
    <row r="63" spans="1:26" ht="12.75">
      <c r="A63" s="387">
        <f t="shared" si="0"/>
        <v>50</v>
      </c>
      <c r="B63" s="234" t="str">
        <f t="shared" si="6"/>
        <v>FCR W base ROE</v>
      </c>
      <c r="C63" s="251">
        <f t="shared" si="5"/>
        <v>2023</v>
      </c>
      <c r="D63" s="327">
        <f>+F62</f>
        <v>0</v>
      </c>
      <c r="E63" s="327">
        <f>+D$26</f>
        <v>0</v>
      </c>
      <c r="F63" s="327">
        <f t="shared" si="4"/>
        <v>0</v>
      </c>
      <c r="G63" s="267">
        <f>+D$23*(D63+F63)/2+E63</f>
        <v>0</v>
      </c>
      <c r="H63" s="327"/>
      <c r="I63" s="327"/>
      <c r="J63" s="327"/>
      <c r="K63" s="267"/>
      <c r="L63" s="327"/>
      <c r="M63" s="327"/>
      <c r="N63" s="327"/>
      <c r="O63" s="267"/>
      <c r="P63" s="867"/>
      <c r="Q63" s="266"/>
      <c r="R63" s="266"/>
      <c r="S63" s="267"/>
      <c r="T63" s="327"/>
      <c r="U63" s="327"/>
      <c r="V63" s="327"/>
      <c r="W63" s="267"/>
      <c r="X63" s="264">
        <f t="shared" si="3"/>
        <v>0</v>
      </c>
      <c r="Y63" s="209"/>
      <c r="Z63" s="252">
        <f>+X63</f>
        <v>0</v>
      </c>
    </row>
    <row r="64" spans="1:26" ht="12.75">
      <c r="A64" s="387">
        <f t="shared" si="0"/>
        <v>51</v>
      </c>
      <c r="B64" s="234" t="str">
        <f t="shared" si="6"/>
        <v>W Increased ROE</v>
      </c>
      <c r="C64" s="251">
        <f t="shared" si="5"/>
        <v>2023</v>
      </c>
      <c r="D64" s="327">
        <f>+D63</f>
        <v>0</v>
      </c>
      <c r="E64" s="327">
        <f>+E63</f>
        <v>0</v>
      </c>
      <c r="F64" s="327">
        <f t="shared" si="4"/>
        <v>0</v>
      </c>
      <c r="G64" s="267">
        <f>+D$24*(F64+D64)/2+E64</f>
        <v>0</v>
      </c>
      <c r="H64" s="327"/>
      <c r="I64" s="327"/>
      <c r="J64" s="327"/>
      <c r="K64" s="267"/>
      <c r="L64" s="327"/>
      <c r="M64" s="327"/>
      <c r="N64" s="327"/>
      <c r="O64" s="267"/>
      <c r="P64" s="867"/>
      <c r="Q64" s="266"/>
      <c r="R64" s="266"/>
      <c r="S64" s="267"/>
      <c r="T64" s="327"/>
      <c r="U64" s="327"/>
      <c r="V64" s="327"/>
      <c r="W64" s="267"/>
      <c r="X64" s="264">
        <f t="shared" si="3"/>
        <v>0</v>
      </c>
      <c r="Y64" s="253">
        <f>+X64</f>
        <v>0</v>
      </c>
      <c r="Z64" s="233"/>
    </row>
    <row r="65" spans="1:26" ht="12.75">
      <c r="A65" s="387">
        <f t="shared" si="0"/>
        <v>52</v>
      </c>
      <c r="B65" s="234" t="str">
        <f t="shared" si="6"/>
        <v>FCR W base ROE</v>
      </c>
      <c r="C65" s="251">
        <f t="shared" si="5"/>
        <v>2024</v>
      </c>
      <c r="D65" s="327">
        <f>+F64</f>
        <v>0</v>
      </c>
      <c r="E65" s="327">
        <f>+D$26</f>
        <v>0</v>
      </c>
      <c r="F65" s="327">
        <f t="shared" si="4"/>
        <v>0</v>
      </c>
      <c r="G65" s="267">
        <f>+D$23*(D65+F65)/2+E65</f>
        <v>0</v>
      </c>
      <c r="H65" s="327"/>
      <c r="I65" s="327"/>
      <c r="J65" s="327"/>
      <c r="K65" s="267"/>
      <c r="L65" s="327"/>
      <c r="M65" s="327"/>
      <c r="N65" s="327"/>
      <c r="O65" s="267"/>
      <c r="P65" s="867"/>
      <c r="Q65" s="266"/>
      <c r="R65" s="266"/>
      <c r="S65" s="267"/>
      <c r="T65" s="327"/>
      <c r="U65" s="327"/>
      <c r="V65" s="327"/>
      <c r="W65" s="267"/>
      <c r="X65" s="264">
        <f t="shared" si="3"/>
        <v>0</v>
      </c>
      <c r="Y65" s="209"/>
      <c r="Z65" s="252">
        <f>+X65</f>
        <v>0</v>
      </c>
    </row>
    <row r="66" spans="1:26" ht="12.75">
      <c r="A66" s="387">
        <f t="shared" si="0"/>
        <v>53</v>
      </c>
      <c r="B66" s="234" t="str">
        <f t="shared" si="6"/>
        <v>W Increased ROE</v>
      </c>
      <c r="C66" s="251">
        <f t="shared" si="5"/>
        <v>2024</v>
      </c>
      <c r="D66" s="327">
        <f>+D65</f>
        <v>0</v>
      </c>
      <c r="E66" s="327">
        <f>+E65</f>
        <v>0</v>
      </c>
      <c r="F66" s="327">
        <f t="shared" si="4"/>
        <v>0</v>
      </c>
      <c r="G66" s="267">
        <f>+D$24*(F66+D66)/2+E66</f>
        <v>0</v>
      </c>
      <c r="H66" s="327"/>
      <c r="I66" s="327"/>
      <c r="J66" s="327"/>
      <c r="K66" s="267"/>
      <c r="L66" s="327"/>
      <c r="M66" s="327"/>
      <c r="N66" s="327"/>
      <c r="O66" s="267"/>
      <c r="P66" s="867"/>
      <c r="Q66" s="266"/>
      <c r="R66" s="266"/>
      <c r="S66" s="267"/>
      <c r="T66" s="327"/>
      <c r="U66" s="327"/>
      <c r="V66" s="327"/>
      <c r="W66" s="267"/>
      <c r="X66" s="264">
        <f t="shared" si="3"/>
        <v>0</v>
      </c>
      <c r="Y66" s="253">
        <f>+X66</f>
        <v>0</v>
      </c>
      <c r="Z66" s="233"/>
    </row>
    <row r="67" spans="1:26" ht="12.75">
      <c r="A67" s="387">
        <f t="shared" si="0"/>
        <v>54</v>
      </c>
      <c r="B67" s="234" t="str">
        <f t="shared" si="6"/>
        <v>FCR W base ROE</v>
      </c>
      <c r="C67" s="251">
        <f t="shared" si="5"/>
        <v>2025</v>
      </c>
      <c r="D67" s="327">
        <f>+F66</f>
        <v>0</v>
      </c>
      <c r="E67" s="327">
        <f>+D$26</f>
        <v>0</v>
      </c>
      <c r="F67" s="327">
        <f t="shared" si="4"/>
        <v>0</v>
      </c>
      <c r="G67" s="267">
        <f>+D$23*(D67+F67)/2+E67</f>
        <v>0</v>
      </c>
      <c r="H67" s="327"/>
      <c r="I67" s="327"/>
      <c r="J67" s="327"/>
      <c r="K67" s="267"/>
      <c r="L67" s="327"/>
      <c r="M67" s="327"/>
      <c r="N67" s="327"/>
      <c r="O67" s="267"/>
      <c r="P67" s="867"/>
      <c r="Q67" s="266"/>
      <c r="R67" s="266"/>
      <c r="S67" s="267"/>
      <c r="T67" s="327"/>
      <c r="U67" s="327"/>
      <c r="V67" s="327"/>
      <c r="W67" s="267"/>
      <c r="X67" s="264">
        <f t="shared" si="3"/>
        <v>0</v>
      </c>
      <c r="Y67" s="209"/>
      <c r="Z67" s="252">
        <f>+X67</f>
        <v>0</v>
      </c>
    </row>
    <row r="68" spans="1:26" ht="12.75">
      <c r="A68" s="387">
        <f t="shared" si="0"/>
        <v>55</v>
      </c>
      <c r="B68" s="234" t="str">
        <f t="shared" si="6"/>
        <v>W Increased ROE</v>
      </c>
      <c r="C68" s="251">
        <f t="shared" si="5"/>
        <v>2025</v>
      </c>
      <c r="D68" s="327">
        <f>+D67</f>
        <v>0</v>
      </c>
      <c r="E68" s="327">
        <f>+E67</f>
        <v>0</v>
      </c>
      <c r="F68" s="327">
        <f t="shared" si="4"/>
        <v>0</v>
      </c>
      <c r="G68" s="267">
        <f>+D$24*(F68+D68)/2+E68</f>
        <v>0</v>
      </c>
      <c r="H68" s="327"/>
      <c r="I68" s="327"/>
      <c r="J68" s="327"/>
      <c r="K68" s="267"/>
      <c r="L68" s="327"/>
      <c r="M68" s="327"/>
      <c r="N68" s="327"/>
      <c r="O68" s="267"/>
      <c r="P68" s="867"/>
      <c r="Q68" s="266"/>
      <c r="R68" s="266"/>
      <c r="S68" s="267"/>
      <c r="T68" s="327"/>
      <c r="U68" s="327"/>
      <c r="V68" s="327"/>
      <c r="W68" s="267"/>
      <c r="X68" s="264">
        <f t="shared" si="3"/>
        <v>0</v>
      </c>
      <c r="Y68" s="253">
        <f>+X68</f>
        <v>0</v>
      </c>
      <c r="Z68" s="233"/>
    </row>
    <row r="69" spans="1:26" ht="12.75">
      <c r="A69" s="387">
        <f t="shared" si="0"/>
        <v>56</v>
      </c>
      <c r="B69" s="234" t="str">
        <f t="shared" si="6"/>
        <v>FCR W base ROE</v>
      </c>
      <c r="C69" s="251">
        <f t="shared" si="5"/>
        <v>2026</v>
      </c>
      <c r="D69" s="327">
        <f>+F68</f>
        <v>0</v>
      </c>
      <c r="E69" s="327">
        <f>+D$26</f>
        <v>0</v>
      </c>
      <c r="F69" s="327">
        <f t="shared" si="4"/>
        <v>0</v>
      </c>
      <c r="G69" s="267">
        <f>+D$23*(D69+F69)/2+E69</f>
        <v>0</v>
      </c>
      <c r="H69" s="327"/>
      <c r="I69" s="327"/>
      <c r="J69" s="327"/>
      <c r="K69" s="267"/>
      <c r="L69" s="327"/>
      <c r="M69" s="327"/>
      <c r="N69" s="327"/>
      <c r="O69" s="267"/>
      <c r="P69" s="867"/>
      <c r="Q69" s="266"/>
      <c r="R69" s="266"/>
      <c r="S69" s="267"/>
      <c r="T69" s="327"/>
      <c r="U69" s="327"/>
      <c r="V69" s="327"/>
      <c r="W69" s="267"/>
      <c r="X69" s="264">
        <f t="shared" si="3"/>
        <v>0</v>
      </c>
      <c r="Y69" s="209"/>
      <c r="Z69" s="252">
        <f>+X69</f>
        <v>0</v>
      </c>
    </row>
    <row r="70" spans="1:26" ht="12.75">
      <c r="A70" s="387">
        <f t="shared" si="0"/>
        <v>57</v>
      </c>
      <c r="B70" s="234" t="str">
        <f t="shared" si="6"/>
        <v>W Increased ROE</v>
      </c>
      <c r="C70" s="251">
        <f t="shared" si="5"/>
        <v>2026</v>
      </c>
      <c r="D70" s="327"/>
      <c r="E70" s="327">
        <f>+E69</f>
        <v>0</v>
      </c>
      <c r="F70" s="327">
        <f t="shared" si="4"/>
        <v>0</v>
      </c>
      <c r="G70" s="267">
        <f>+D$24*(F70+D70)/2+E70</f>
        <v>0</v>
      </c>
      <c r="H70" s="327"/>
      <c r="I70" s="327"/>
      <c r="J70" s="327"/>
      <c r="K70" s="267"/>
      <c r="L70" s="327"/>
      <c r="M70" s="327"/>
      <c r="N70" s="327"/>
      <c r="O70" s="267"/>
      <c r="P70" s="867"/>
      <c r="Q70" s="266"/>
      <c r="R70" s="266"/>
      <c r="S70" s="267"/>
      <c r="T70" s="327"/>
      <c r="U70" s="327"/>
      <c r="V70" s="327"/>
      <c r="W70" s="267"/>
      <c r="X70" s="264">
        <f t="shared" si="3"/>
        <v>0</v>
      </c>
      <c r="Y70" s="253">
        <f>+X70</f>
        <v>0</v>
      </c>
      <c r="Z70" s="233"/>
    </row>
    <row r="71" spans="1:26" ht="12.75">
      <c r="A71" s="387">
        <f t="shared" si="0"/>
        <v>58</v>
      </c>
      <c r="B71" s="447"/>
      <c r="C71" s="254" t="s">
        <v>593</v>
      </c>
      <c r="D71" s="255"/>
      <c r="E71" s="255" t="s">
        <v>593</v>
      </c>
      <c r="F71" s="255" t="s">
        <v>594</v>
      </c>
      <c r="G71" s="256" t="s">
        <v>593</v>
      </c>
      <c r="H71" s="255"/>
      <c r="I71" s="255"/>
      <c r="J71" s="255"/>
      <c r="K71" s="256"/>
      <c r="L71" s="979"/>
      <c r="M71" s="979"/>
      <c r="N71" s="979"/>
      <c r="O71" s="256"/>
      <c r="P71" s="983"/>
      <c r="Q71" s="979"/>
      <c r="R71" s="979"/>
      <c r="S71" s="256"/>
      <c r="T71" s="255"/>
      <c r="U71" s="255"/>
      <c r="V71" s="255"/>
      <c r="W71" s="256"/>
      <c r="X71" s="264"/>
      <c r="Y71" s="209"/>
      <c r="Z71" s="252">
        <f>+X71</f>
        <v>0</v>
      </c>
    </row>
    <row r="72" spans="1:28" ht="13.5" thickBot="1">
      <c r="A72" s="387">
        <f t="shared" si="0"/>
        <v>59</v>
      </c>
      <c r="B72" s="448"/>
      <c r="C72" s="257" t="s">
        <v>593</v>
      </c>
      <c r="D72" s="258" t="s">
        <v>593</v>
      </c>
      <c r="E72" s="258" t="s">
        <v>594</v>
      </c>
      <c r="F72" s="258" t="s">
        <v>594</v>
      </c>
      <c r="G72" s="259" t="s">
        <v>593</v>
      </c>
      <c r="H72" s="258"/>
      <c r="I72" s="258"/>
      <c r="J72" s="258"/>
      <c r="K72" s="259"/>
      <c r="L72" s="980"/>
      <c r="M72" s="980"/>
      <c r="N72" s="980"/>
      <c r="O72" s="259"/>
      <c r="P72" s="984"/>
      <c r="Q72" s="980"/>
      <c r="R72" s="980"/>
      <c r="S72" s="259"/>
      <c r="T72" s="258"/>
      <c r="U72" s="258"/>
      <c r="V72" s="258"/>
      <c r="W72" s="259"/>
      <c r="X72" s="1150"/>
      <c r="Y72" s="1151">
        <f>IF('Appendix A'!I1=1,SUM('7 - Cap Add WS'!Y51:Y71),SUM(Y53:Y71))</f>
        <v>73084183.13249722</v>
      </c>
      <c r="Z72" s="1152">
        <f>IF('Appendix A'!I1=1,SUM('7 - Cap Add WS'!Z51:Z71),SUM(Z53:Z71))</f>
        <v>69452987.41346698</v>
      </c>
      <c r="AB72" s="442"/>
    </row>
    <row r="73" spans="2:26" ht="12.75">
      <c r="B73" s="208" t="s">
        <v>242</v>
      </c>
      <c r="C73" s="260"/>
      <c r="D73" s="208"/>
      <c r="E73" s="208"/>
      <c r="F73" s="208"/>
      <c r="G73" s="261"/>
      <c r="H73" s="208"/>
      <c r="I73" s="208"/>
      <c r="J73" s="208"/>
      <c r="K73" s="261"/>
      <c r="L73" s="261"/>
      <c r="M73" s="261"/>
      <c r="N73" s="261"/>
      <c r="O73" s="261"/>
      <c r="P73" s="261"/>
      <c r="Q73" s="261"/>
      <c r="R73" s="261"/>
      <c r="S73" s="261"/>
      <c r="T73" s="261"/>
      <c r="U73" s="261"/>
      <c r="V73" s="261"/>
      <c r="W73" s="261"/>
      <c r="X73" s="208"/>
      <c r="Y73" s="262"/>
      <c r="Z73" s="262"/>
    </row>
    <row r="75" ht="12.75">
      <c r="Y75" s="443"/>
    </row>
    <row r="281" spans="3:7" ht="15.75">
      <c r="C281" s="766"/>
      <c r="D281" s="649"/>
      <c r="E281" s="649"/>
      <c r="F281" s="649"/>
      <c r="G281" s="767"/>
    </row>
    <row r="282" spans="3:7" ht="99.75" customHeight="1">
      <c r="C282" s="766"/>
      <c r="D282" s="649"/>
      <c r="E282" s="649"/>
      <c r="F282" s="649"/>
      <c r="G282" s="767"/>
    </row>
    <row r="283" spans="3:7" ht="15.75">
      <c r="C283" s="766"/>
      <c r="D283" s="649"/>
      <c r="E283" s="649"/>
      <c r="F283" s="649"/>
      <c r="G283" s="767"/>
    </row>
    <row r="284" spans="3:7" ht="15.75">
      <c r="C284" s="766"/>
      <c r="D284" s="649"/>
      <c r="E284" s="649"/>
      <c r="F284" s="649"/>
      <c r="G284" s="767"/>
    </row>
    <row r="285" spans="3:7" ht="15.75">
      <c r="C285" s="766"/>
      <c r="D285" s="649"/>
      <c r="E285" s="649"/>
      <c r="F285" s="649"/>
      <c r="G285" s="767"/>
    </row>
    <row r="286" spans="3:7" ht="15.75">
      <c r="C286" s="766"/>
      <c r="D286" s="649"/>
      <c r="E286" s="649"/>
      <c r="F286" s="649"/>
      <c r="G286" s="767"/>
    </row>
    <row r="287" spans="3:7" ht="15.75">
      <c r="C287" s="766"/>
      <c r="D287" s="649"/>
      <c r="E287" s="649"/>
      <c r="F287" s="649"/>
      <c r="G287" s="767"/>
    </row>
    <row r="288" spans="3:7" ht="15.75">
      <c r="C288" s="766"/>
      <c r="D288" s="649"/>
      <c r="E288" s="649"/>
      <c r="F288" s="649"/>
      <c r="G288" s="767"/>
    </row>
    <row r="289" spans="3:7" ht="15.75">
      <c r="C289" s="766"/>
      <c r="D289" s="649"/>
      <c r="E289" s="649"/>
      <c r="F289" s="649"/>
      <c r="G289" s="767"/>
    </row>
    <row r="290" spans="3:7" ht="15.75">
      <c r="C290" s="766"/>
      <c r="D290" s="649"/>
      <c r="E290" s="649"/>
      <c r="F290" s="649"/>
      <c r="G290" s="767"/>
    </row>
    <row r="291" spans="3:7" ht="15.75">
      <c r="C291" s="766"/>
      <c r="D291" s="649"/>
      <c r="E291" s="649"/>
      <c r="F291" s="649"/>
      <c r="G291" s="767"/>
    </row>
    <row r="292" spans="3:7" ht="15.75">
      <c r="C292" s="766"/>
      <c r="D292" s="649"/>
      <c r="E292" s="649"/>
      <c r="F292" s="649"/>
      <c r="G292" s="767"/>
    </row>
    <row r="293" spans="3:7" ht="15.75">
      <c r="C293" s="766"/>
      <c r="D293" s="649"/>
      <c r="E293" s="649"/>
      <c r="F293" s="649"/>
      <c r="G293" s="767"/>
    </row>
    <row r="294" spans="3:7" ht="15.75">
      <c r="C294" s="766"/>
      <c r="D294" s="649"/>
      <c r="E294" s="649"/>
      <c r="F294" s="649"/>
      <c r="G294" s="767"/>
    </row>
    <row r="295" spans="3:7" ht="15.75">
      <c r="C295" s="766"/>
      <c r="D295" s="649"/>
      <c r="E295" s="649"/>
      <c r="F295" s="649"/>
      <c r="G295" s="767"/>
    </row>
    <row r="296" spans="3:7" ht="15.75">
      <c r="C296" s="766"/>
      <c r="D296" s="649"/>
      <c r="E296" s="649"/>
      <c r="F296" s="649"/>
      <c r="G296" s="767"/>
    </row>
    <row r="297" spans="3:7" ht="15.75">
      <c r="C297" s="766"/>
      <c r="D297" s="649"/>
      <c r="E297" s="649"/>
      <c r="F297" s="649"/>
      <c r="G297" s="767"/>
    </row>
    <row r="298" spans="3:7" ht="15.75">
      <c r="C298" s="766"/>
      <c r="D298" s="649"/>
      <c r="E298" s="649"/>
      <c r="F298" s="649"/>
      <c r="G298" s="767"/>
    </row>
    <row r="299" spans="3:7" ht="15.75">
      <c r="C299" s="766"/>
      <c r="D299" s="649"/>
      <c r="E299" s="649"/>
      <c r="F299" s="649"/>
      <c r="G299" s="767"/>
    </row>
    <row r="300" spans="3:7" ht="15.75">
      <c r="C300" s="766"/>
      <c r="D300" s="649"/>
      <c r="E300" s="649"/>
      <c r="F300" s="649"/>
      <c r="G300" s="767"/>
    </row>
    <row r="301" spans="3:7" ht="15.75">
      <c r="C301" s="766"/>
      <c r="D301" s="649"/>
      <c r="E301" s="649"/>
      <c r="F301" s="649"/>
      <c r="G301" s="767"/>
    </row>
    <row r="302" spans="3:7" ht="15.75">
      <c r="C302" s="766"/>
      <c r="D302" s="649"/>
      <c r="E302" s="649"/>
      <c r="F302" s="649"/>
      <c r="G302" s="767"/>
    </row>
    <row r="303" spans="3:7" ht="40.5" customHeight="1">
      <c r="C303" s="766"/>
      <c r="D303" s="649"/>
      <c r="E303" s="649"/>
      <c r="F303" s="649"/>
      <c r="G303" s="767"/>
    </row>
    <row r="304" spans="3:7" ht="15.75">
      <c r="C304" s="766"/>
      <c r="D304" s="649"/>
      <c r="E304" s="649"/>
      <c r="F304" s="649"/>
      <c r="G304" s="767"/>
    </row>
    <row r="305" spans="2:7" ht="12.75">
      <c r="B305" s="384"/>
      <c r="C305" s="385"/>
      <c r="D305" s="384"/>
      <c r="E305" s="384"/>
      <c r="F305" s="384"/>
      <c r="G305" s="444"/>
    </row>
    <row r="306" spans="2:7" ht="12.75">
      <c r="B306" s="384"/>
      <c r="C306" s="385"/>
      <c r="D306" s="384"/>
      <c r="E306" s="384"/>
      <c r="F306" s="384"/>
      <c r="G306" s="444"/>
    </row>
    <row r="307" spans="2:7" ht="12.75">
      <c r="B307" s="384"/>
      <c r="C307" s="385"/>
      <c r="D307" s="384"/>
      <c r="E307" s="384"/>
      <c r="F307" s="384"/>
      <c r="G307" s="444"/>
    </row>
    <row r="308" spans="2:7" ht="12.75">
      <c r="B308" s="384"/>
      <c r="C308" s="385"/>
      <c r="D308" s="384"/>
      <c r="E308" s="384"/>
      <c r="F308" s="384"/>
      <c r="G308" s="444"/>
    </row>
    <row r="309" spans="2:7" ht="12.75">
      <c r="B309" s="384"/>
      <c r="C309" s="385"/>
      <c r="D309" s="384"/>
      <c r="E309" s="384"/>
      <c r="F309" s="384"/>
      <c r="G309" s="444"/>
    </row>
    <row r="310" spans="2:7" ht="12.75">
      <c r="B310" s="384"/>
      <c r="C310" s="385"/>
      <c r="D310" s="384"/>
      <c r="E310" s="384"/>
      <c r="F310" s="384"/>
      <c r="G310" s="444"/>
    </row>
    <row r="311" spans="2:7" ht="12.75">
      <c r="B311" s="384"/>
      <c r="C311" s="385"/>
      <c r="D311" s="384"/>
      <c r="E311" s="384"/>
      <c r="F311" s="384"/>
      <c r="G311" s="444"/>
    </row>
    <row r="312" spans="2:7" ht="12.75">
      <c r="B312" s="384"/>
      <c r="C312" s="385"/>
      <c r="D312" s="384"/>
      <c r="E312" s="384"/>
      <c r="F312" s="384"/>
      <c r="G312" s="444"/>
    </row>
    <row r="313" spans="2:7" ht="12.75">
      <c r="B313" s="384"/>
      <c r="C313" s="385"/>
      <c r="D313" s="384"/>
      <c r="E313" s="384"/>
      <c r="F313" s="384"/>
      <c r="G313" s="444"/>
    </row>
  </sheetData>
  <sheetProtection/>
  <mergeCells count="5">
    <mergeCell ref="D18:G18"/>
    <mergeCell ref="H18:K18"/>
    <mergeCell ref="T18:W18"/>
    <mergeCell ref="P18:S18"/>
    <mergeCell ref="L18:O18"/>
  </mergeCells>
  <printOptions/>
  <pageMargins left="0.5" right="0.5" top="1" bottom="1" header="0.5" footer="0.5"/>
  <pageSetup fitToHeight="2" fitToWidth="1" horizontalDpi="600" verticalDpi="600" orientation="landscape" scale="37" r:id="rId1"/>
  <headerFooter alignWithMargins="0">
    <oddHeader>&amp;CDuquesne Light Company
Attachment H -17A
Attachment 7 - Transmission Enhancement Charge Worksheet&amp;RPage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aweaver</cp:lastModifiedBy>
  <cp:lastPrinted>2018-05-14T13:57:06Z</cp:lastPrinted>
  <dcterms:created xsi:type="dcterms:W3CDTF">2007-10-03T22:31:41Z</dcterms:created>
  <dcterms:modified xsi:type="dcterms:W3CDTF">2018-05-14T20:21:48Z</dcterms:modified>
  <cp:category/>
  <cp:version/>
  <cp:contentType/>
  <cp:contentStatus/>
</cp:coreProperties>
</file>