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Z:\Services\Finance\0991\Formula Rate Filings\2018 2019 Filing\Rate Filing\Proforma\"/>
    </mc:Choice>
  </mc:AlternateContent>
  <bookViews>
    <workbookView xWindow="0" yWindow="0" windowWidth="28800" windowHeight="11610" tabRatio="826"/>
  </bookViews>
  <sheets>
    <sheet name="ATT H-9A" sheetId="10" r:id="rId1"/>
    <sheet name="1 - ADIT" sheetId="9" r:id="rId2"/>
    <sheet name="2 - Other Tax" sheetId="8" r:id="rId3"/>
    <sheet name="Prop taxes to function" sheetId="7" r:id="rId4"/>
    <sheet name="3 - Revenue Credits" sheetId="6" r:id="rId5"/>
    <sheet name="4 - 100 Basis Pt ROE" sheetId="5" r:id="rId6"/>
    <sheet name="5 - Cost Support 1" sheetId="3" r:id="rId7"/>
    <sheet name="5a Affiliate Allocations" sheetId="11" r:id="rId8"/>
    <sheet name="6- Est &amp; Reconcile WS" sheetId="4" r:id="rId9"/>
    <sheet name="7 - Cap Add WS" sheetId="2" r:id="rId10"/>
    <sheet name="8 - Securitization" sheetId="1"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0">#REF!</definedName>
    <definedName name="\A">#REF!</definedName>
    <definedName name="\b">#REF!</definedName>
    <definedName name="\C">#REF!</definedName>
    <definedName name="\D">#REF!</definedName>
    <definedName name="\E">#REF!</definedName>
    <definedName name="\f">[1]IS!#REF!</definedName>
    <definedName name="\G">#REF!</definedName>
    <definedName name="\H">#REF!</definedName>
    <definedName name="\I">#REF!</definedName>
    <definedName name="\J">#REF!</definedName>
    <definedName name="\k">[1]IS!#REF!</definedName>
    <definedName name="\L">#REF!</definedName>
    <definedName name="\M">#REF!</definedName>
    <definedName name="\N">#REF!</definedName>
    <definedName name="\O">#REF!</definedName>
    <definedName name="\P">#REF!</definedName>
    <definedName name="\q">'[2]Curr adj - depn basis diff'!#REF!</definedName>
    <definedName name="\R">#REF!</definedName>
    <definedName name="\S">#REF!</definedName>
    <definedName name="\U">#REF!</definedName>
    <definedName name="\W">#REF!</definedName>
    <definedName name="_________________H1">{"'Metretek HTML'!$A$7:$W$42"}</definedName>
    <definedName name="_______agr8690">[3]Model!$I$58</definedName>
    <definedName name="_______agr8790">[3]Model!$I$59</definedName>
    <definedName name="_______agr8791">[3]Model!$J$59</definedName>
    <definedName name="_______agr8890">[3]Model!$I$60</definedName>
    <definedName name="_______agr8891">[3]Model!$J$60</definedName>
    <definedName name="_______agr8892">[3]Model!$K$60</definedName>
    <definedName name="_______agr8990">[3]Model!$I$61</definedName>
    <definedName name="_______agr8991">[3]Model!$J$61</definedName>
    <definedName name="_______agr8992">[3]Model!$K$61</definedName>
    <definedName name="_______agr8993">[3]Model!$L$61</definedName>
    <definedName name="_______agr9091">[3]Model!$J$62</definedName>
    <definedName name="_______agr9092">[3]Model!$K$62</definedName>
    <definedName name="_______agr9093">[3]Model!$L$62</definedName>
    <definedName name="_______agr9094">[3]Model!$M$62</definedName>
    <definedName name="_______agr9192">[3]Model!$K$63</definedName>
    <definedName name="_______agr9193">[3]Model!$L$63</definedName>
    <definedName name="_______agr9194">[3]Model!$M$63</definedName>
    <definedName name="_______agr9195">[3]Model!$N$63</definedName>
    <definedName name="_______agr9293">[3]Model!$L$64</definedName>
    <definedName name="_______agr9294">[3]Model!$M$64</definedName>
    <definedName name="_______agr9295">[3]Model!$N$64</definedName>
    <definedName name="_______agr9296">[3]Model!$O$64</definedName>
    <definedName name="_______agr9394">[3]Model!$M$65</definedName>
    <definedName name="_______agr9395">[3]Model!$N$65</definedName>
    <definedName name="_______agr9396">[3]Model!$O$65</definedName>
    <definedName name="_______agr9397">[3]Model!$P$65</definedName>
    <definedName name="_______agr9495">[3]Model!$N$66</definedName>
    <definedName name="_______agr9496">[3]Model!$O$66</definedName>
    <definedName name="_______agr9497">[3]Model!$P$66</definedName>
    <definedName name="_______agr9498">[3]Model!$Q$66</definedName>
    <definedName name="_______agr9596">[3]Model!$O$67</definedName>
    <definedName name="_______agr9597">[3]Model!$P$67</definedName>
    <definedName name="_______agr9598">[3]Model!$Q$67</definedName>
    <definedName name="_______agr9697">[3]Model!$P$68</definedName>
    <definedName name="_______agr9698">[3]Model!$Q$68</definedName>
    <definedName name="_______agr9798">[3]Model!$Q$69</definedName>
    <definedName name="_______qre84">'[3]QRE''s'!$D$1:$D$65536</definedName>
    <definedName name="_______qre8490">[3]Model!$I$126</definedName>
    <definedName name="_______qre8491">[3]Model!$J$126</definedName>
    <definedName name="_______qre8492">[3]Model!$K$126</definedName>
    <definedName name="_______qre8493">[3]Model!$L$126</definedName>
    <definedName name="_______qre8494">[3]Model!$M$126</definedName>
    <definedName name="_______qre8495">[3]Model!$N$126</definedName>
    <definedName name="_______qre8496">[3]Model!$O$126</definedName>
    <definedName name="_______qre8497">[3]Model!$P$126</definedName>
    <definedName name="_______qre8498">[3]Model!$Q$126</definedName>
    <definedName name="_______qre85">'[3]QRE''s'!$E$1:$E$65536</definedName>
    <definedName name="_______qre8590">[3]Model!$I$127</definedName>
    <definedName name="_______qre8591">[3]Model!$J$127</definedName>
    <definedName name="_______qre8592">[3]Model!$K$127</definedName>
    <definedName name="_______qre8593">[3]Model!$L$127</definedName>
    <definedName name="_______qre8594">[3]Model!$M$127</definedName>
    <definedName name="_______qre8595">[3]Model!$N$127</definedName>
    <definedName name="_______qre8596">[3]Model!$O$127</definedName>
    <definedName name="_______qre8597">[3]Model!$P$127</definedName>
    <definedName name="_______qre8598">[3]Model!$Q$127</definedName>
    <definedName name="_______qre86">'[3]QRE''s'!$F$1:$F$65536</definedName>
    <definedName name="_______qre8690">[3]Model!$I$128</definedName>
    <definedName name="_______qre8691">[3]Model!$J$128</definedName>
    <definedName name="_______qre8692">[3]Model!$K$128</definedName>
    <definedName name="_______qre8693">[3]Model!$L$128</definedName>
    <definedName name="_______qre8694">[3]Model!$M$128</definedName>
    <definedName name="_______qre8695">[3]Model!$N$128</definedName>
    <definedName name="_______qre8696">[3]Model!$O$128</definedName>
    <definedName name="_______qre8697">[3]Model!$P$128</definedName>
    <definedName name="_______qre8698">[3]Model!$Q$128</definedName>
    <definedName name="_______qre87">'[3]QRE''s'!$G$1:$G$65536</definedName>
    <definedName name="_______qre8790">[3]Model!$I$129</definedName>
    <definedName name="_______qre8791">[3]Model!$J$129</definedName>
    <definedName name="_______qre8792">[3]Model!$K$129</definedName>
    <definedName name="_______qre8793">[3]Model!$L$129</definedName>
    <definedName name="_______qre8794">[3]Model!$M$129</definedName>
    <definedName name="_______qre8795">[3]Model!$N$129</definedName>
    <definedName name="_______qre8796">[3]Model!$O$129</definedName>
    <definedName name="_______qre8797">[3]Model!$P$129</definedName>
    <definedName name="_______qre8798">[3]Model!$Q$129</definedName>
    <definedName name="_______qre88">'[3]QRE''s'!$H$1:$H$65536</definedName>
    <definedName name="_______qre8890">[3]Model!$I$130</definedName>
    <definedName name="_______qre8891">[3]Model!$J$130</definedName>
    <definedName name="_______qre8892">[3]Model!$K$130</definedName>
    <definedName name="_______qre8893">[3]Model!$L$130</definedName>
    <definedName name="_______qre8894">[3]Model!$M$130</definedName>
    <definedName name="_______qre8895">[3]Model!$N$130</definedName>
    <definedName name="_______qre8896">[3]Model!$O$130</definedName>
    <definedName name="_______qre8897">[3]Model!$P$130</definedName>
    <definedName name="_______qre8898">[3]Model!$Q$130</definedName>
    <definedName name="_______qre89">'[3]QRE''s'!$I$1:$I$65536</definedName>
    <definedName name="_______qre90">'[3]QRE''s'!$J$1:$J$65536</definedName>
    <definedName name="_______qre91">'[3]QRE''s'!$K$1:$K$65536</definedName>
    <definedName name="_______qre92">'[3]QRE''s'!$L$1:$L$65536</definedName>
    <definedName name="_______qre93">'[3]QRE''s'!$M$1:$M$65536</definedName>
    <definedName name="_______qre94">'[3]QRE''s'!$N$1:$N$65536</definedName>
    <definedName name="_______qre95">'[3]QRE''s'!$O$1:$O$65536</definedName>
    <definedName name="_______qre96">'[3]QRE''s'!$P$1:$P$65536</definedName>
    <definedName name="_______qre97">'[3]QRE''s'!$Q$1:$Q$65536</definedName>
    <definedName name="_______qre98">'[3]QRE''s'!$R$1:$R$65536</definedName>
    <definedName name="_______tqc90">'[3]QRE''s'!$J$101</definedName>
    <definedName name="_______tqc91">'[3]QRE''s'!$K$101</definedName>
    <definedName name="_______tqc92">'[3]QRE''s'!$L$101</definedName>
    <definedName name="_______tqc93">'[3]QRE''s'!$M$101</definedName>
    <definedName name="_______tqc94">'[3]QRE''s'!$N$101</definedName>
    <definedName name="_______tqc95">'[3]QRE''s'!$O$101</definedName>
    <definedName name="_______tqc96">'[3]QRE''s'!$P$101</definedName>
    <definedName name="_______tqc97">'[3]QRE''s'!$Q$101</definedName>
    <definedName name="_______tqc98">'[3]QRE''s'!$R$101</definedName>
    <definedName name="_______tql90">'[3]QRE''s'!$J$99</definedName>
    <definedName name="_______tql91">'[3]QRE''s'!$K$99</definedName>
    <definedName name="_______tql92">'[3]QRE''s'!$L$99</definedName>
    <definedName name="_______tql93">'[3]QRE''s'!$M$99</definedName>
    <definedName name="_______tql94">'[3]QRE''s'!$N$99</definedName>
    <definedName name="_______tql95">'[3]QRE''s'!$O$99</definedName>
    <definedName name="_______tql96">'[3]QRE''s'!$P$99</definedName>
    <definedName name="_______tql97">'[3]QRE''s'!$Q$99</definedName>
    <definedName name="_______tql98">'[3]QRE''s'!$R$99</definedName>
    <definedName name="_______tqs90">'[3]QRE''s'!$J$100</definedName>
    <definedName name="_______tqs91">'[3]QRE''s'!$K$100</definedName>
    <definedName name="_______tqs92">'[3]QRE''s'!$L$100</definedName>
    <definedName name="_______tqs93">'[3]QRE''s'!$M$100</definedName>
    <definedName name="_______tqs94">'[3]QRE''s'!$N$100</definedName>
    <definedName name="_______tqs95">'[3]QRE''s'!$O$100</definedName>
    <definedName name="_______tqs96">'[3]QRE''s'!$P$100</definedName>
    <definedName name="_______tqs97">'[3]QRE''s'!$Q$100</definedName>
    <definedName name="_______tqs98">'[3]QRE''s'!$R$100</definedName>
    <definedName name="______agr8690">[3]Model!$I$58</definedName>
    <definedName name="______agr8790">[3]Model!$I$59</definedName>
    <definedName name="______agr8791">[3]Model!$J$59</definedName>
    <definedName name="______agr8890">[3]Model!$I$60</definedName>
    <definedName name="______agr8891">[3]Model!$J$60</definedName>
    <definedName name="______agr8892">[3]Model!$K$60</definedName>
    <definedName name="______agr8990">[3]Model!$I$61</definedName>
    <definedName name="______agr8991">[3]Model!$J$61</definedName>
    <definedName name="______agr8992">[3]Model!$K$61</definedName>
    <definedName name="______agr8993">[3]Model!$L$61</definedName>
    <definedName name="______agr9091">[3]Model!$J$62</definedName>
    <definedName name="______agr9092">[3]Model!$K$62</definedName>
    <definedName name="______agr9093">[3]Model!$L$62</definedName>
    <definedName name="______agr9094">[3]Model!$M$62</definedName>
    <definedName name="______agr9192">[3]Model!$K$63</definedName>
    <definedName name="______agr9193">[3]Model!$L$63</definedName>
    <definedName name="______agr9194">[3]Model!$M$63</definedName>
    <definedName name="______agr9195">[3]Model!$N$63</definedName>
    <definedName name="______agr9293">[3]Model!$L$64</definedName>
    <definedName name="______agr9294">[3]Model!$M$64</definedName>
    <definedName name="______agr9295">[3]Model!$N$64</definedName>
    <definedName name="______agr9296">[3]Model!$O$64</definedName>
    <definedName name="______agr9394">[3]Model!$M$65</definedName>
    <definedName name="______agr9395">[3]Model!$N$65</definedName>
    <definedName name="______agr9396">[3]Model!$O$65</definedName>
    <definedName name="______agr9397">[3]Model!$P$65</definedName>
    <definedName name="______agr9495">[3]Model!$N$66</definedName>
    <definedName name="______agr9496">[3]Model!$O$66</definedName>
    <definedName name="______agr9497">[3]Model!$P$66</definedName>
    <definedName name="______agr9498">[3]Model!$Q$66</definedName>
    <definedName name="______agr9596">[3]Model!$O$67</definedName>
    <definedName name="______agr9597">[3]Model!$P$67</definedName>
    <definedName name="______agr9598">[3]Model!$Q$67</definedName>
    <definedName name="______agr9697">[3]Model!$P$68</definedName>
    <definedName name="______agr9698">[3]Model!$Q$68</definedName>
    <definedName name="______agr9798">[3]Model!$Q$69</definedName>
    <definedName name="______H1">{"'Metretek HTML'!$A$7:$W$42"}</definedName>
    <definedName name="______qre84">'[3]QRE''s'!$D$1:$D$65536</definedName>
    <definedName name="______qre8490">[3]Model!$I$126</definedName>
    <definedName name="______qre8491">[3]Model!$J$126</definedName>
    <definedName name="______qre8492">[3]Model!$K$126</definedName>
    <definedName name="______qre8493">[3]Model!$L$126</definedName>
    <definedName name="______qre8494">[3]Model!$M$126</definedName>
    <definedName name="______qre8495">[3]Model!$N$126</definedName>
    <definedName name="______qre8496">[3]Model!$O$126</definedName>
    <definedName name="______qre8497">[3]Model!$P$126</definedName>
    <definedName name="______qre8498">[3]Model!$Q$126</definedName>
    <definedName name="______qre85">'[3]QRE''s'!$E$1:$E$65536</definedName>
    <definedName name="______qre8590">[3]Model!$I$127</definedName>
    <definedName name="______qre8591">[3]Model!$J$127</definedName>
    <definedName name="______qre8592">[3]Model!$K$127</definedName>
    <definedName name="______qre8593">[3]Model!$L$127</definedName>
    <definedName name="______qre8594">[3]Model!$M$127</definedName>
    <definedName name="______qre8595">[3]Model!$N$127</definedName>
    <definedName name="______qre8596">[3]Model!$O$127</definedName>
    <definedName name="______qre8597">[3]Model!$P$127</definedName>
    <definedName name="______qre8598">[3]Model!$Q$127</definedName>
    <definedName name="______qre86">'[3]QRE''s'!$F$1:$F$65536</definedName>
    <definedName name="______qre8690">[3]Model!$I$128</definedName>
    <definedName name="______qre8691">[3]Model!$J$128</definedName>
    <definedName name="______qre8692">[3]Model!$K$128</definedName>
    <definedName name="______qre8693">[3]Model!$L$128</definedName>
    <definedName name="______qre8694">[3]Model!$M$128</definedName>
    <definedName name="______qre8695">[3]Model!$N$128</definedName>
    <definedName name="______qre8696">[3]Model!$O$128</definedName>
    <definedName name="______qre8697">[3]Model!$P$128</definedName>
    <definedName name="______qre8698">[3]Model!$Q$128</definedName>
    <definedName name="______qre87">'[3]QRE''s'!$G$1:$G$65536</definedName>
    <definedName name="______qre8790">[3]Model!$I$129</definedName>
    <definedName name="______qre8791">[3]Model!$J$129</definedName>
    <definedName name="______qre8792">[3]Model!$K$129</definedName>
    <definedName name="______qre8793">[3]Model!$L$129</definedName>
    <definedName name="______qre8794">[3]Model!$M$129</definedName>
    <definedName name="______qre8795">[3]Model!$N$129</definedName>
    <definedName name="______qre8796">[3]Model!$O$129</definedName>
    <definedName name="______qre8797">[3]Model!$P$129</definedName>
    <definedName name="______qre8798">[3]Model!$Q$129</definedName>
    <definedName name="______qre88">'[3]QRE''s'!$H$1:$H$65536</definedName>
    <definedName name="______qre8890">[3]Model!$I$130</definedName>
    <definedName name="______qre8891">[3]Model!$J$130</definedName>
    <definedName name="______qre8892">[3]Model!$K$130</definedName>
    <definedName name="______qre8893">[3]Model!$L$130</definedName>
    <definedName name="______qre8894">[3]Model!$M$130</definedName>
    <definedName name="______qre8895">[3]Model!$N$130</definedName>
    <definedName name="______qre8896">[3]Model!$O$130</definedName>
    <definedName name="______qre8897">[3]Model!$P$130</definedName>
    <definedName name="______qre8898">[3]Model!$Q$130</definedName>
    <definedName name="______qre89">'[3]QRE''s'!$I$1:$I$65536</definedName>
    <definedName name="______qre90">'[3]QRE''s'!$J$1:$J$65536</definedName>
    <definedName name="______qre91">'[3]QRE''s'!$K$1:$K$65536</definedName>
    <definedName name="______qre92">'[3]QRE''s'!$L$1:$L$65536</definedName>
    <definedName name="______qre93">'[3]QRE''s'!$M$1:$M$65536</definedName>
    <definedName name="______qre94">'[3]QRE''s'!$N$1:$N$65536</definedName>
    <definedName name="______qre95">'[3]QRE''s'!$O$1:$O$65536</definedName>
    <definedName name="______qre96">'[3]QRE''s'!$P$1:$P$65536</definedName>
    <definedName name="______qre97">'[3]QRE''s'!$Q$1:$Q$65536</definedName>
    <definedName name="______qre98">'[3]QRE''s'!$R$1:$R$65536</definedName>
    <definedName name="______tqc90">'[3]QRE''s'!$J$101</definedName>
    <definedName name="______tqc91">'[3]QRE''s'!$K$101</definedName>
    <definedName name="______tqc92">'[3]QRE''s'!$L$101</definedName>
    <definedName name="______tqc93">'[3]QRE''s'!$M$101</definedName>
    <definedName name="______tqc94">'[3]QRE''s'!$N$101</definedName>
    <definedName name="______tqc95">'[3]QRE''s'!$O$101</definedName>
    <definedName name="______tqc96">'[3]QRE''s'!$P$101</definedName>
    <definedName name="______tqc97">'[3]QRE''s'!$Q$101</definedName>
    <definedName name="______tqc98">'[3]QRE''s'!$R$101</definedName>
    <definedName name="______tql90">'[3]QRE''s'!$J$99</definedName>
    <definedName name="______tql91">'[3]QRE''s'!$K$99</definedName>
    <definedName name="______tql92">'[3]QRE''s'!$L$99</definedName>
    <definedName name="______tql93">'[3]QRE''s'!$M$99</definedName>
    <definedName name="______tql94">'[3]QRE''s'!$N$99</definedName>
    <definedName name="______tql95">'[3]QRE''s'!$O$99</definedName>
    <definedName name="______tql96">'[3]QRE''s'!$P$99</definedName>
    <definedName name="______tql97">'[3]QRE''s'!$Q$99</definedName>
    <definedName name="______tql98">'[3]QRE''s'!$R$99</definedName>
    <definedName name="______tqs90">'[3]QRE''s'!$J$100</definedName>
    <definedName name="______tqs91">'[3]QRE''s'!$K$100</definedName>
    <definedName name="______tqs92">'[3]QRE''s'!$L$100</definedName>
    <definedName name="______tqs93">'[3]QRE''s'!$M$100</definedName>
    <definedName name="______tqs94">'[3]QRE''s'!$N$100</definedName>
    <definedName name="______tqs95">'[3]QRE''s'!$O$100</definedName>
    <definedName name="______tqs96">'[3]QRE''s'!$P$100</definedName>
    <definedName name="______tqs97">'[3]QRE''s'!$Q$100</definedName>
    <definedName name="______tqs98">'[3]QRE''s'!$R$100</definedName>
    <definedName name="_____agr8690">[3]Model!$I$58</definedName>
    <definedName name="_____agr8790">[3]Model!$I$59</definedName>
    <definedName name="_____agr8791">[3]Model!$J$59</definedName>
    <definedName name="_____agr8890">[3]Model!$I$60</definedName>
    <definedName name="_____agr8891">[3]Model!$J$60</definedName>
    <definedName name="_____agr8892">[3]Model!$K$60</definedName>
    <definedName name="_____agr8990">[3]Model!$I$61</definedName>
    <definedName name="_____agr8991">[3]Model!$J$61</definedName>
    <definedName name="_____agr8992">[3]Model!$K$61</definedName>
    <definedName name="_____agr8993">[3]Model!$L$61</definedName>
    <definedName name="_____agr9091">[3]Model!$J$62</definedName>
    <definedName name="_____agr9092">[3]Model!$K$62</definedName>
    <definedName name="_____agr9093">[3]Model!$L$62</definedName>
    <definedName name="_____agr9094">[3]Model!$M$62</definedName>
    <definedName name="_____agr9192">[3]Model!$K$63</definedName>
    <definedName name="_____agr9193">[3]Model!$L$63</definedName>
    <definedName name="_____agr9194">[3]Model!$M$63</definedName>
    <definedName name="_____agr9195">[3]Model!$N$63</definedName>
    <definedName name="_____agr9293">[3]Model!$L$64</definedName>
    <definedName name="_____agr9294">[3]Model!$M$64</definedName>
    <definedName name="_____agr9295">[3]Model!$N$64</definedName>
    <definedName name="_____agr9296">[3]Model!$O$64</definedName>
    <definedName name="_____agr9394">[3]Model!$M$65</definedName>
    <definedName name="_____agr9395">[3]Model!$N$65</definedName>
    <definedName name="_____agr9396">[3]Model!$O$65</definedName>
    <definedName name="_____agr9397">[3]Model!$P$65</definedName>
    <definedName name="_____agr9495">[3]Model!$N$66</definedName>
    <definedName name="_____agr9496">[3]Model!$O$66</definedName>
    <definedName name="_____agr9497">[3]Model!$P$66</definedName>
    <definedName name="_____agr9498">[3]Model!$Q$66</definedName>
    <definedName name="_____agr9596">[3]Model!$O$67</definedName>
    <definedName name="_____agr9597">[3]Model!$P$67</definedName>
    <definedName name="_____agr9598">[3]Model!$Q$67</definedName>
    <definedName name="_____agr9697">[3]Model!$P$68</definedName>
    <definedName name="_____agr9698">[3]Model!$Q$68</definedName>
    <definedName name="_____agr9798">[3]Model!$Q$69</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'[4]JE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qre84">'[3]QRE''s'!$D$1:$D$65536</definedName>
    <definedName name="_____qre8490">[3]Model!$I$126</definedName>
    <definedName name="_____qre8491">[3]Model!$J$126</definedName>
    <definedName name="_____qre8492">[3]Model!$K$126</definedName>
    <definedName name="_____qre8493">[3]Model!$L$126</definedName>
    <definedName name="_____qre8494">[3]Model!$M$126</definedName>
    <definedName name="_____qre8495">[3]Model!$N$126</definedName>
    <definedName name="_____qre8496">[3]Model!$O$126</definedName>
    <definedName name="_____qre8497">[3]Model!$P$126</definedName>
    <definedName name="_____qre8498">[3]Model!$Q$126</definedName>
    <definedName name="_____qre85">'[3]QRE''s'!$E$1:$E$65536</definedName>
    <definedName name="_____qre8590">[3]Model!$I$127</definedName>
    <definedName name="_____qre8591">[3]Model!$J$127</definedName>
    <definedName name="_____qre8592">[3]Model!$K$127</definedName>
    <definedName name="_____qre8593">[3]Model!$L$127</definedName>
    <definedName name="_____qre8594">[3]Model!$M$127</definedName>
    <definedName name="_____qre8595">[3]Model!$N$127</definedName>
    <definedName name="_____qre8596">[3]Model!$O$127</definedName>
    <definedName name="_____qre8597">[3]Model!$P$127</definedName>
    <definedName name="_____qre8598">[3]Model!$Q$127</definedName>
    <definedName name="_____qre86">'[3]QRE''s'!$F$1:$F$65536</definedName>
    <definedName name="_____qre8690">[3]Model!$I$128</definedName>
    <definedName name="_____qre8691">[3]Model!$J$128</definedName>
    <definedName name="_____qre8692">[3]Model!$K$128</definedName>
    <definedName name="_____qre8693">[3]Model!$L$128</definedName>
    <definedName name="_____qre8694">[3]Model!$M$128</definedName>
    <definedName name="_____qre8695">[3]Model!$N$128</definedName>
    <definedName name="_____qre8696">[3]Model!$O$128</definedName>
    <definedName name="_____qre8697">[3]Model!$P$128</definedName>
    <definedName name="_____qre8698">[3]Model!$Q$128</definedName>
    <definedName name="_____qre87">'[3]QRE''s'!$G$1:$G$65536</definedName>
    <definedName name="_____qre8790">[3]Model!$I$129</definedName>
    <definedName name="_____qre8791">[3]Model!$J$129</definedName>
    <definedName name="_____qre8792">[3]Model!$K$129</definedName>
    <definedName name="_____qre8793">[3]Model!$L$129</definedName>
    <definedName name="_____qre8794">[3]Model!$M$129</definedName>
    <definedName name="_____qre8795">[3]Model!$N$129</definedName>
    <definedName name="_____qre8796">[3]Model!$O$129</definedName>
    <definedName name="_____qre8797">[3]Model!$P$129</definedName>
    <definedName name="_____qre8798">[3]Model!$Q$129</definedName>
    <definedName name="_____qre88">'[3]QRE''s'!$H$1:$H$65536</definedName>
    <definedName name="_____qre8890">[3]Model!$I$130</definedName>
    <definedName name="_____qre8891">[3]Model!$J$130</definedName>
    <definedName name="_____qre8892">[3]Model!$K$130</definedName>
    <definedName name="_____qre8893">[3]Model!$L$130</definedName>
    <definedName name="_____qre8894">[3]Model!$M$130</definedName>
    <definedName name="_____qre8895">[3]Model!$N$130</definedName>
    <definedName name="_____qre8896">[3]Model!$O$130</definedName>
    <definedName name="_____qre8897">[3]Model!$P$130</definedName>
    <definedName name="_____qre8898">[3]Model!$Q$130</definedName>
    <definedName name="_____qre89">'[3]QRE''s'!$I$1:$I$65536</definedName>
    <definedName name="_____qre90">'[3]QRE''s'!$J$1:$J$65536</definedName>
    <definedName name="_____qre91">'[3]QRE''s'!$K$1:$K$65536</definedName>
    <definedName name="_____qre92">'[3]QRE''s'!$L$1:$L$65536</definedName>
    <definedName name="_____qre93">'[3]QRE''s'!$M$1:$M$65536</definedName>
    <definedName name="_____qre94">'[3]QRE''s'!$N$1:$N$65536</definedName>
    <definedName name="_____qre95">'[3]QRE''s'!$O$1:$O$65536</definedName>
    <definedName name="_____qre96">'[3]QRE''s'!$P$1:$P$65536</definedName>
    <definedName name="_____qre97">'[3]QRE''s'!$Q$1:$Q$65536</definedName>
    <definedName name="_____qre98">'[3]QRE''s'!$R$1:$R$65536</definedName>
    <definedName name="_____tqc90">'[3]QRE''s'!$J$101</definedName>
    <definedName name="_____tqc91">'[3]QRE''s'!$K$101</definedName>
    <definedName name="_____tqc92">'[3]QRE''s'!$L$101</definedName>
    <definedName name="_____tqc93">'[3]QRE''s'!$M$101</definedName>
    <definedName name="_____tqc94">'[3]QRE''s'!$N$101</definedName>
    <definedName name="_____tqc95">'[3]QRE''s'!$O$101</definedName>
    <definedName name="_____tqc96">'[3]QRE''s'!$P$101</definedName>
    <definedName name="_____tqc97">'[3]QRE''s'!$Q$101</definedName>
    <definedName name="_____tqc98">'[3]QRE''s'!$R$101</definedName>
    <definedName name="_____tql90">'[3]QRE''s'!$J$99</definedName>
    <definedName name="_____tql91">'[3]QRE''s'!$K$99</definedName>
    <definedName name="_____tql92">'[3]QRE''s'!$L$99</definedName>
    <definedName name="_____tql93">'[3]QRE''s'!$M$99</definedName>
    <definedName name="_____tql94">'[3]QRE''s'!$N$99</definedName>
    <definedName name="_____tql95">'[3]QRE''s'!$O$99</definedName>
    <definedName name="_____tql96">'[3]QRE''s'!$P$99</definedName>
    <definedName name="_____tql97">'[3]QRE''s'!$Q$99</definedName>
    <definedName name="_____tql98">'[3]QRE''s'!$R$99</definedName>
    <definedName name="_____tqs90">'[3]QRE''s'!$J$100</definedName>
    <definedName name="_____tqs91">'[3]QRE''s'!$K$100</definedName>
    <definedName name="_____tqs92">'[3]QRE''s'!$L$100</definedName>
    <definedName name="_____tqs93">'[3]QRE''s'!$M$100</definedName>
    <definedName name="_____tqs94">'[3]QRE''s'!$N$100</definedName>
    <definedName name="_____tqs95">'[3]QRE''s'!$O$100</definedName>
    <definedName name="_____tqs96">'[3]QRE''s'!$P$100</definedName>
    <definedName name="_____tqs97">'[3]QRE''s'!$Q$100</definedName>
    <definedName name="_____tqs98">'[3]QRE''s'!$R$100</definedName>
    <definedName name="____agr8690">[3]Model!$I$58</definedName>
    <definedName name="____agr8790">[3]Model!$I$59</definedName>
    <definedName name="____agr8791">[3]Model!$J$59</definedName>
    <definedName name="____agr8890">[3]Model!$I$60</definedName>
    <definedName name="____agr8891">[3]Model!$J$60</definedName>
    <definedName name="____agr8892">[3]Model!$K$60</definedName>
    <definedName name="____agr8990">[3]Model!$I$61</definedName>
    <definedName name="____agr8991">[3]Model!$J$61</definedName>
    <definedName name="____agr8992">[3]Model!$K$61</definedName>
    <definedName name="____agr8993">[3]Model!$L$61</definedName>
    <definedName name="____agr9091">[3]Model!$J$62</definedName>
    <definedName name="____agr9092">[3]Model!$K$62</definedName>
    <definedName name="____agr9093">[3]Model!$L$62</definedName>
    <definedName name="____agr9094">[3]Model!$M$62</definedName>
    <definedName name="____agr9192">[3]Model!$K$63</definedName>
    <definedName name="____agr9193">[3]Model!$L$63</definedName>
    <definedName name="____agr9194">[3]Model!$M$63</definedName>
    <definedName name="____agr9195">[3]Model!$N$63</definedName>
    <definedName name="____agr9293">[3]Model!$L$64</definedName>
    <definedName name="____agr9294">[3]Model!$M$64</definedName>
    <definedName name="____agr9295">[3]Model!$N$64</definedName>
    <definedName name="____agr9296">[3]Model!$O$64</definedName>
    <definedName name="____agr9394">[3]Model!$M$65</definedName>
    <definedName name="____agr9395">[3]Model!$N$65</definedName>
    <definedName name="____agr9396">[3]Model!$O$65</definedName>
    <definedName name="____agr9397">[3]Model!$P$65</definedName>
    <definedName name="____agr9495">[3]Model!$N$66</definedName>
    <definedName name="____agr9496">[3]Model!$O$66</definedName>
    <definedName name="____agr9497">[3]Model!$P$66</definedName>
    <definedName name="____agr9498">[3]Model!$Q$66</definedName>
    <definedName name="____agr9596">[3]Model!$O$67</definedName>
    <definedName name="____agr9597">[3]Model!$P$67</definedName>
    <definedName name="____agr9598">[3]Model!$Q$67</definedName>
    <definedName name="____agr9697">[3]Model!$P$68</definedName>
    <definedName name="____agr9698">[3]Model!$Q$68</definedName>
    <definedName name="____agr9798">[3]Model!$Q$69</definedName>
    <definedName name="____DAT1">#REF!</definedName>
    <definedName name="____DAT2">#REF!</definedName>
    <definedName name="____DAT3">#REF!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'[4]JE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qre84">'[3]QRE''s'!$D$1:$D$65536</definedName>
    <definedName name="____qre8490">[3]Model!$I$126</definedName>
    <definedName name="____qre8491">[3]Model!$J$126</definedName>
    <definedName name="____qre8492">[3]Model!$K$126</definedName>
    <definedName name="____qre8493">[3]Model!$L$126</definedName>
    <definedName name="____qre8494">[3]Model!$M$126</definedName>
    <definedName name="____qre8495">[3]Model!$N$126</definedName>
    <definedName name="____qre8496">[3]Model!$O$126</definedName>
    <definedName name="____qre8497">[3]Model!$P$126</definedName>
    <definedName name="____qre8498">[3]Model!$Q$126</definedName>
    <definedName name="____qre85">'[3]QRE''s'!$E$1:$E$65536</definedName>
    <definedName name="____qre8590">[3]Model!$I$127</definedName>
    <definedName name="____qre8591">[3]Model!$J$127</definedName>
    <definedName name="____qre8592">[3]Model!$K$127</definedName>
    <definedName name="____qre8593">[3]Model!$L$127</definedName>
    <definedName name="____qre8594">[3]Model!$M$127</definedName>
    <definedName name="____qre8595">[3]Model!$N$127</definedName>
    <definedName name="____qre8596">[3]Model!$O$127</definedName>
    <definedName name="____qre8597">[3]Model!$P$127</definedName>
    <definedName name="____qre8598">[3]Model!$Q$127</definedName>
    <definedName name="____qre86">'[3]QRE''s'!$F$1:$F$65536</definedName>
    <definedName name="____qre8690">[3]Model!$I$128</definedName>
    <definedName name="____qre8691">[3]Model!$J$128</definedName>
    <definedName name="____qre8692">[3]Model!$K$128</definedName>
    <definedName name="____qre8693">[3]Model!$L$128</definedName>
    <definedName name="____qre8694">[3]Model!$M$128</definedName>
    <definedName name="____qre8695">[3]Model!$N$128</definedName>
    <definedName name="____qre8696">[3]Model!$O$128</definedName>
    <definedName name="____qre8697">[3]Model!$P$128</definedName>
    <definedName name="____qre8698">[3]Model!$Q$128</definedName>
    <definedName name="____qre87">'[3]QRE''s'!$G$1:$G$65536</definedName>
    <definedName name="____qre8790">[3]Model!$I$129</definedName>
    <definedName name="____qre8791">[3]Model!$J$129</definedName>
    <definedName name="____qre8792">[3]Model!$K$129</definedName>
    <definedName name="____qre8793">[3]Model!$L$129</definedName>
    <definedName name="____qre8794">[3]Model!$M$129</definedName>
    <definedName name="____qre8795">[3]Model!$N$129</definedName>
    <definedName name="____qre8796">[3]Model!$O$129</definedName>
    <definedName name="____qre8797">[3]Model!$P$129</definedName>
    <definedName name="____qre8798">[3]Model!$Q$129</definedName>
    <definedName name="____qre88">'[3]QRE''s'!$H$1:$H$65536</definedName>
    <definedName name="____qre8890">[3]Model!$I$130</definedName>
    <definedName name="____qre8891">[3]Model!$J$130</definedName>
    <definedName name="____qre8892">[3]Model!$K$130</definedName>
    <definedName name="____qre8893">[3]Model!$L$130</definedName>
    <definedName name="____qre8894">[3]Model!$M$130</definedName>
    <definedName name="____qre8895">[3]Model!$N$130</definedName>
    <definedName name="____qre8896">[3]Model!$O$130</definedName>
    <definedName name="____qre8897">[3]Model!$P$130</definedName>
    <definedName name="____qre8898">[3]Model!$Q$130</definedName>
    <definedName name="____qre89">'[3]QRE''s'!$I$1:$I$65536</definedName>
    <definedName name="____qre90">'[3]QRE''s'!$J$1:$J$65536</definedName>
    <definedName name="____qre91">'[3]QRE''s'!$K$1:$K$65536</definedName>
    <definedName name="____qre92">'[3]QRE''s'!$L$1:$L$65536</definedName>
    <definedName name="____qre93">'[3]QRE''s'!$M$1:$M$65536</definedName>
    <definedName name="____qre94">'[3]QRE''s'!$N$1:$N$65536</definedName>
    <definedName name="____qre95">'[3]QRE''s'!$O$1:$O$65536</definedName>
    <definedName name="____qre96">'[3]QRE''s'!$P$1:$P$65536</definedName>
    <definedName name="____qre97">'[3]QRE''s'!$Q$1:$Q$65536</definedName>
    <definedName name="____qre98">'[3]QRE''s'!$R$1:$R$65536</definedName>
    <definedName name="____tqc90">'[3]QRE''s'!$J$101</definedName>
    <definedName name="____tqc91">'[3]QRE''s'!$K$101</definedName>
    <definedName name="____tqc92">'[3]QRE''s'!$L$101</definedName>
    <definedName name="____tqc93">'[3]QRE''s'!$M$101</definedName>
    <definedName name="____tqc94">'[3]QRE''s'!$N$101</definedName>
    <definedName name="____tqc95">'[3]QRE''s'!$O$101</definedName>
    <definedName name="____tqc96">'[3]QRE''s'!$P$101</definedName>
    <definedName name="____tqc97">'[3]QRE''s'!$Q$101</definedName>
    <definedName name="____tqc98">'[3]QRE''s'!$R$101</definedName>
    <definedName name="____tql90">'[3]QRE''s'!$J$99</definedName>
    <definedName name="____tql91">'[3]QRE''s'!$K$99</definedName>
    <definedName name="____tql92">'[3]QRE''s'!$L$99</definedName>
    <definedName name="____tql93">'[3]QRE''s'!$M$99</definedName>
    <definedName name="____tql94">'[3]QRE''s'!$N$99</definedName>
    <definedName name="____tql95">'[3]QRE''s'!$O$99</definedName>
    <definedName name="____tql96">'[3]QRE''s'!$P$99</definedName>
    <definedName name="____tql97">'[3]QRE''s'!$Q$99</definedName>
    <definedName name="____tql98">'[3]QRE''s'!$R$99</definedName>
    <definedName name="____tqs90">'[3]QRE''s'!$J$100</definedName>
    <definedName name="____tqs91">'[3]QRE''s'!$K$100</definedName>
    <definedName name="____tqs92">'[3]QRE''s'!$L$100</definedName>
    <definedName name="____tqs93">'[3]QRE''s'!$M$100</definedName>
    <definedName name="____tqs94">'[3]QRE''s'!$N$100</definedName>
    <definedName name="____tqs95">'[3]QRE''s'!$O$100</definedName>
    <definedName name="____tqs96">'[3]QRE''s'!$P$100</definedName>
    <definedName name="____tqs97">'[3]QRE''s'!$Q$100</definedName>
    <definedName name="____tqs98">'[3]QRE''s'!$R$100</definedName>
    <definedName name="___agr8690">[3]Model!$I$58</definedName>
    <definedName name="___agr8790">[3]Model!$I$59</definedName>
    <definedName name="___agr8791">[3]Model!$J$59</definedName>
    <definedName name="___agr8890">[3]Model!$I$60</definedName>
    <definedName name="___agr8891">[3]Model!$J$60</definedName>
    <definedName name="___agr8892">[3]Model!$K$60</definedName>
    <definedName name="___agr8990">[3]Model!$I$61</definedName>
    <definedName name="___agr8991">[3]Model!$J$61</definedName>
    <definedName name="___agr8992">[3]Model!$K$61</definedName>
    <definedName name="___agr8993">[3]Model!$L$61</definedName>
    <definedName name="___agr9091">[3]Model!$J$62</definedName>
    <definedName name="___agr9092">[3]Model!$K$62</definedName>
    <definedName name="___agr9093">[3]Model!$L$62</definedName>
    <definedName name="___agr9094">[3]Model!$M$62</definedName>
    <definedName name="___agr9192">[3]Model!$K$63</definedName>
    <definedName name="___agr9193">[3]Model!$L$63</definedName>
    <definedName name="___agr9194">[3]Model!$M$63</definedName>
    <definedName name="___agr9195">[3]Model!$N$63</definedName>
    <definedName name="___agr9293">[3]Model!$L$64</definedName>
    <definedName name="___agr9294">[3]Model!$M$64</definedName>
    <definedName name="___agr9295">[3]Model!$N$64</definedName>
    <definedName name="___agr9296">[3]Model!$O$64</definedName>
    <definedName name="___agr9394">[3]Model!$M$65</definedName>
    <definedName name="___agr9395">[3]Model!$N$65</definedName>
    <definedName name="___agr9396">[3]Model!$O$65</definedName>
    <definedName name="___agr9397">[3]Model!$P$65</definedName>
    <definedName name="___agr9495">[3]Model!$N$66</definedName>
    <definedName name="___agr9496">[3]Model!$O$66</definedName>
    <definedName name="___agr9497">[3]Model!$P$66</definedName>
    <definedName name="___agr9498">[3]Model!$Q$66</definedName>
    <definedName name="___agr9596">[3]Model!$O$67</definedName>
    <definedName name="___agr9597">[3]Model!$P$67</definedName>
    <definedName name="___agr9598">[3]Model!$Q$67</definedName>
    <definedName name="___agr9697">[3]Model!$P$68</definedName>
    <definedName name="___agr9698">[3]Model!$Q$68</definedName>
    <definedName name="___agr9798">[3]Model!$Q$69</definedName>
    <definedName name="___DAT1">'[5]Cost Center List'!#REF!</definedName>
    <definedName name="___DAT10">#REF!</definedName>
    <definedName name="___DAT11">#REF!</definedName>
    <definedName name="___dat1111">[6]Sheet1!$G$2:$G$29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'[7]Rent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'[4]JE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'[3]QRE''s'!$D$1:$D$65536</definedName>
    <definedName name="___qre8490">[3]Model!$I$126</definedName>
    <definedName name="___qre8491">[3]Model!$J$126</definedName>
    <definedName name="___qre8492">[3]Model!$K$126</definedName>
    <definedName name="___qre8493">[3]Model!$L$126</definedName>
    <definedName name="___qre8494">[3]Model!$M$126</definedName>
    <definedName name="___qre8495">[3]Model!$N$126</definedName>
    <definedName name="___qre8496">[3]Model!$O$126</definedName>
    <definedName name="___qre8497">[3]Model!$P$126</definedName>
    <definedName name="___qre8498">[3]Model!$Q$126</definedName>
    <definedName name="___qre85">'[3]QRE''s'!$E$1:$E$65536</definedName>
    <definedName name="___qre8590">[3]Model!$I$127</definedName>
    <definedName name="___qre8591">[3]Model!$J$127</definedName>
    <definedName name="___qre8592">[3]Model!$K$127</definedName>
    <definedName name="___qre8593">[3]Model!$L$127</definedName>
    <definedName name="___qre8594">[3]Model!$M$127</definedName>
    <definedName name="___qre8595">[3]Model!$N$127</definedName>
    <definedName name="___qre8596">[3]Model!$O$127</definedName>
    <definedName name="___qre8597">[3]Model!$P$127</definedName>
    <definedName name="___qre8598">[3]Model!$Q$127</definedName>
    <definedName name="___qre86">'[3]QRE''s'!$F$1:$F$65536</definedName>
    <definedName name="___qre8690">[3]Model!$I$128</definedName>
    <definedName name="___qre8691">[3]Model!$J$128</definedName>
    <definedName name="___qre8692">[3]Model!$K$128</definedName>
    <definedName name="___qre8693">[3]Model!$L$128</definedName>
    <definedName name="___qre8694">[3]Model!$M$128</definedName>
    <definedName name="___qre8695">[3]Model!$N$128</definedName>
    <definedName name="___qre8696">[3]Model!$O$128</definedName>
    <definedName name="___qre8697">[3]Model!$P$128</definedName>
    <definedName name="___qre8698">[3]Model!$Q$128</definedName>
    <definedName name="___qre87">'[3]QRE''s'!$G$1:$G$65536</definedName>
    <definedName name="___qre8790">[3]Model!$I$129</definedName>
    <definedName name="___qre8791">[3]Model!$J$129</definedName>
    <definedName name="___qre8792">[3]Model!$K$129</definedName>
    <definedName name="___qre8793">[3]Model!$L$129</definedName>
    <definedName name="___qre8794">[3]Model!$M$129</definedName>
    <definedName name="___qre8795">[3]Model!$N$129</definedName>
    <definedName name="___qre8796">[3]Model!$O$129</definedName>
    <definedName name="___qre8797">[3]Model!$P$129</definedName>
    <definedName name="___qre8798">[3]Model!$Q$129</definedName>
    <definedName name="___qre88">'[3]QRE''s'!$H$1:$H$65536</definedName>
    <definedName name="___qre8890">[3]Model!$I$130</definedName>
    <definedName name="___qre8891">[3]Model!$J$130</definedName>
    <definedName name="___qre8892">[3]Model!$K$130</definedName>
    <definedName name="___qre8893">[3]Model!$L$130</definedName>
    <definedName name="___qre8894">[3]Model!$M$130</definedName>
    <definedName name="___qre8895">[3]Model!$N$130</definedName>
    <definedName name="___qre8896">[3]Model!$O$130</definedName>
    <definedName name="___qre8897">[3]Model!$P$130</definedName>
    <definedName name="___qre8898">[3]Model!$Q$130</definedName>
    <definedName name="___qre89">'[3]QRE''s'!$I$1:$I$65536</definedName>
    <definedName name="___qre90">'[3]QRE''s'!$J$1:$J$65536</definedName>
    <definedName name="___qre91">'[3]QRE''s'!$K$1:$K$65536</definedName>
    <definedName name="___qre92">'[3]QRE''s'!$L$1:$L$65536</definedName>
    <definedName name="___qre93">'[3]QRE''s'!$M$1:$M$65536</definedName>
    <definedName name="___qre94">'[3]QRE''s'!$N$1:$N$65536</definedName>
    <definedName name="___qre95">'[3]QRE''s'!$O$1:$O$65536</definedName>
    <definedName name="___qre96">'[3]QRE''s'!$P$1:$P$65536</definedName>
    <definedName name="___qre97">'[3]QRE''s'!$Q$1:$Q$65536</definedName>
    <definedName name="___qre98">'[3]QRE''s'!$R$1:$R$65536</definedName>
    <definedName name="___SUM282">'[8]YTD Summary'!#REF!</definedName>
    <definedName name="___tqc90">'[3]QRE''s'!$J$101</definedName>
    <definedName name="___tqc91">'[3]QRE''s'!$K$101</definedName>
    <definedName name="___tqc92">'[3]QRE''s'!$L$101</definedName>
    <definedName name="___tqc93">'[3]QRE''s'!$M$101</definedName>
    <definedName name="___tqc94">'[3]QRE''s'!$N$101</definedName>
    <definedName name="___tqc95">'[3]QRE''s'!$O$101</definedName>
    <definedName name="___tqc96">'[3]QRE''s'!$P$101</definedName>
    <definedName name="___tqc97">'[3]QRE''s'!$Q$101</definedName>
    <definedName name="___tqc98">'[3]QRE''s'!$R$101</definedName>
    <definedName name="___tql90">'[3]QRE''s'!$J$99</definedName>
    <definedName name="___tql91">'[3]QRE''s'!$K$99</definedName>
    <definedName name="___tql92">'[3]QRE''s'!$L$99</definedName>
    <definedName name="___tql93">'[3]QRE''s'!$M$99</definedName>
    <definedName name="___tql94">'[3]QRE''s'!$N$99</definedName>
    <definedName name="___tql95">'[3]QRE''s'!$O$99</definedName>
    <definedName name="___tql96">'[3]QRE''s'!$P$99</definedName>
    <definedName name="___tql97">'[3]QRE''s'!$Q$99</definedName>
    <definedName name="___tql98">'[3]QRE''s'!$R$99</definedName>
    <definedName name="___tqs90">'[3]QRE''s'!$J$100</definedName>
    <definedName name="___tqs91">'[3]QRE''s'!$K$100</definedName>
    <definedName name="___tqs92">'[3]QRE''s'!$L$100</definedName>
    <definedName name="___tqs93">'[3]QRE''s'!$M$100</definedName>
    <definedName name="___tqs94">'[3]QRE''s'!$N$100</definedName>
    <definedName name="___tqs95">'[3]QRE''s'!$O$100</definedName>
    <definedName name="___tqs96">'[3]QRE''s'!$P$100</definedName>
    <definedName name="___tqs97">'[3]QRE''s'!$Q$100</definedName>
    <definedName name="___tqs98">'[3]QRE''s'!$R$100</definedName>
    <definedName name="__123Graph_B" hidden="1">[9]Inputs!#REF!</definedName>
    <definedName name="__123Graph_D" hidden="1">[10]Assump!#REF!</definedName>
    <definedName name="__agr8690">[3]Model!$I$58</definedName>
    <definedName name="__agr8790">[3]Model!$I$59</definedName>
    <definedName name="__agr8791">[3]Model!$J$59</definedName>
    <definedName name="__agr8890">[3]Model!$I$60</definedName>
    <definedName name="__agr8891">[3]Model!$J$60</definedName>
    <definedName name="__agr8892">[3]Model!$K$60</definedName>
    <definedName name="__agr8990">[3]Model!$I$61</definedName>
    <definedName name="__agr8991">[3]Model!$J$61</definedName>
    <definedName name="__agr8992">[3]Model!$K$61</definedName>
    <definedName name="__agr8993">[3]Model!$L$61</definedName>
    <definedName name="__agr9091">[3]Model!$J$62</definedName>
    <definedName name="__agr9092">[3]Model!$K$62</definedName>
    <definedName name="__agr9093">[3]Model!$L$62</definedName>
    <definedName name="__agr9094">[3]Model!$M$62</definedName>
    <definedName name="__agr9192">[3]Model!$K$63</definedName>
    <definedName name="__agr9193">[3]Model!$L$63</definedName>
    <definedName name="__agr9194">[3]Model!$M$63</definedName>
    <definedName name="__agr9195">[3]Model!$N$63</definedName>
    <definedName name="__agr9293">[3]Model!$L$64</definedName>
    <definedName name="__agr9294">[3]Model!$M$64</definedName>
    <definedName name="__agr9295">[3]Model!$N$64</definedName>
    <definedName name="__agr9296">[3]Model!$O$64</definedName>
    <definedName name="__agr9394">[3]Model!$M$65</definedName>
    <definedName name="__agr9395">[3]Model!$N$65</definedName>
    <definedName name="__agr9396">[3]Model!$O$65</definedName>
    <definedName name="__agr9397">[3]Model!$P$65</definedName>
    <definedName name="__agr9495">[3]Model!$N$66</definedName>
    <definedName name="__agr9496">[3]Model!$O$66</definedName>
    <definedName name="__agr9497">[3]Model!$P$66</definedName>
    <definedName name="__agr9498">[3]Model!$Q$66</definedName>
    <definedName name="__agr9596">[3]Model!$O$67</definedName>
    <definedName name="__agr9597">[3]Model!$P$67</definedName>
    <definedName name="__agr9598">[3]Model!$Q$67</definedName>
    <definedName name="__agr9697">[3]Model!$P$68</definedName>
    <definedName name="__agr9698">[3]Model!$Q$68</definedName>
    <definedName name="__agr9798">[3]Model!$Q$69</definedName>
    <definedName name="__DAT1">'[5]Cost Center List'!#REF!</definedName>
    <definedName name="__DAT10">#REF!</definedName>
    <definedName name="__DAT11">#REF!</definedName>
    <definedName name="__dat1111">[6]Sheet1!$G$2:$G$29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gas2">#REF!</definedName>
    <definedName name="__gas2006">#REF!</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'[4]JE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'[3]QRE''s'!$D$1:$D$65536</definedName>
    <definedName name="__qre8490">[3]Model!$I$126</definedName>
    <definedName name="__qre8491">[3]Model!$J$126</definedName>
    <definedName name="__qre8492">[3]Model!$K$126</definedName>
    <definedName name="__qre8493">[3]Model!$L$126</definedName>
    <definedName name="__qre8494">[3]Model!$M$126</definedName>
    <definedName name="__qre8495">[3]Model!$N$126</definedName>
    <definedName name="__qre8496">[3]Model!$O$126</definedName>
    <definedName name="__qre8497">[3]Model!$P$126</definedName>
    <definedName name="__qre8498">[3]Model!$Q$126</definedName>
    <definedName name="__qre85">'[3]QRE''s'!$E$1:$E$65536</definedName>
    <definedName name="__qre8590">[3]Model!$I$127</definedName>
    <definedName name="__qre8591">[3]Model!$J$127</definedName>
    <definedName name="__qre8592">[3]Model!$K$127</definedName>
    <definedName name="__qre8593">[3]Model!$L$127</definedName>
    <definedName name="__qre8594">[3]Model!$M$127</definedName>
    <definedName name="__qre8595">[3]Model!$N$127</definedName>
    <definedName name="__qre8596">[3]Model!$O$127</definedName>
    <definedName name="__qre8597">[3]Model!$P$127</definedName>
    <definedName name="__qre8598">[3]Model!$Q$127</definedName>
    <definedName name="__qre86">'[3]QRE''s'!$F$1:$F$65536</definedName>
    <definedName name="__qre8690">[3]Model!$I$128</definedName>
    <definedName name="__qre8691">[3]Model!$J$128</definedName>
    <definedName name="__qre8692">[3]Model!$K$128</definedName>
    <definedName name="__qre8693">[3]Model!$L$128</definedName>
    <definedName name="__qre8694">[3]Model!$M$128</definedName>
    <definedName name="__qre8695">[3]Model!$N$128</definedName>
    <definedName name="__qre8696">[3]Model!$O$128</definedName>
    <definedName name="__qre8697">[3]Model!$P$128</definedName>
    <definedName name="__qre8698">[3]Model!$Q$128</definedName>
    <definedName name="__qre87">'[3]QRE''s'!$G$1:$G$65536</definedName>
    <definedName name="__qre8790">[3]Model!$I$129</definedName>
    <definedName name="__qre8791">[3]Model!$J$129</definedName>
    <definedName name="__qre8792">[3]Model!$K$129</definedName>
    <definedName name="__qre8793">[3]Model!$L$129</definedName>
    <definedName name="__qre8794">[3]Model!$M$129</definedName>
    <definedName name="__qre8795">[3]Model!$N$129</definedName>
    <definedName name="__qre8796">[3]Model!$O$129</definedName>
    <definedName name="__qre8797">[3]Model!$P$129</definedName>
    <definedName name="__qre8798">[3]Model!$Q$129</definedName>
    <definedName name="__qre88">'[3]QRE''s'!$H$1:$H$65536</definedName>
    <definedName name="__qre8890">[3]Model!$I$130</definedName>
    <definedName name="__qre8891">[3]Model!$J$130</definedName>
    <definedName name="__qre8892">[3]Model!$K$130</definedName>
    <definedName name="__qre8893">[3]Model!$L$130</definedName>
    <definedName name="__qre8894">[3]Model!$M$130</definedName>
    <definedName name="__qre8895">[3]Model!$N$130</definedName>
    <definedName name="__qre8896">[3]Model!$O$130</definedName>
    <definedName name="__qre8897">[3]Model!$P$130</definedName>
    <definedName name="__qre8898">[3]Model!$Q$130</definedName>
    <definedName name="__qre89">'[3]QRE''s'!$I$1:$I$65536</definedName>
    <definedName name="__qre90">'[3]QRE''s'!$J$1:$J$65536</definedName>
    <definedName name="__qre91">'[3]QRE''s'!$K$1:$K$65536</definedName>
    <definedName name="__qre92">'[3]QRE''s'!$L$1:$L$65536</definedName>
    <definedName name="__qre93">'[3]QRE''s'!$M$1:$M$65536</definedName>
    <definedName name="__qre94">'[3]QRE''s'!$N$1:$N$65536</definedName>
    <definedName name="__qre95">'[3]QRE''s'!$O$1:$O$65536</definedName>
    <definedName name="__qre96">'[3]QRE''s'!$P$1:$P$65536</definedName>
    <definedName name="__qre97">'[3]QRE''s'!$Q$1:$Q$65536</definedName>
    <definedName name="__qre98">'[3]QRE''s'!$R$1:$R$65536</definedName>
    <definedName name="__SUM282">'[8]YTD Summary'!#REF!</definedName>
    <definedName name="__tqc90">'[3]QRE''s'!$J$101</definedName>
    <definedName name="__tqc91">'[3]QRE''s'!$K$101</definedName>
    <definedName name="__tqc92">'[3]QRE''s'!$L$101</definedName>
    <definedName name="__tqc93">'[3]QRE''s'!$M$101</definedName>
    <definedName name="__tqc94">'[3]QRE''s'!$N$101</definedName>
    <definedName name="__tqc95">'[3]QRE''s'!$O$101</definedName>
    <definedName name="__tqc96">'[3]QRE''s'!$P$101</definedName>
    <definedName name="__tqc97">'[3]QRE''s'!$Q$101</definedName>
    <definedName name="__tqc98">'[3]QRE''s'!$R$101</definedName>
    <definedName name="__tql90">'[3]QRE''s'!$J$99</definedName>
    <definedName name="__tql91">'[3]QRE''s'!$K$99</definedName>
    <definedName name="__tql92">'[3]QRE''s'!$L$99</definedName>
    <definedName name="__tql93">'[3]QRE''s'!$M$99</definedName>
    <definedName name="__tql94">'[3]QRE''s'!$N$99</definedName>
    <definedName name="__tql95">'[3]QRE''s'!$O$99</definedName>
    <definedName name="__tql96">'[3]QRE''s'!$P$99</definedName>
    <definedName name="__tql97">'[3]QRE''s'!$Q$99</definedName>
    <definedName name="__tql98">'[3]QRE''s'!$R$99</definedName>
    <definedName name="__tqs90">'[3]QRE''s'!$J$100</definedName>
    <definedName name="__tqs91">'[3]QRE''s'!$K$100</definedName>
    <definedName name="__tqs92">'[3]QRE''s'!$L$100</definedName>
    <definedName name="__tqs93">'[3]QRE''s'!$M$100</definedName>
    <definedName name="__tqs94">'[3]QRE''s'!$N$100</definedName>
    <definedName name="__tqs95">'[3]QRE''s'!$O$100</definedName>
    <definedName name="__tqs96">'[3]QRE''s'!$P$100</definedName>
    <definedName name="__tqs97">'[3]QRE''s'!$Q$100</definedName>
    <definedName name="__tqs98">'[3]QRE''s'!$R$100</definedName>
    <definedName name="_1__123Graph_ACONTRACT_BY_B_U" hidden="1">'[3]QRE Charts'!$D$275:$Q$275</definedName>
    <definedName name="_10__123Graph_AWAGES_BY_B_U" hidden="1">'[11]QRE Charts'!$D$223:$R$223</definedName>
    <definedName name="_10__123Graph_BQRE_S_BY_TYPE" hidden="1">'[3]QRE''s'!$D$100:$R$100</definedName>
    <definedName name="_11__123Graph_BCONTRACT_BY_B_U" hidden="1">'[11]QRE Charts'!$D$276:$Q$276</definedName>
    <definedName name="_11__123Graph_BSENS_COMPARISON" hidden="1">'[3]QRE Charts'!$E$366:$O$366</definedName>
    <definedName name="_12__123Graph_BQRE_S_BY_CO." hidden="1">'[11]QRE Charts'!$D$302:$R$302</definedName>
    <definedName name="_12__123Graph_BSUPPLIES_BY_B_U" hidden="1">'[3]QRE Charts'!$D$250:$Q$250</definedName>
    <definedName name="_13__123Graph_BQRE_S_BY_TYPE" hidden="1">'[11]QRE''s'!$D$100:$R$100</definedName>
    <definedName name="_13__123Graph_BTAX_CREDIT" hidden="1">'[3]QRE Charts'!$E$332:$E$342</definedName>
    <definedName name="_14__123Graph_BSENS_COMPARISON" hidden="1">'[11]QRE Charts'!$E$366:$O$366</definedName>
    <definedName name="_14__123Graph_BWAGES_BY_B_U" hidden="1">'[3]QRE Charts'!$D$224:$R$224</definedName>
    <definedName name="_15__123Graph_BSUPPLIES_BY_B_U" hidden="1">'[11]QRE Charts'!$D$250:$Q$250</definedName>
    <definedName name="_15__123Graph_CCONTRACT_BY_B_U" hidden="1">'[3]QRE Charts'!$D$277:$Q$277</definedName>
    <definedName name="_16__123Graph_BTAX_CREDIT" hidden="1">'[11]QRE Charts'!$E$332:$E$342</definedName>
    <definedName name="_16__123Graph_CQRE_S_BY_CO." hidden="1">'[3]QRE Charts'!$D$303:$R$303</definedName>
    <definedName name="_17__123Graph_BWAGES_BY_B_U" hidden="1">'[11]QRE Charts'!$D$224:$R$224</definedName>
    <definedName name="_17__123Graph_CQRE_S_BY_TYPE" hidden="1">'[3]QRE''s'!$D$101:$R$101</definedName>
    <definedName name="_18__123Graph_CCONTRACT_BY_B_U" hidden="1">'[11]QRE Charts'!$D$277:$Q$277</definedName>
    <definedName name="_18__123Graph_CSENS_COMPARISON" hidden="1">'[3]QRE Charts'!$E$367:$O$367</definedName>
    <definedName name="_19__123Graph_CQRE_S_BY_CO." hidden="1">'[11]QRE Charts'!$D$303:$R$303</definedName>
    <definedName name="_19__123Graph_CSUPPLIES_BY_B_U" hidden="1">'[3]QRE Charts'!$D$251:$Q$251</definedName>
    <definedName name="_1JE220_WP">#REF!</definedName>
    <definedName name="_2__123Graph_AQRE_S_BY_CO." hidden="1">'[3]QRE Charts'!$D$301:$R$301</definedName>
    <definedName name="_20__123Graph_CQRE_S_BY_TYPE" hidden="1">'[11]QRE''s'!$D$101:$R$101</definedName>
    <definedName name="_20__123Graph_CWAGES_BY_B_U" hidden="1">'[3]QRE Charts'!$D$225:$R$225</definedName>
    <definedName name="_21__123Graph_CSENS_COMPARISON" hidden="1">'[11]QRE Charts'!$E$367:$O$367</definedName>
    <definedName name="_21__123Graph_DCONTRACT_BY_B_U" hidden="1">'[3]QRE Charts'!$D$278:$Q$278</definedName>
    <definedName name="_22__123Graph_CSUPPLIES_BY_B_U" hidden="1">'[11]QRE Charts'!$D$251:$Q$251</definedName>
    <definedName name="_22__123Graph_DQRE_S_BY_CO." hidden="1">'[3]QRE Charts'!$D$304:$R$304</definedName>
    <definedName name="_23__123Graph_CWAGES_BY_B_U" hidden="1">'[11]QRE Charts'!$D$225:$R$225</definedName>
    <definedName name="_23__123Graph_DSUPPLIES_BY_B_U" hidden="1">'[3]QRE Charts'!$D$252:$Q$252</definedName>
    <definedName name="_24__123Graph_DCONTRACT_BY_B_U" hidden="1">'[11]QRE Charts'!$D$278:$Q$278</definedName>
    <definedName name="_24__123Graph_DWAGES_BY_B_U" hidden="1">'[3]QRE Charts'!$D$226:$R$226</definedName>
    <definedName name="_25__123Graph_DQRE_S_BY_CO." hidden="1">'[11]QRE Charts'!$D$304:$R$304</definedName>
    <definedName name="_25__123Graph_ECONTRACT_BY_B_U" hidden="1">'[3]QRE Charts'!$D$279:$Q$279</definedName>
    <definedName name="_26__123Graph_DSUPPLIES_BY_B_U" hidden="1">'[11]QRE Charts'!$D$252:$Q$252</definedName>
    <definedName name="_26__123Graph_EQRE_S_BY_CO." hidden="1">'[3]QRE Charts'!$D$305:$R$305</definedName>
    <definedName name="_27__123Graph_DWAGES_BY_B_U" hidden="1">'[11]QRE Charts'!$D$226:$R$226</definedName>
    <definedName name="_27__123Graph_ESUPPLIES_BY_B_U" hidden="1">'[3]QRE Charts'!$D$253:$Q$253</definedName>
    <definedName name="_28__123Graph_ECONTRACT_BY_B_U" hidden="1">'[11]QRE Charts'!$D$279:$Q$279</definedName>
    <definedName name="_28__123Graph_EWAGES_BY_B_U" hidden="1">'[3]QRE Charts'!$D$227:$R$227</definedName>
    <definedName name="_29__123Graph_EQRE_S_BY_CO." hidden="1">'[11]QRE Charts'!$D$305:$R$305</definedName>
    <definedName name="_29__123Graph_FCONTRACT_BY_B_U" hidden="1">'[3]QRE Charts'!$D$280:$Q$280</definedName>
    <definedName name="_2JE220_WP">#REF!</definedName>
    <definedName name="_2QTR">#REF!</definedName>
    <definedName name="_3_">[1]IS!#REF!</definedName>
    <definedName name="_3__123Graph_AQRE_S_BY_TYPE" hidden="1">'[3]QRE''s'!$D$99:$R$99</definedName>
    <definedName name="_30__123Graph_ESUPPLIES_BY_B_U" hidden="1">'[11]QRE Charts'!$D$253:$Q$253</definedName>
    <definedName name="_30__123Graph_FQRE_S_BY_CO." hidden="1">'[3]QRE Charts'!$D$306:$R$306</definedName>
    <definedName name="_31__123Graph_EWAGES_BY_B_U" hidden="1">'[11]QRE Charts'!$D$227:$R$227</definedName>
    <definedName name="_31__123Graph_FSUPPLIES_BY_B_U" hidden="1">'[3]QRE Charts'!$D$254:$Q$254</definedName>
    <definedName name="_32__123Graph_FCONTRACT_BY_B_U" hidden="1">'[11]QRE Charts'!$D$280:$Q$280</definedName>
    <definedName name="_32__123Graph_FWAGES_BY_B_U" hidden="1">'[3]QRE Charts'!$D$228:$R$228</definedName>
    <definedName name="_33__123Graph_FQRE_S_BY_CO." hidden="1">'[11]QRE Charts'!$D$306:$R$306</definedName>
    <definedName name="_33__123Graph_XCONTRACT_BY_B_U" hidden="1">'[3]QRE Charts'!$D$222:$R$222</definedName>
    <definedName name="_34__123Graph_FSUPPLIES_BY_B_U" hidden="1">'[11]QRE Charts'!$D$254:$Q$254</definedName>
    <definedName name="_34__123Graph_XQRE_S_BY_CO." hidden="1">'[3]QRE Charts'!$D$222:$R$222</definedName>
    <definedName name="_35__123Graph_FWAGES_BY_B_U" hidden="1">'[11]QRE Charts'!$D$228:$R$228</definedName>
    <definedName name="_35__123Graph_XQRE_S_BY_TYPE" hidden="1">'[3]QRE Charts'!$D$222:$R$222</definedName>
    <definedName name="_36__123Graph_XCONTRACT_BY_B_U" hidden="1">'[11]QRE Charts'!$D$222:$R$222</definedName>
    <definedName name="_36__123Graph_XSUPPLIES_BY_B_U" hidden="1">'[3]QRE Charts'!$D$222:$R$222</definedName>
    <definedName name="_37__123Graph_XQRE_S_BY_CO." hidden="1">'[11]QRE Charts'!$D$222:$R$222</definedName>
    <definedName name="_37__123Graph_XTAX_CREDIT" hidden="1">'[3]QRE Charts'!$C$332:$C$342</definedName>
    <definedName name="_38__123Graph_XQRE_S_BY_TYPE" hidden="1">'[11]QRE Charts'!$D$222:$R$222</definedName>
    <definedName name="_39__123Graph_XSUPPLIES_BY_B_U" hidden="1">'[11]QRE Charts'!$D$222:$R$222</definedName>
    <definedName name="_4__123Graph_ACONTRACT_BY_B_U" hidden="1">'[11]QRE Charts'!$D$275:$Q$275</definedName>
    <definedName name="_4__123Graph_ASENS_COMPARISON" hidden="1">'[3]QRE Charts'!$E$365:$O$365</definedName>
    <definedName name="_40__123Graph_XTAX_CREDIT" hidden="1">'[11]QRE Charts'!$C$332:$C$342</definedName>
    <definedName name="_4JE220_WP">#REF!</definedName>
    <definedName name="_5__123Graph_AQRE_S_BY_CO." hidden="1">'[11]QRE Charts'!$D$301:$R$301</definedName>
    <definedName name="_5__123Graph_ASUPPLIES_BY_B_U" hidden="1">'[3]QRE Charts'!$D$249:$Q$249</definedName>
    <definedName name="_6__123Graph_AQRE_S_BY_TYPE" hidden="1">'[11]QRE''s'!$D$99:$R$99</definedName>
    <definedName name="_6__123Graph_ATAX_CREDIT" hidden="1">'[3]QRE Charts'!$D$332:$D$342</definedName>
    <definedName name="_6532">#REF!</definedName>
    <definedName name="_6533">#REF!</definedName>
    <definedName name="_6543">#REF!</definedName>
    <definedName name="_7__123Graph_ASENS_COMPARISON" hidden="1">'[11]QRE Charts'!$E$365:$O$365</definedName>
    <definedName name="_7__123Graph_AWAGES_BY_B_U" hidden="1">'[3]QRE Charts'!$D$223:$R$223</definedName>
    <definedName name="_8__123Graph_ASUPPLIES_BY_B_U" hidden="1">'[11]QRE Charts'!$D$249:$Q$249</definedName>
    <definedName name="_8__123Graph_BCONTRACT_BY_B_U" hidden="1">'[3]QRE Charts'!$D$276:$Q$276</definedName>
    <definedName name="_84_PHASE1">[3]Comparison!$E$9:$E$165</definedName>
    <definedName name="_85_PHASE1">[3]Comparison!$I$9:$I$165</definedName>
    <definedName name="_86_PHASE1">[3]Comparison!$M$9:$M$165</definedName>
    <definedName name="_87_PHASE1">[3]Comparison!$Q$9:$Q$165</definedName>
    <definedName name="_88_PHASE1">[3]Comparison!$U$9:$U$165</definedName>
    <definedName name="_88TOTALS">#REF!</definedName>
    <definedName name="_89_PHASE1">[3]Comparison!$AD$9:$AD$165</definedName>
    <definedName name="_9__123Graph_ATAX_CREDIT" hidden="1">'[11]QRE Charts'!$D$332:$D$342</definedName>
    <definedName name="_9__123Graph_BQRE_S_BY_CO." hidden="1">'[3]QRE Charts'!$D$302:$R$302</definedName>
    <definedName name="_90_PHASE1">[3]Comparison!$AH$9:$AH$165</definedName>
    <definedName name="_91_PHASE1">[3]Comparison!$AL$9:$AL$165</definedName>
    <definedName name="_92_PHASE1">[3]Comparison!$AP$9:$AP$165</definedName>
    <definedName name="_93_PHASE1">[3]Comparison!$AT$9:$AT$165</definedName>
    <definedName name="_94_PHASE1">[3]Comparison!$AX$9:$AX$165</definedName>
    <definedName name="_95_PHASE1">[3]Comparison!$BB$9:$BB$165</definedName>
    <definedName name="_96_PHASE1">[3]Comparison!$BF$9:$BF$165</definedName>
    <definedName name="_97_PHASE1">[3]Comparison!$BJ$9:$BJ$165</definedName>
    <definedName name="_98_PHASE1">[3]Comparison!$BN$9:$BN$165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[3]Model!$I$58</definedName>
    <definedName name="_agr8691">#REF!</definedName>
    <definedName name="_agr8790">[3]Model!$I$59</definedName>
    <definedName name="_agr8791">[3]Model!$J$59</definedName>
    <definedName name="_agr8792">#REF!</definedName>
    <definedName name="_agr8890">[3]Model!$I$60</definedName>
    <definedName name="_agr8891">[3]Model!$J$60</definedName>
    <definedName name="_agr8892">[3]Model!$K$60</definedName>
    <definedName name="_agr8893">#REF!</definedName>
    <definedName name="_agr8990">[3]Model!$I$61</definedName>
    <definedName name="_agr8991">[3]Model!$J$61</definedName>
    <definedName name="_agr8992">[3]Model!$K$61</definedName>
    <definedName name="_agr8993">[3]Model!$L$61</definedName>
    <definedName name="_agr8994">#REF!</definedName>
    <definedName name="_agr9091">[3]Model!$J$62</definedName>
    <definedName name="_agr9092">[3]Model!$K$62</definedName>
    <definedName name="_agr9093">[3]Model!$L$62</definedName>
    <definedName name="_agr9094">[3]Model!$M$62</definedName>
    <definedName name="_agr9095">#REF!</definedName>
    <definedName name="_agr9192">[3]Model!$K$63</definedName>
    <definedName name="_agr9193">[3]Model!$L$63</definedName>
    <definedName name="_agr9194">[3]Model!$M$63</definedName>
    <definedName name="_agr9195">[3]Model!$N$63</definedName>
    <definedName name="_agr9196">#REF!</definedName>
    <definedName name="_agr9293">[3]Model!$L$64</definedName>
    <definedName name="_agr9294">[3]Model!$M$64</definedName>
    <definedName name="_agr9295">[3]Model!$N$64</definedName>
    <definedName name="_agr9296">[3]Model!$O$64</definedName>
    <definedName name="_agr9297">#REF!</definedName>
    <definedName name="_agr9394">[3]Model!$M$65</definedName>
    <definedName name="_agr9395">[3]Model!$N$65</definedName>
    <definedName name="_agr9396">[3]Model!$O$65</definedName>
    <definedName name="_agr9397">[3]Model!$P$65</definedName>
    <definedName name="_agr9398">#REF!</definedName>
    <definedName name="_agr9495">[3]Model!$N$66</definedName>
    <definedName name="_agr9496">[3]Model!$O$66</definedName>
    <definedName name="_agr9497">[3]Model!$P$66</definedName>
    <definedName name="_agr9498">[3]Model!$Q$66</definedName>
    <definedName name="_agr9499">#REF!</definedName>
    <definedName name="_agr95100">#REF!</definedName>
    <definedName name="_agr9596">[3]Model!$O$67</definedName>
    <definedName name="_agr9597">[3]Model!$P$67</definedName>
    <definedName name="_agr9598">[3]Model!$Q$67</definedName>
    <definedName name="_agr9599">#REF!</definedName>
    <definedName name="_agr96100">#REF!</definedName>
    <definedName name="_agr96101">#REF!</definedName>
    <definedName name="_agr9697">[3]Model!$P$68</definedName>
    <definedName name="_agr9698">[3]Model!$Q$68</definedName>
    <definedName name="_agr9699">#REF!</definedName>
    <definedName name="_agr97100">#REF!</definedName>
    <definedName name="_agr97101">#REF!</definedName>
    <definedName name="_agr97102">#REF!</definedName>
    <definedName name="_agr9798">[3]Model!$Q$69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DAT1">'[12]Cost Center List'!#REF!</definedName>
    <definedName name="_DAT10">#REF!</definedName>
    <definedName name="_DAT11">#REF!</definedName>
    <definedName name="_dat1111">[6]Sheet1!$G$2:$G$29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D179">[13]DEPR96!#REF!</definedName>
    <definedName name="_Fill" hidden="1">#REF!</definedName>
    <definedName name="_gas2">#REF!</definedName>
    <definedName name="_gas2006">#REF!</definedName>
    <definedName name="_H1">{"'Metretek HTML'!$A$7:$W$42"}</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'[4]JE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'[14]Wage SPG 99'!#REF!</definedName>
    <definedName name="_Key2" hidden="1">'[14]Wage SPG 99'!#REF!</definedName>
    <definedName name="_New2">#REF!</definedName>
    <definedName name="_New3">#REF!</definedName>
    <definedName name="_New4">#REF!</definedName>
    <definedName name="_Order1">255</definedName>
    <definedName name="_Order2">255</definedName>
    <definedName name="_p.choice" localSheetId="7">#REF!</definedName>
    <definedName name="_p.choice">#REF!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'[3]QRE''s'!$D$1:$D$65536</definedName>
    <definedName name="_qre84100">#REF!</definedName>
    <definedName name="_qre84101">#REF!</definedName>
    <definedName name="_qre84102">#REF!</definedName>
    <definedName name="_qre84103">#REF!</definedName>
    <definedName name="_qre8490">[3]Model!$I$126</definedName>
    <definedName name="_qre8491">[3]Model!$J$126</definedName>
    <definedName name="_qre8492">[3]Model!$K$126</definedName>
    <definedName name="_qre8493">[3]Model!$L$126</definedName>
    <definedName name="_qre8494">[3]Model!$M$126</definedName>
    <definedName name="_qre8495">[3]Model!$N$126</definedName>
    <definedName name="_qre8496">[3]Model!$O$126</definedName>
    <definedName name="_qre8497">[3]Model!$P$126</definedName>
    <definedName name="_qre8498">[3]Model!$Q$126</definedName>
    <definedName name="_qre8499">#REF!</definedName>
    <definedName name="_qre85">'[3]QRE''s'!$E$1:$E$65536</definedName>
    <definedName name="_qre85100">#REF!</definedName>
    <definedName name="_qre85101">#REF!</definedName>
    <definedName name="_qre85102">#REF!</definedName>
    <definedName name="_qre85103">#REF!</definedName>
    <definedName name="_qre8590">[3]Model!$I$127</definedName>
    <definedName name="_qre8591">[3]Model!$J$127</definedName>
    <definedName name="_qre8592">[3]Model!$K$127</definedName>
    <definedName name="_qre8593">[3]Model!$L$127</definedName>
    <definedName name="_qre8594">[3]Model!$M$127</definedName>
    <definedName name="_qre8595">[3]Model!$N$127</definedName>
    <definedName name="_qre8596">[3]Model!$O$127</definedName>
    <definedName name="_qre8597">[3]Model!$P$127</definedName>
    <definedName name="_qre8598">[3]Model!$Q$127</definedName>
    <definedName name="_qre8599">#REF!</definedName>
    <definedName name="_qre86">'[3]QRE''s'!$F$1:$F$65536</definedName>
    <definedName name="_qre86100">#REF!</definedName>
    <definedName name="_qre86101">#REF!</definedName>
    <definedName name="_qre86102">#REF!</definedName>
    <definedName name="_qre86103">#REF!</definedName>
    <definedName name="_qre8690">[3]Model!$I$128</definedName>
    <definedName name="_qre8691">[3]Model!$J$128</definedName>
    <definedName name="_qre8692">[3]Model!$K$128</definedName>
    <definedName name="_qre8693">[3]Model!$L$128</definedName>
    <definedName name="_qre8694">[3]Model!$M$128</definedName>
    <definedName name="_qre8695">[3]Model!$N$128</definedName>
    <definedName name="_qre8696">[3]Model!$O$128</definedName>
    <definedName name="_qre8697">[3]Model!$P$128</definedName>
    <definedName name="_qre8698">[3]Model!$Q$128</definedName>
    <definedName name="_qre8699">#REF!</definedName>
    <definedName name="_qre87">'[3]QRE''s'!$G$1:$G$65536</definedName>
    <definedName name="_qre87100">#REF!</definedName>
    <definedName name="_qre87101">#REF!</definedName>
    <definedName name="_qre87102">#REF!</definedName>
    <definedName name="_qre87103">#REF!</definedName>
    <definedName name="_qre8790">[3]Model!$I$129</definedName>
    <definedName name="_qre8791">[3]Model!$J$129</definedName>
    <definedName name="_qre8792">[3]Model!$K$129</definedName>
    <definedName name="_qre8793">[3]Model!$L$129</definedName>
    <definedName name="_qre8794">[3]Model!$M$129</definedName>
    <definedName name="_qre8795">[3]Model!$N$129</definedName>
    <definedName name="_qre8796">[3]Model!$O$129</definedName>
    <definedName name="_qre8797">[3]Model!$P$129</definedName>
    <definedName name="_qre8798">[3]Model!$Q$129</definedName>
    <definedName name="_qre8799">#REF!</definedName>
    <definedName name="_qre88">'[3]QRE''s'!$H$1:$H$65536</definedName>
    <definedName name="_qre88100">#REF!</definedName>
    <definedName name="_qre88101">#REF!</definedName>
    <definedName name="_qre88102">#REF!</definedName>
    <definedName name="_qre88103">#REF!</definedName>
    <definedName name="_qre8890">[3]Model!$I$130</definedName>
    <definedName name="_qre8891">[3]Model!$J$130</definedName>
    <definedName name="_qre8892">[3]Model!$K$130</definedName>
    <definedName name="_qre8893">[3]Model!$L$130</definedName>
    <definedName name="_qre8894">[3]Model!$M$130</definedName>
    <definedName name="_qre8895">[3]Model!$N$130</definedName>
    <definedName name="_qre8896">[3]Model!$O$130</definedName>
    <definedName name="_qre8897">[3]Model!$P$130</definedName>
    <definedName name="_qre8898">[3]Model!$Q$130</definedName>
    <definedName name="_qre8899">#REF!</definedName>
    <definedName name="_qre89">'[3]QRE''s'!$I$1:$I$65536</definedName>
    <definedName name="_qre90">'[3]QRE''s'!$J$1:$J$65536</definedName>
    <definedName name="_qre91">'[3]QRE''s'!$K$1:$K$65536</definedName>
    <definedName name="_qre92">'[3]QRE''s'!$L$1:$L$65536</definedName>
    <definedName name="_qre93">'[3]QRE''s'!$M$1:$M$65536</definedName>
    <definedName name="_qre94">'[3]QRE''s'!$N$1:$N$65536</definedName>
    <definedName name="_qre95">'[3]QRE''s'!$O$1:$O$65536</definedName>
    <definedName name="_qre96">'[3]QRE''s'!$P$1:$P$65536</definedName>
    <definedName name="_qre97">'[3]QRE''s'!$Q$1:$Q$65536</definedName>
    <definedName name="_qre98">'[3]QRE''s'!$R$1:$R$65536</definedName>
    <definedName name="_Regression_Int">1</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'[8]YTD Summary'!#REF!</definedName>
    <definedName name="_SUM3">'[15]Summ 165_236'!#REF!</definedName>
    <definedName name="_SUM4">'[15]Summ 165_236'!#REF!</definedName>
    <definedName name="_tqc100">#REF!</definedName>
    <definedName name="_tqc101">#REF!</definedName>
    <definedName name="_tqc102">#REF!</definedName>
    <definedName name="_tqc103">#REF!</definedName>
    <definedName name="_tqc90">'[3]QRE''s'!$J$101</definedName>
    <definedName name="_tqc91">'[3]QRE''s'!$K$101</definedName>
    <definedName name="_tqc92">'[3]QRE''s'!$L$101</definedName>
    <definedName name="_tqc93">'[3]QRE''s'!$M$101</definedName>
    <definedName name="_tqc94">'[3]QRE''s'!$N$101</definedName>
    <definedName name="_tqc95">'[3]QRE''s'!$O$101</definedName>
    <definedName name="_tqc96">'[3]QRE''s'!$P$101</definedName>
    <definedName name="_tqc97">'[3]QRE''s'!$Q$101</definedName>
    <definedName name="_tqc98">'[3]QRE''s'!$R$101</definedName>
    <definedName name="_tqc99">#REF!</definedName>
    <definedName name="_tql100">#REF!</definedName>
    <definedName name="_tql101">#REF!</definedName>
    <definedName name="_tql102">#REF!</definedName>
    <definedName name="_tql103">#REF!</definedName>
    <definedName name="_tql90">'[3]QRE''s'!$J$99</definedName>
    <definedName name="_tql91">'[3]QRE''s'!$K$99</definedName>
    <definedName name="_tql92">'[3]QRE''s'!$L$99</definedName>
    <definedName name="_tql93">'[3]QRE''s'!$M$99</definedName>
    <definedName name="_tql94">'[3]QRE''s'!$N$99</definedName>
    <definedName name="_tql95">'[3]QRE''s'!$O$99</definedName>
    <definedName name="_tql96">'[3]QRE''s'!$P$99</definedName>
    <definedName name="_tql97">'[3]QRE''s'!$Q$99</definedName>
    <definedName name="_tql98">'[3]QRE''s'!$R$99</definedName>
    <definedName name="_tql99">#REF!</definedName>
    <definedName name="_tqs100">#REF!</definedName>
    <definedName name="_tqs101">#REF!</definedName>
    <definedName name="_tqs102">#REF!</definedName>
    <definedName name="_tqs103">#REF!</definedName>
    <definedName name="_tqs90">'[3]QRE''s'!$J$100</definedName>
    <definedName name="_tqs91">'[3]QRE''s'!$K$100</definedName>
    <definedName name="_tqs92">'[3]QRE''s'!$L$100</definedName>
    <definedName name="_tqs93">'[3]QRE''s'!$M$100</definedName>
    <definedName name="_tqs94">'[3]QRE''s'!$N$100</definedName>
    <definedName name="_tqs95">'[3]QRE''s'!$O$100</definedName>
    <definedName name="_tqs96">'[3]QRE''s'!$P$100</definedName>
    <definedName name="_tqs97">'[3]QRE''s'!$Q$100</definedName>
    <definedName name="_tqs98">'[3]QRE''s'!$R$100</definedName>
    <definedName name="_tqs99">#REF!</definedName>
    <definedName name="A">#REF!</definedName>
    <definedName name="AA">#REF!</definedName>
    <definedName name="AA.print" localSheetId="7">#REF!</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 localSheetId="7">#REF!</definedName>
    <definedName name="AB.print">#REF!</definedName>
    <definedName name="AC">[13]DEPR96!#REF!</definedName>
    <definedName name="AC_255">'[16]AC 255'!$A$1:$M$32</definedName>
    <definedName name="AC_282">[17]December!#REF!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[8]December!#REF!</definedName>
    <definedName name="Accum._Other_Comprehensive_Income">#REF!</definedName>
    <definedName name="ACQ">[13]DEPR96!#REF!</definedName>
    <definedName name="ACRS">#REF!</definedName>
    <definedName name="Active1">#REF!</definedName>
    <definedName name="Active2">#REF!</definedName>
    <definedName name="Actual">[18]Assumptions!$E$52</definedName>
    <definedName name="adds2008">#REF!</definedName>
    <definedName name="Adjustments_to_Reconcile_Net_Income_to_Net_Cash">#REF!</definedName>
    <definedName name="Admin___Other_Labor_included_in_O_M">#REF!</definedName>
    <definedName name="ads">#REF!</definedName>
    <definedName name="Affiliate_Interest_Expense__Revenue">#REF!</definedName>
    <definedName name="AFUDC_Credit_Interest_Capitalized">#REF!</definedName>
    <definedName name="ag_1">'[19]Input Page'!$G$7</definedName>
    <definedName name="ag_cap_indirect">'[20]Input Page'!$G$7</definedName>
    <definedName name="ag_mix_cap">'[20]Input Page'!$G$8</definedName>
    <definedName name="ag_mix_total">'[20]Input Page'!$G$9</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ircdy">#REF!</definedName>
    <definedName name="aircgrtm1">[3]AIRC!#REF!</definedName>
    <definedName name="aircgrtm2">[3]AIRC!#REF!</definedName>
    <definedName name="aircgrtm3">[3]AIRC!#REF!</definedName>
    <definedName name="aircgrtm4">[3]AIRC!#REF!</definedName>
    <definedName name="aircqre">[3]AIRC!$C$15</definedName>
    <definedName name="aircqrelabel">[3]AIRC!$B$15</definedName>
    <definedName name="airctitle">[3]AIRC!$A$1</definedName>
    <definedName name="airctm1">[3]AIRC!#REF!</definedName>
    <definedName name="airctm2">[3]AIRC!#REF!</definedName>
    <definedName name="airctm3">[3]AIRC!#REF!</definedName>
    <definedName name="airctm4">[3]AIRC!#REF!</definedName>
    <definedName name="ALERT1">#REF!</definedName>
    <definedName name="ALERT2">#REF!</definedName>
    <definedName name="ALERT3">#REF!</definedName>
    <definedName name="ALL_QRES">[3]Sens_QRE_Factor!$D$8:$R$98</definedName>
    <definedName name="ALL_QRES0.75">'[3]QRE Charts'!$E$365</definedName>
    <definedName name="ALL_QRES0.80">'[3]QRE Charts'!$F$365</definedName>
    <definedName name="ALL_QRES0.85">'[3]QRE Charts'!$G$365</definedName>
    <definedName name="ALL_QRES0.90">'[3]QRE Charts'!$H$365</definedName>
    <definedName name="ALL_QRES0.95">'[3]QRE Charts'!$I$365</definedName>
    <definedName name="ALL_QRES1.00">'[3]QRE Charts'!$J$365</definedName>
    <definedName name="ALL_QRES1.05">'[3]QRE Charts'!$K$365</definedName>
    <definedName name="ALL_QRES1.10">'[3]QRE Charts'!$L$365</definedName>
    <definedName name="ALL_QRES1.15">'[3]QRE Charts'!$M$365</definedName>
    <definedName name="ALL_QRES1.20">'[3]QRE Charts'!$N$365</definedName>
    <definedName name="ALL_QRES1.25">'[3]QRE Charts'!$O$365</definedName>
    <definedName name="ALL_SENS_FACT">#REF!</definedName>
    <definedName name="AllASS">[21]ALL!$B$25</definedName>
    <definedName name="ALLCGI">[21]ALL!$D$25</definedName>
    <definedName name="ALLOC">#REF!</definedName>
    <definedName name="ALLOW">#REF!</definedName>
    <definedName name="Allow_for_Funds_Used_During_Const.">#REF!</definedName>
    <definedName name="ALLRD">[21]ALL!$C$25</definedName>
    <definedName name="ALLSKP">[21]ALL!$E$25</definedName>
    <definedName name="ALLYRS_MESSAGE">#REF!</definedName>
    <definedName name="ALTMIN">[22]Pepco!#REF!</definedName>
    <definedName name="AMERICA">#REF!</definedName>
    <definedName name="AMOR_BOM">#REF!</definedName>
    <definedName name="AMOR_EOM">#REF!</definedName>
    <definedName name="AMORT">#REF!</definedName>
    <definedName name="Amortization___Other_Assets">#REF!</definedName>
    <definedName name="ANNSUM">#REF!</definedName>
    <definedName name="Annualization_Rate">#REF!</definedName>
    <definedName name="anscount" hidden="1">1</definedName>
    <definedName name="AO.print" localSheetId="7">#REF!</definedName>
    <definedName name="AO.print">#REF!</definedName>
    <definedName name="APA">#REF!</definedName>
    <definedName name="APN">'[23]Gas Ferc 2 2003'!$V$2</definedName>
    <definedName name="APR">[24]load!#REF!</definedName>
    <definedName name="APR_13_WRKSHT_SUM">#REF!</definedName>
    <definedName name="apr2pre">#REF!</definedName>
    <definedName name="AS">{"'Metretek HTML'!$A$7:$W$42"}</definedName>
    <definedName name="AS2DocOpenMode" hidden="1">"AS2DocumentEdit"</definedName>
    <definedName name="ASD">#REF!</definedName>
    <definedName name="asda">[22]Pepco!#REF!</definedName>
    <definedName name="ASOFDATE">#REF!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'[25]Aday IS DECo &amp; Other'!#REF!</definedName>
    <definedName name="Assets_Held_for_Sale_YR_2006">'[25]Aday IS DECo &amp; Other'!#REF!</definedName>
    <definedName name="Assets_Held_for_Sale_YR_2007">'[25]Aday IS DECo &amp; Other'!#REF!</definedName>
    <definedName name="Assets_Held_for_Sale_YR_2008">'[25]Aday IS DECo &amp; Other'!#REF!</definedName>
    <definedName name="AUG">#REF!</definedName>
    <definedName name="AV.FM.1..adjusted..print" localSheetId="7">#REF!</definedName>
    <definedName name="AV.FM.1..adjusted..print">#REF!</definedName>
    <definedName name="AV.FM.1.print" localSheetId="7">#REF!</definedName>
    <definedName name="AV.FM.1.print">#REF!</definedName>
    <definedName name="avoidint">"V2001-12-31"</definedName>
    <definedName name="az">{"'Metretek HTML'!$A$7:$W$42"}</definedName>
    <definedName name="B">#REF!</definedName>
    <definedName name="b_u_10">'[3]QRE''s'!$A$39:$IV$94</definedName>
    <definedName name="b_u_11">'[3]QRE''s'!$A$43:$IV$94</definedName>
    <definedName name="b_u_12">'[3]QRE''s'!$A$47:$IV$94</definedName>
    <definedName name="b_u_13">'[3]QRE''s'!$A$51:$IV$94</definedName>
    <definedName name="b_u_14">'[3]QRE''s'!$A$55:$IV$94</definedName>
    <definedName name="b_u_15">'[3]QRE''s'!$A$59:$IV$94</definedName>
    <definedName name="b_u_16">'[3]QRE''s'!$A$63:$IV$94</definedName>
    <definedName name="b_u_17">'[3]QRE''s'!$A$67:$IV$94</definedName>
    <definedName name="b_u_18">'[3]QRE''s'!$A$71:$IV$94</definedName>
    <definedName name="b_u_19">'[3]QRE''s'!$A$75:$IV$94</definedName>
    <definedName name="b_u_2">'[3]QRE''s'!$A$11:$IV$94</definedName>
    <definedName name="b_u_20">'[3]QRE''s'!$A$79:$IV$94</definedName>
    <definedName name="b_u_21">'[3]QRE''s'!$A$83:$IV$94</definedName>
    <definedName name="b_u_22">'[3]QRE''s'!$A$87:$IV$94</definedName>
    <definedName name="b_u_23">'[3]QRE''s'!$A$91:$IV$94</definedName>
    <definedName name="b_u_3">'[3]QRE''s'!$A$11:$IV$94</definedName>
    <definedName name="b_u_4">'[3]QRE''s'!$A$15:$IV$94</definedName>
    <definedName name="b_u_5">'[3]QRE''s'!$A$19:$IV$94</definedName>
    <definedName name="b_u_6">'[3]QRE''s'!$A$23:$IV$94</definedName>
    <definedName name="b_u_7">'[3]QRE''s'!$A$27:$IV$94</definedName>
    <definedName name="b_u_8">'[3]QRE''s'!$A$31:$IV$94</definedName>
    <definedName name="b_u_9">'[3]QRE''s'!$A$35:$IV$94</definedName>
    <definedName name="BA.print" localSheetId="7">#REF!</definedName>
    <definedName name="BA.print">#REF!</definedName>
    <definedName name="BAL">#REF!</definedName>
    <definedName name="Balance_Sheet_Assets">#REF!</definedName>
    <definedName name="Balance_Sheet_Liabilities___Capital">#REF!</definedName>
    <definedName name="BalanceSheetDates">#REF!</definedName>
    <definedName name="BALBCK">#REF!</definedName>
    <definedName name="BALP">#REF!</definedName>
    <definedName name="BALPBOD">#REF!</definedName>
    <definedName name="Base">#REF!</definedName>
    <definedName name="BASE_DETAIL_QRE">[3]Sens_QRE_Factor!$D$8:$H$98</definedName>
    <definedName name="BASE_MESSAGE">#REF!</definedName>
    <definedName name="BASE_QRES">[3]Sens_QRE_Factor!$D$8:$H$98</definedName>
    <definedName name="BASE_QRES0.75">'[3]QRE Charts'!$E$366</definedName>
    <definedName name="BASE_QRES0.80">'[3]QRE Charts'!$F$366</definedName>
    <definedName name="BASE_QRES0.85">'[3]QRE Charts'!$G$366</definedName>
    <definedName name="BASE_QRES0.90">'[3]QRE Charts'!$H$366</definedName>
    <definedName name="BASE_QRES0.95">'[3]QRE Charts'!$I$366</definedName>
    <definedName name="BASE_QRES1.00">'[3]QRE Charts'!$J$366</definedName>
    <definedName name="BASE_QRES1.05">'[3]QRE Charts'!$K$366</definedName>
    <definedName name="BASE_QRES1.10">'[3]QRE Charts'!$L$366</definedName>
    <definedName name="BASE_QRES1.15">'[3]QRE Charts'!$M$366</definedName>
    <definedName name="BASE_QRES1.20">'[3]QRE Charts'!$N$366</definedName>
    <definedName name="BASE_QRES1.25">'[3]QRE Charts'!$O$366</definedName>
    <definedName name="BASE_SENS_FACT">#REF!</definedName>
    <definedName name="Basic_Data">#REF!</definedName>
    <definedName name="Basis_Points">[18]Assumptions!$H$15</definedName>
    <definedName name="BB">#REF!</definedName>
    <definedName name="BB.print" localSheetId="7">#REF!</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'[26]Input Page'!#REF!</definedName>
    <definedName name="beg_CWIP">'[26]Input Page'!$E$19</definedName>
    <definedName name="Benefits">350</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'[27]10.08.5 - 2008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'[27]10.08.3 - 2008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'[27]10.08.5 - 2008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'[27]10.08.5 - 2008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'[27]10.08.2 - 2008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'[27]10.08.3 - 2008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'[27]10.08.4 -2008 Capital'!#REF!</definedName>
    <definedName name="BEx1U15M7LVVFZENH830B2BGWC04" hidden="1">#REF!</definedName>
    <definedName name="BEx1U5NGVTXGL4CIPVT5O034KGGR" hidden="1">'[27]10.08.3 - 2008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'[27]10.08.5 - 2008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'[27]10.08.5 - 2008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[28]Table!#REF!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'[27]10.08.5 - 2008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'[27]10.08.5 - 2008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'[27]10.08.3 - 2008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[28]Table!#REF!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'[27]10.08.5 - 2008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'[27]10.08.4 -2008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'[27]10.08.5 - 2008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'[27]10.08.5 - 2008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'[27]10.08.4 -2008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'[27]10.08.5 - 2008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'[27]10.08.3 - 2008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'[27]10.08.2 - 2008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'[27]10.08.3 - 2008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'[27]10.08.5 - 2008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'[27]10.08.5 - 2008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'[27]10.08.5 - 2008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'[27]10.08.2 - 2008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'[27]10.08.5 - 2008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'[27]10.08.2 - 2008 Expense'!#REF!</definedName>
    <definedName name="BExCUW1QXVMEP3B9SFPNEEWCG9I0" hidden="1">'[27]10.08.5 - 2008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'[27]10.08.4 -2008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'[27]10.08.2 - 2008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'[27]10.08.3 - 2008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[28]Table!#REF!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'[27]10.08.4 -2008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'[27]10.08.4 -2008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'[27]10.08.2 - 2008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'[27]10.08.5 - 2008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'[27]10.08.4 -2008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'[27]10.08.5 - 2008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id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'[27]10.08.4 -2008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'[27]10.08.4 -2008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'[27]10.08.2 - 2008 Expense'!#REF!</definedName>
    <definedName name="BExIM2RXHXBO63HBPUTHF775IIRY" hidden="1">#REF!</definedName>
    <definedName name="BExIM2RXYS5BGYBDMFLU1RE8039Z" hidden="1">#REF!</definedName>
    <definedName name="BExIM2X90EG7J3TG4STQ3J1OK4O0" hidden="1">'[27]10.08.5 - 2008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'[27]10.08.5 - 2008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'[27]10.08.5 - 2008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mGrid">#REF!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'[27]10.08.2 - 2008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'[27]10.08.4 -2008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'[27]10.08.4 -2008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'[27]10.08.5 - 2008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[28]Table!#REF!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'[27]10.08.5 - 2008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'[27]10.08.5 - 2008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'[27]10.08.5 - 2008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'[27]10.08.3 - 2008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'[27]10.08.2 - 2008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'[27]10.08.5 - 2008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[28]Table!#REF!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'[27]10.08.2 - 2008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'[27]10.08.5 - 2008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'[27]10.08.3 - 2008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'[27]10.08.2 - 2008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'[27]10.08.2 - 2008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[28]Table!#REF!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'[27]10.08.4 -2008 Capital'!#REF!</definedName>
    <definedName name="BExTYLUCLWGGQOEPH6W91DIYL3RQ" hidden="1">#REF!</definedName>
    <definedName name="BExTYOZQGNRDMMFZOG8515WQDGU3" hidden="1">'[27]10.08.5 - 2008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'[27]10.08.2 - 2008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'[27]10.08.5 - 2008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'[27]10.08.5 - 2008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'[27]10.08.5 - 2008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'[27]10.08.3 - 2008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'[27]10.08.2 - 2008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'[27]10.08.5 - 2008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'[27]10.08.3 - 2008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'[27]10.08.5 - 2008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'[27]10.08.2 - 2008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'[27]10.08.3 - 2008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'[27]10.08.5 - 2008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'[27]10.08.5 - 2008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'[27]10.08.5 - 2008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7">#REF!</definedName>
    <definedName name="BG.print">#REF!</definedName>
    <definedName name="BGS_Cost_Scenario">[18]Assumptions!$E$33</definedName>
    <definedName name="BGS_Forecast">[29]Assumptions!#REF!</definedName>
    <definedName name="BGS_Rate">#REF!</definedName>
    <definedName name="BGS_RFP">[18]Assumptions!$E$36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mass_Energy">#REF!</definedName>
    <definedName name="Biomass_Energy_YR_2005">'[25]Aday IS DECo &amp; Other'!#REF!</definedName>
    <definedName name="Biomass_Energy_YR_2006">'[25]Aday IS DECo &amp; Other'!#REF!</definedName>
    <definedName name="Biomass_Energy_YR_2007">'[25]Aday IS DECo &amp; Other'!#REF!</definedName>
    <definedName name="Biomass_Energy_YR_2008">'[25]Aday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 localSheetId="7">#REF!</definedName>
    <definedName name="BK..FM1.Adjusted..print">#REF!</definedName>
    <definedName name="BK..FM1.ROR..print" localSheetId="7">#REF!</definedName>
    <definedName name="BK..FM1.ROR..print">#REF!</definedName>
    <definedName name="BLE_Close_Date">[30]Assumptions!$E$28</definedName>
    <definedName name="Book__Gain__Loss_on_Asset_Sale">#REF!</definedName>
    <definedName name="bpgr84">[3]Print!$C$48</definedName>
    <definedName name="bpgr85">[3]Print!$E$48</definedName>
    <definedName name="bpgr86">[3]Print!$G$48</definedName>
    <definedName name="bpgr87">[3]Print!$I$48</definedName>
    <definedName name="bpgr88">[3]Print!$K$48</definedName>
    <definedName name="bpqre84">[3]Print!$C$41</definedName>
    <definedName name="bpqre85">[3]Print!$E$41</definedName>
    <definedName name="bpqre86">[3]Print!$G$41</definedName>
    <definedName name="bpqre87">[3]Print!$I$41</definedName>
    <definedName name="bpqre88">[3]Print!$K$41</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[3]B_U_10!$C$95</definedName>
    <definedName name="bu10total84a">[3]B_U_10!$C$103</definedName>
    <definedName name="bu10total85">[3]B_U_10!$D$95</definedName>
    <definedName name="bu10total85a">[3]B_U_10!$D$103</definedName>
    <definedName name="bu10total86">[3]B_U_10!$E$95</definedName>
    <definedName name="bu10total86a">[3]B_U_10!$E$103</definedName>
    <definedName name="bu10total87">[3]B_U_10!$F$95</definedName>
    <definedName name="bu10total87a">[3]B_U_10!$F$103</definedName>
    <definedName name="bu10total88">[3]B_U_10!$G$95</definedName>
    <definedName name="bu10total88a">[3]B_U_10!$G$103</definedName>
    <definedName name="bu10total89">[3]B_U_10!$H$95</definedName>
    <definedName name="bu10total89a">[3]B_U_10!$H$103</definedName>
    <definedName name="bu10total90">[3]B_U_10!$I$95</definedName>
    <definedName name="bu10total90a">[3]B_U_10!$I$103</definedName>
    <definedName name="bu10total91">[3]B_U_10!$J$95</definedName>
    <definedName name="bu10total91a">[3]B_U_10!$J$103</definedName>
    <definedName name="bu10total92">[3]B_U_10!$K$95</definedName>
    <definedName name="bu10total92a">[3]B_U_10!$K$103</definedName>
    <definedName name="bu10total93">[3]B_U_10!$L$95</definedName>
    <definedName name="bu10total93a">[3]B_U_10!$L$103</definedName>
    <definedName name="bu10total94">[3]B_U_10!$M$95</definedName>
    <definedName name="bu10total94a">[3]B_U_10!$M$103</definedName>
    <definedName name="bu10total95">[3]B_U_10!$N$95</definedName>
    <definedName name="bu10total95a">[3]B_U_10!$N$103</definedName>
    <definedName name="bu10total96">[3]B_U_10!$O$95</definedName>
    <definedName name="bu10total96a">[3]B_U_10!$O$103</definedName>
    <definedName name="bu10total97">[3]B_U_10!$P$95</definedName>
    <definedName name="bu10total97a">[3]B_U_10!$P$103</definedName>
    <definedName name="bu10total98">[3]B_U_10!$Q$95</definedName>
    <definedName name="bu10total98a">[3]B_U_10!$Q$103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[3]B_U_11!$C$95</definedName>
    <definedName name="bu11total84a">[3]B_U_11!$C$103</definedName>
    <definedName name="bu11total85">[3]B_U_11!$D$95</definedName>
    <definedName name="bu11total85a">[3]B_U_11!$D$103</definedName>
    <definedName name="bu11total86">[3]B_U_11!$E$95</definedName>
    <definedName name="bu11total86a">[3]B_U_11!$E$103</definedName>
    <definedName name="bu11total87">[3]B_U_11!$F$95</definedName>
    <definedName name="bu11total87a">[3]B_U_11!$F$103</definedName>
    <definedName name="bu11total88">[3]B_U_11!$G$95</definedName>
    <definedName name="bu11total88a">[3]B_U_11!$G$103</definedName>
    <definedName name="bu11total89">[3]B_U_11!$H$95</definedName>
    <definedName name="bu11total89a">[3]B_U_11!$H$103</definedName>
    <definedName name="bu11total90">[3]B_U_11!$I$95</definedName>
    <definedName name="bu11total90a">[3]B_U_11!$I$103</definedName>
    <definedName name="bu11total91">[3]B_U_11!$J$95</definedName>
    <definedName name="bu11total91a">[3]B_U_11!$J$103</definedName>
    <definedName name="bu11total92">[3]B_U_11!$K$95</definedName>
    <definedName name="bu11total92a">[3]B_U_11!$K$103</definedName>
    <definedName name="bu11total93">[3]B_U_11!$L$95</definedName>
    <definedName name="bu11total93a">[3]B_U_11!$L$103</definedName>
    <definedName name="bu11total94">[3]B_U_11!$M$95</definedName>
    <definedName name="bu11total94a">[3]B_U_11!$M$103</definedName>
    <definedName name="bu11total95">[3]B_U_11!$N$95</definedName>
    <definedName name="bu11total95a">[3]B_U_11!$N$103</definedName>
    <definedName name="bu11total96">[3]B_U_11!$O$95</definedName>
    <definedName name="bu11total96a">[3]B_U_11!$O$103</definedName>
    <definedName name="bu11total97">[3]B_U_11!$P$95</definedName>
    <definedName name="bu11total97a">[3]B_U_11!$P$103</definedName>
    <definedName name="bu11total98">[3]B_U_11!$Q$95</definedName>
    <definedName name="bu11total98a">[3]B_U_11!$Q$103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[3]B_U_12!$C$95</definedName>
    <definedName name="bu12total84a">[3]B_U_12!$C$103</definedName>
    <definedName name="bu12total85">[3]B_U_12!$D$95</definedName>
    <definedName name="bu12total85a">[3]B_U_12!$D$103</definedName>
    <definedName name="bu12total86">[3]B_U_12!$E$95</definedName>
    <definedName name="bu12total86a">[3]B_U_12!$E$103</definedName>
    <definedName name="bu12total87">[3]B_U_12!$F$95</definedName>
    <definedName name="bu12total87a">[3]B_U_12!$F$103</definedName>
    <definedName name="bu12total88">[3]B_U_12!$G$95</definedName>
    <definedName name="bu12total88a">[3]B_U_12!$G$103</definedName>
    <definedName name="bu12total89">[3]B_U_12!$H$95</definedName>
    <definedName name="bu12total89a">[3]B_U_12!$H$103</definedName>
    <definedName name="bu12total90">[3]B_U_12!$I$95</definedName>
    <definedName name="bu12total90a">[3]B_U_12!$I$103</definedName>
    <definedName name="bu12total91">[3]B_U_12!$J$95</definedName>
    <definedName name="bu12total91a">[3]B_U_12!$J$103</definedName>
    <definedName name="bu12total92">[3]B_U_12!$K$95</definedName>
    <definedName name="bu12total92a">[3]B_U_12!$K$103</definedName>
    <definedName name="bu12total93">[3]B_U_12!$L$95</definedName>
    <definedName name="bu12total93a">[3]B_U_12!$L$103</definedName>
    <definedName name="bu12total94">[3]B_U_12!$M$95</definedName>
    <definedName name="bu12total94a">[3]B_U_12!$M$103</definedName>
    <definedName name="bu12total95">[3]B_U_12!$N$95</definedName>
    <definedName name="bu12total95a">[3]B_U_12!$N$103</definedName>
    <definedName name="bu12total96">[3]B_U_12!$O$95</definedName>
    <definedName name="bu12total96a">[3]B_U_12!$O$103</definedName>
    <definedName name="bu12total97">[3]B_U_12!$P$95</definedName>
    <definedName name="bu12total97a">[3]B_U_12!$P$103</definedName>
    <definedName name="bu12total98">[3]B_U_12!$Q$95</definedName>
    <definedName name="bu12total98a">[3]B_U_12!$Q$103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[3]B_U_13!$C$95</definedName>
    <definedName name="bu13total84a">[3]B_U_13!$C$103</definedName>
    <definedName name="bu13total85">[3]B_U_13!$D$95</definedName>
    <definedName name="bu13total85a">[3]B_U_13!$D$103</definedName>
    <definedName name="bu13total86">[3]B_U_13!$E$95</definedName>
    <definedName name="bu13total86a">[3]B_U_13!$E$103</definedName>
    <definedName name="bu13total87">[3]B_U_13!$F$95</definedName>
    <definedName name="bu13total87a">[3]B_U_13!$F$103</definedName>
    <definedName name="bu13total88">[3]B_U_13!$G$95</definedName>
    <definedName name="bu13total88a">[3]B_U_13!$G$103</definedName>
    <definedName name="bu13total89">[3]B_U_13!$H$95</definedName>
    <definedName name="bu13total89a">[3]B_U_13!$H$103</definedName>
    <definedName name="bu13total90">[3]B_U_13!$I$95</definedName>
    <definedName name="bu13total90a">[3]B_U_13!$I$103</definedName>
    <definedName name="bu13total91">[3]B_U_13!$J$95</definedName>
    <definedName name="bu13total91a">[3]B_U_13!$J$103</definedName>
    <definedName name="bu13total92">[3]B_U_13!$K$95</definedName>
    <definedName name="bu13total92a">[3]B_U_13!$K$103</definedName>
    <definedName name="bu13total93">[3]B_U_13!$L$95</definedName>
    <definedName name="bu13total93a">[3]B_U_13!$L$103</definedName>
    <definedName name="bu13total94">[3]B_U_13!$M$95</definedName>
    <definedName name="bu13total94a">[3]B_U_13!$M$103</definedName>
    <definedName name="bu13total95">[3]B_U_13!$N$95</definedName>
    <definedName name="bu13total95a">[3]B_U_13!$N$103</definedName>
    <definedName name="bu13total96">[3]B_U_13!$O$95</definedName>
    <definedName name="bu13total96a">[3]B_U_13!$O$103</definedName>
    <definedName name="bu13total97">[3]B_U_13!$P$95</definedName>
    <definedName name="bu13total97a">[3]B_U_13!$P$103</definedName>
    <definedName name="bu13total98">[3]B_U_13!$Q$95</definedName>
    <definedName name="bu13total98a">[3]B_U_13!$Q$103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[3]B_U_14!$C$95</definedName>
    <definedName name="bu14total84a">[3]B_U_14!$C$103</definedName>
    <definedName name="bu14total85">[3]B_U_14!$D$95</definedName>
    <definedName name="bu14total85a">[3]B_U_14!$D$103</definedName>
    <definedName name="bu14total86">[3]B_U_14!$E$95</definedName>
    <definedName name="bu14total86a">[3]B_U_14!$E$103</definedName>
    <definedName name="bu14total87">[3]B_U_14!$F$95</definedName>
    <definedName name="bu14total87a">[3]B_U_14!$F$103</definedName>
    <definedName name="bu14total88">[3]B_U_14!$G$95</definedName>
    <definedName name="bu14total88a">[3]B_U_14!$G$103</definedName>
    <definedName name="bu14total89">[3]B_U_14!$H$95</definedName>
    <definedName name="bu14total89a">[3]B_U_14!$H$103</definedName>
    <definedName name="bu14total90">[3]B_U_14!$I$95</definedName>
    <definedName name="bu14total90a">[3]B_U_14!$I$103</definedName>
    <definedName name="bu14total91">[3]B_U_14!$J$95</definedName>
    <definedName name="bu14total91a">[3]B_U_14!$J$103</definedName>
    <definedName name="bu14total92">[3]B_U_14!$K$95</definedName>
    <definedName name="bu14total92a">[3]B_U_14!$K$103</definedName>
    <definedName name="bu14total93">[3]B_U_14!$L$95</definedName>
    <definedName name="bu14total93a">[3]B_U_14!$L$103</definedName>
    <definedName name="bu14total94">[3]B_U_14!$M$95</definedName>
    <definedName name="bu14total94a">[3]B_U_14!$M$103</definedName>
    <definedName name="bu14total95">[3]B_U_14!$N$95</definedName>
    <definedName name="bu14total95a">[3]B_U_14!$N$103</definedName>
    <definedName name="bu14total96">[3]B_U_14!$O$95</definedName>
    <definedName name="bu14total96a">[3]B_U_14!$O$103</definedName>
    <definedName name="bu14total97">[3]B_U_14!$P$95</definedName>
    <definedName name="bu14total97a">[3]B_U_14!$P$103</definedName>
    <definedName name="bu14total98">[3]B_U_14!$Q$95</definedName>
    <definedName name="bu14total98a">[3]B_U_14!$Q$103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[3]B_U_15!$C$95</definedName>
    <definedName name="bu15total84a">[3]B_U_15!$C$103</definedName>
    <definedName name="bu15total85">[3]B_U_15!$D$95</definedName>
    <definedName name="bu15total85a">[3]B_U_15!$D$103</definedName>
    <definedName name="bu15total86">[3]B_U_15!$E$95</definedName>
    <definedName name="bu15total86a">[3]B_U_15!$E$103</definedName>
    <definedName name="bu15total87">[3]B_U_15!$F$95</definedName>
    <definedName name="bu15total87a">[3]B_U_15!$F$103</definedName>
    <definedName name="bu15total88">[3]B_U_15!$G$95</definedName>
    <definedName name="bu15total88a">[3]B_U_15!$G$103</definedName>
    <definedName name="bu15total89">[3]B_U_15!$H$95</definedName>
    <definedName name="bu15total89a">[3]B_U_15!$H$103</definedName>
    <definedName name="bu15total90">[3]B_U_15!$I$95</definedName>
    <definedName name="bu15total90a">[3]B_U_15!$I$103</definedName>
    <definedName name="bu15total91">[3]B_U_15!$J$95</definedName>
    <definedName name="bu15total91a">[3]B_U_15!$J$103</definedName>
    <definedName name="bu15total92">[3]B_U_15!$K$95</definedName>
    <definedName name="bu15total92a">[3]B_U_15!$K$103</definedName>
    <definedName name="bu15total93">[3]B_U_15!$L$95</definedName>
    <definedName name="bu15total93a">[3]B_U_15!$L$103</definedName>
    <definedName name="bu15total94">[3]B_U_15!$M$95</definedName>
    <definedName name="bu15total94a">[3]B_U_15!$M$103</definedName>
    <definedName name="bu15total95">[3]B_U_15!$N$95</definedName>
    <definedName name="bu15total95a">[3]B_U_15!$N$103</definedName>
    <definedName name="bu15total96">[3]B_U_15!$O$95</definedName>
    <definedName name="bu15total96a">[3]B_U_15!$O$103</definedName>
    <definedName name="bu15total97">[3]B_U_15!$P$95</definedName>
    <definedName name="bu15total97a">[3]B_U_15!$P$103</definedName>
    <definedName name="bu15total98">[3]B_U_15!$Q$95</definedName>
    <definedName name="bu15total98a">[3]B_U_15!$Q$103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[3]B_U_16!$C$95</definedName>
    <definedName name="bu16total84a">[3]B_U_16!$C$103</definedName>
    <definedName name="bu16total85">[3]B_U_16!$D$95</definedName>
    <definedName name="bu16total85a">[3]B_U_16!$D$103</definedName>
    <definedName name="bu16total86">[3]B_U_16!$E$95</definedName>
    <definedName name="bu16total86a">[3]B_U_16!$E$103</definedName>
    <definedName name="bu16total87">[3]B_U_16!$F$95</definedName>
    <definedName name="bu16total87a">[3]B_U_16!$F$103</definedName>
    <definedName name="bu16total88">[3]B_U_16!$G$95</definedName>
    <definedName name="bu16total88a">[3]B_U_16!$G$103</definedName>
    <definedName name="bu16total89">[3]B_U_16!$H$95</definedName>
    <definedName name="bu16total89a">[3]B_U_16!$H$103</definedName>
    <definedName name="bu16total90">[3]B_U_16!$I$95</definedName>
    <definedName name="bu16total90a">[3]B_U_16!$I$103</definedName>
    <definedName name="bu16total91">[3]B_U_16!$J$95</definedName>
    <definedName name="bu16total91a">[3]B_U_16!$J$103</definedName>
    <definedName name="bu16total92">[3]B_U_16!$K$95</definedName>
    <definedName name="bu16total92a">[3]B_U_16!$K$103</definedName>
    <definedName name="bu16total93">[3]B_U_16!$L$95</definedName>
    <definedName name="bu16total93a">[3]B_U_16!$L$103</definedName>
    <definedName name="bu16total94">[3]B_U_16!$M$95</definedName>
    <definedName name="bu16total94a">[3]B_U_16!$M$103</definedName>
    <definedName name="bu16total95">[3]B_U_16!$N$95</definedName>
    <definedName name="bu16total95a">[3]B_U_16!$N$103</definedName>
    <definedName name="bu16total96">[3]B_U_16!$O$95</definedName>
    <definedName name="bu16total96a">[3]B_U_16!$O$103</definedName>
    <definedName name="bu16total97">[3]B_U_16!$P$95</definedName>
    <definedName name="bu16total97a">[3]B_U_16!$P$103</definedName>
    <definedName name="bu16total98">[3]B_U_16!$Q$95</definedName>
    <definedName name="bu16total98a">[3]B_U_16!$Q$103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[3]B_U_17!$C$95</definedName>
    <definedName name="bu17total84a">[3]B_U_17!$C$103</definedName>
    <definedName name="bu17total85">[3]B_U_17!$D$95</definedName>
    <definedName name="bu17total85a">[3]B_U_17!$D$103</definedName>
    <definedName name="bu17total86">[3]B_U_17!$E$95</definedName>
    <definedName name="bu17total86a">[3]B_U_17!$E$103</definedName>
    <definedName name="bu17total87">[3]B_U_17!$F$95</definedName>
    <definedName name="bu17total87a">[3]B_U_17!$F$103</definedName>
    <definedName name="bu17total88">[3]B_U_17!$G$95</definedName>
    <definedName name="bu17total88a">[3]B_U_17!$G$103</definedName>
    <definedName name="bu17total89">[3]B_U_17!$H$95</definedName>
    <definedName name="bu17total89a">[3]B_U_17!$H$103</definedName>
    <definedName name="bu17total90">[3]B_U_17!$I$95</definedName>
    <definedName name="bu17total90a">[3]B_U_17!$I$103</definedName>
    <definedName name="bu17total91">[3]B_U_17!$J$95</definedName>
    <definedName name="bu17total91a">[3]B_U_17!$J$103</definedName>
    <definedName name="bu17total92">[3]B_U_17!$K$95</definedName>
    <definedName name="bu17total92a">[3]B_U_17!$K$103</definedName>
    <definedName name="bu17total93">[3]B_U_17!$L$95</definedName>
    <definedName name="bu17total93a">[3]B_U_17!$L$103</definedName>
    <definedName name="bu17total94">[3]B_U_17!$M$95</definedName>
    <definedName name="bu17total94a">[3]B_U_17!$M$103</definedName>
    <definedName name="bu17total95">[3]B_U_17!$N$95</definedName>
    <definedName name="bu17total95a">[3]B_U_17!$N$103</definedName>
    <definedName name="bu17total96">[3]B_U_17!$O$95</definedName>
    <definedName name="bu17total96a">[3]B_U_17!$O$103</definedName>
    <definedName name="bu17total97">[3]B_U_17!$P$95</definedName>
    <definedName name="bu17total97a">[3]B_U_17!$P$103</definedName>
    <definedName name="bu17total98">[3]B_U_17!$Q$95</definedName>
    <definedName name="bu17total98a">[3]B_U_17!$Q$103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[3]B_U_18!$C$95</definedName>
    <definedName name="bu18total84a">[3]B_U_18!$C$103</definedName>
    <definedName name="bu18total85">[3]B_U_18!$D$95</definedName>
    <definedName name="bu18total85a">[3]B_U_18!$D$103</definedName>
    <definedName name="bu18total86">[3]B_U_18!$E$95</definedName>
    <definedName name="bu18total86a">[3]B_U_18!$E$103</definedName>
    <definedName name="bu18total87">[3]B_U_18!$F$95</definedName>
    <definedName name="bu18total87a">[3]B_U_18!$F$103</definedName>
    <definedName name="bu18total88">[3]B_U_18!$G$95</definedName>
    <definedName name="bu18total88a">[3]B_U_18!$G$103</definedName>
    <definedName name="bu18total89">[3]B_U_18!$H$95</definedName>
    <definedName name="bu18total89a">[3]B_U_18!$H$103</definedName>
    <definedName name="bu18total90">[3]B_U_18!$I$95</definedName>
    <definedName name="bu18total90a">[3]B_U_18!$I$103</definedName>
    <definedName name="bu18total91">[3]B_U_18!$J$95</definedName>
    <definedName name="bu18total91a">[3]B_U_18!$J$103</definedName>
    <definedName name="bu18total92">[3]B_U_18!$K$95</definedName>
    <definedName name="bu18total92a">[3]B_U_18!$K$103</definedName>
    <definedName name="bu18total93">[3]B_U_18!$L$95</definedName>
    <definedName name="bu18total93a">[3]B_U_18!$L$103</definedName>
    <definedName name="bu18total94">[3]B_U_18!$M$95</definedName>
    <definedName name="bu18total94a">[3]B_U_18!$M$103</definedName>
    <definedName name="bu18total95">[3]B_U_18!$N$95</definedName>
    <definedName name="bu18total95a">[3]B_U_18!$N$103</definedName>
    <definedName name="bu18total96">[3]B_U_18!$O$95</definedName>
    <definedName name="bu18total96a">[3]B_U_18!$O$103</definedName>
    <definedName name="bu18total97">[3]B_U_18!$P$95</definedName>
    <definedName name="bu18total97a">[3]B_U_18!$P$103</definedName>
    <definedName name="bu18total98">[3]B_U_18!$Q$95</definedName>
    <definedName name="bu18total98a">[3]B_U_18!$Q$103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[3]B_U_19!$C$95</definedName>
    <definedName name="bu19total84a">[3]B_U_19!$C$103</definedName>
    <definedName name="bu19total85">[3]B_U_19!$D$95</definedName>
    <definedName name="bu19total85a">[3]B_U_19!$D$103</definedName>
    <definedName name="bu19total86">[3]B_U_19!$E$95</definedName>
    <definedName name="bu19total86a">[3]B_U_19!$E$103</definedName>
    <definedName name="bu19total87">[3]B_U_19!$F$95</definedName>
    <definedName name="bu19total87a">[3]B_U_19!$F$103</definedName>
    <definedName name="bu19total88">[3]B_U_19!$G$95</definedName>
    <definedName name="bu19total88a">[3]B_U_19!$G$103</definedName>
    <definedName name="bu19total89">[3]B_U_19!$H$95</definedName>
    <definedName name="bu19total89a">[3]B_U_19!$H$103</definedName>
    <definedName name="bu19total90">[3]B_U_19!$I$95</definedName>
    <definedName name="bu19total90a">[3]B_U_19!$I$103</definedName>
    <definedName name="bu19total91">[3]B_U_19!$J$95</definedName>
    <definedName name="bu19total91a">[3]B_U_19!$J$103</definedName>
    <definedName name="bu19total92">[3]B_U_19!$K$95</definedName>
    <definedName name="bu19total92a">[3]B_U_19!$K$103</definedName>
    <definedName name="bu19total93">[3]B_U_19!$L$95</definedName>
    <definedName name="bu19total93a">[3]B_U_19!$L$103</definedName>
    <definedName name="bu19total94">[3]B_U_19!$M$95</definedName>
    <definedName name="bu19total94a">[3]B_U_19!$M$103</definedName>
    <definedName name="bu19total95">[3]B_U_19!$N$95</definedName>
    <definedName name="bu19total95a">[3]B_U_19!$N$103</definedName>
    <definedName name="bu19total96">[3]B_U_19!$O$95</definedName>
    <definedName name="bu19total96a">[3]B_U_19!$O$103</definedName>
    <definedName name="bu19total97">[3]B_U_19!$P$95</definedName>
    <definedName name="bu19total97a">[3]B_U_19!$P$103</definedName>
    <definedName name="bu19total98">[3]B_U_19!$Q$95</definedName>
    <definedName name="bu19total98a">[3]B_U_19!$Q$103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'[3]PHASE II'!$C$95</definedName>
    <definedName name="bu1total84a">'[3]PHASE II'!$C$103</definedName>
    <definedName name="bu1total85">'[3]PHASE II'!$D$95</definedName>
    <definedName name="bu1total85a">'[3]PHASE II'!$D$103</definedName>
    <definedName name="bu1total86">'[3]PHASE II'!$E$95</definedName>
    <definedName name="bu1total86a">'[3]PHASE II'!$E$103</definedName>
    <definedName name="bu1total87">'[3]PHASE II'!$F$95</definedName>
    <definedName name="bu1total87a">'[3]PHASE II'!$F$103</definedName>
    <definedName name="bu1total88">'[3]PHASE II'!$G$95</definedName>
    <definedName name="bu1total88a">'[3]PHASE II'!$G$103</definedName>
    <definedName name="bu1total89">'[3]PHASE II'!$H$95</definedName>
    <definedName name="bu1total89a">'[3]PHASE II'!$H$103</definedName>
    <definedName name="bu1total90">'[3]PHASE II'!$I$95</definedName>
    <definedName name="bu1total90a">'[3]PHASE II'!$I$103</definedName>
    <definedName name="bu1total91">'[3]PHASE II'!$K$95</definedName>
    <definedName name="bu1total91a">'[3]PHASE II'!$K$103</definedName>
    <definedName name="bu1total92">'[3]PHASE II'!$M$95</definedName>
    <definedName name="bu1total92a">'[3]PHASE II'!$M$103</definedName>
    <definedName name="bu1total93">'[3]PHASE II'!$O$95</definedName>
    <definedName name="bu1total93a">'[3]PHASE II'!$O$103</definedName>
    <definedName name="bu1total94">'[3]PHASE II'!$Q$95</definedName>
    <definedName name="bu1total94a">'[3]PHASE II'!$Q$103</definedName>
    <definedName name="bu1total95">'[3]PHASE II'!$S$95</definedName>
    <definedName name="bu1total95a">'[3]PHASE II'!$S$103</definedName>
    <definedName name="bu1total96">'[3]PHASE II'!$T$95</definedName>
    <definedName name="bu1total96a">'[3]PHASE II'!$T$103</definedName>
    <definedName name="bu1total97">'[3]PHASE II'!$U$95</definedName>
    <definedName name="bu1total97a">'[3]PHASE II'!$U$103</definedName>
    <definedName name="bu1total98">'[3]PHASE II'!$W$95</definedName>
    <definedName name="bu1total98a">'[3]PHASE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[3]B_U_20!$C$95</definedName>
    <definedName name="bu20total84a">[3]B_U_20!$C$103</definedName>
    <definedName name="bu20total85">[3]B_U_20!$D$95</definedName>
    <definedName name="bu20total85a">[3]B_U_20!$D$103</definedName>
    <definedName name="bu20total86">[3]B_U_20!$E$95</definedName>
    <definedName name="bu20total86a">[3]B_U_20!$E$103</definedName>
    <definedName name="bu20total87">[3]B_U_20!$F$95</definedName>
    <definedName name="bu20total87a">[3]B_U_20!$F$103</definedName>
    <definedName name="bu20total88">[3]B_U_20!$G$95</definedName>
    <definedName name="bu20total88a">[3]B_U_20!$G$103</definedName>
    <definedName name="bu20total89">[3]B_U_20!$H$95</definedName>
    <definedName name="bu20total89a">[3]B_U_20!$H$103</definedName>
    <definedName name="bu20total90">[3]B_U_20!$I$95</definedName>
    <definedName name="bu20total90a">[3]B_U_20!$I$103</definedName>
    <definedName name="bu20total91">[3]B_U_20!$J$95</definedName>
    <definedName name="bu20total91a">[3]B_U_20!$J$103</definedName>
    <definedName name="bu20total92">[3]B_U_20!$K$95</definedName>
    <definedName name="bu20total92a">[3]B_U_20!$K$103</definedName>
    <definedName name="bu20total93">[3]B_U_20!$L$95</definedName>
    <definedName name="bu20total93a">[3]B_U_20!$L$103</definedName>
    <definedName name="bu20total94">[3]B_U_20!$M$95</definedName>
    <definedName name="bu20total94a">[3]B_U_20!$M$103</definedName>
    <definedName name="bu20total95">[3]B_U_20!$N$95</definedName>
    <definedName name="bu20total95a">[3]B_U_20!$N$103</definedName>
    <definedName name="bu20total96">[3]B_U_20!$O$95</definedName>
    <definedName name="bu20total96a">[3]B_U_20!$O$103</definedName>
    <definedName name="bu20total97">[3]B_U_20!$P$95</definedName>
    <definedName name="bu20total97a">[3]B_U_20!$P$103</definedName>
    <definedName name="bu20total98">[3]B_U_20!$Q$95</definedName>
    <definedName name="bu20total98a">[3]B_U_20!$Q$103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[3]B_U_21!$C$95</definedName>
    <definedName name="bu21total84a">[3]B_U_21!$C$103</definedName>
    <definedName name="bu21total85">[3]B_U_21!$D$95</definedName>
    <definedName name="bu21total85a">[3]B_U_21!$D$103</definedName>
    <definedName name="bu21total86">[3]B_U_21!$E$95</definedName>
    <definedName name="bu21total86a">[3]B_U_21!$E$103</definedName>
    <definedName name="bu21total87">[3]B_U_21!$F$95</definedName>
    <definedName name="bu21total87a">[3]B_U_21!$F$103</definedName>
    <definedName name="bu21total88">[3]B_U_21!$G$95</definedName>
    <definedName name="bu21total88a">[3]B_U_21!$G$103</definedName>
    <definedName name="bu21total89">[3]B_U_21!$H$95</definedName>
    <definedName name="bu21total89a">[3]B_U_21!$H$103</definedName>
    <definedName name="bu21total90">[3]B_U_21!$I$95</definedName>
    <definedName name="bu21total90a">[3]B_U_21!$I$103</definedName>
    <definedName name="bu21total91">[3]B_U_21!$J$95</definedName>
    <definedName name="bu21total91a">[3]B_U_21!$J$103</definedName>
    <definedName name="bu21total92">[3]B_U_21!$K$95</definedName>
    <definedName name="bu21total92a">[3]B_U_21!$K$103</definedName>
    <definedName name="bu21total93">[3]B_U_21!$L$95</definedName>
    <definedName name="bu21total93a">[3]B_U_21!$L$103</definedName>
    <definedName name="bu21total94">[3]B_U_21!$M$95</definedName>
    <definedName name="bu21total94a">[3]B_U_21!$M$103</definedName>
    <definedName name="bu21total95">[3]B_U_21!$N$95</definedName>
    <definedName name="bu21total95a">[3]B_U_21!$N$103</definedName>
    <definedName name="bu21total96">[3]B_U_21!$O$95</definedName>
    <definedName name="bu21total96a">[3]B_U_21!$O$103</definedName>
    <definedName name="bu21total97">[3]B_U_21!$P$95</definedName>
    <definedName name="bu21total97a">[3]B_U_21!$P$103</definedName>
    <definedName name="bu21total98">[3]B_U_21!$Q$95</definedName>
    <definedName name="bu21total98a">[3]B_U_21!$Q$103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[3]B_U_22!$C$95</definedName>
    <definedName name="bu22total84a">[3]B_U_22!$C$103</definedName>
    <definedName name="bu22total85">[3]B_U_22!$D$95</definedName>
    <definedName name="bu22total85a">[3]B_U_22!$D$103</definedName>
    <definedName name="bu22total86">[3]B_U_22!$E$95</definedName>
    <definedName name="bu22total86a">[3]B_U_22!$E$103</definedName>
    <definedName name="bu22total87">[3]B_U_22!$F$95</definedName>
    <definedName name="bu22total87a">[3]B_U_22!$F$103</definedName>
    <definedName name="bu22total88">[3]B_U_22!$G$95</definedName>
    <definedName name="bu22total88a">[3]B_U_22!$G$103</definedName>
    <definedName name="bu22total89">[3]B_U_22!$H$95</definedName>
    <definedName name="bu22total89a">[3]B_U_22!$H$103</definedName>
    <definedName name="bu22total90">[3]B_U_22!$I$95</definedName>
    <definedName name="bu22total90a">[3]B_U_22!$I$103</definedName>
    <definedName name="bu22total91">[3]B_U_22!$J$95</definedName>
    <definedName name="bu22total91a">[3]B_U_22!$J$103</definedName>
    <definedName name="bu22total92">[3]B_U_22!$K$95</definedName>
    <definedName name="bu22total92a">[3]B_U_22!$K$103</definedName>
    <definedName name="bu22total93">[3]B_U_22!$L$95</definedName>
    <definedName name="bu22total93a">[3]B_U_22!$L$103</definedName>
    <definedName name="bu22total94">[3]B_U_22!$M$95</definedName>
    <definedName name="bu22total94a">[3]B_U_22!$M$103</definedName>
    <definedName name="bu22total95">[3]B_U_22!$N$95</definedName>
    <definedName name="bu22total95a">[3]B_U_22!$N$103</definedName>
    <definedName name="bu22total96">[3]B_U_22!$O$95</definedName>
    <definedName name="bu22total96a">[3]B_U_22!$O$103</definedName>
    <definedName name="bu22total97">[3]B_U_22!$P$95</definedName>
    <definedName name="bu22total97a">[3]B_U_22!$P$103</definedName>
    <definedName name="bu22total98">[3]B_U_22!$Q$95</definedName>
    <definedName name="bu22total98a">[3]B_U_22!$Q$103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[3]B_U_23!$C$95</definedName>
    <definedName name="bu23total84a">[3]B_U_23!$C$103</definedName>
    <definedName name="bu23total85">[3]B_U_23!$D$95</definedName>
    <definedName name="bu23total85a">[3]B_U_23!$D$103</definedName>
    <definedName name="bu23total86">[3]B_U_23!$E$95</definedName>
    <definedName name="bu23total86a">[3]B_U_23!$E$103</definedName>
    <definedName name="bu23total87">[3]B_U_23!$F$95</definedName>
    <definedName name="bu23total87a">[3]B_U_23!$F$103</definedName>
    <definedName name="bu23total88">[3]B_U_23!$G$95</definedName>
    <definedName name="bu23total88a">[3]B_U_23!$G$103</definedName>
    <definedName name="bu23total89">[3]B_U_23!$H$95</definedName>
    <definedName name="bu23total89a">[3]B_U_23!$H$103</definedName>
    <definedName name="bu23total90">[3]B_U_23!$I$95</definedName>
    <definedName name="bu23total90a">[3]B_U_23!$I$103</definedName>
    <definedName name="bu23total91">[3]B_U_23!$J$95</definedName>
    <definedName name="bu23total91a">[3]B_U_23!$J$103</definedName>
    <definedName name="bu23total92">[3]B_U_23!$K$95</definedName>
    <definedName name="bu23total92a">[3]B_U_23!$K$103</definedName>
    <definedName name="bu23total93">[3]B_U_23!$L$95</definedName>
    <definedName name="bu23total93a">[3]B_U_23!$L$103</definedName>
    <definedName name="bu23total94">[3]B_U_23!$M$95</definedName>
    <definedName name="bu23total94a">[3]B_U_23!$M$103</definedName>
    <definedName name="bu23total95">[3]B_U_23!$N$95</definedName>
    <definedName name="bu23total95a">[3]B_U_23!$N$103</definedName>
    <definedName name="bu23total96">[3]B_U_23!$O$95</definedName>
    <definedName name="bu23total96a">[3]B_U_23!$O$103</definedName>
    <definedName name="bu23total97">[3]B_U_23!$P$95</definedName>
    <definedName name="bu23total97a">[3]B_U_23!$P$103</definedName>
    <definedName name="bu23total98">[3]B_U_23!$Q$95</definedName>
    <definedName name="bu23total98a">[3]B_U_23!$Q$103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'[3]ORIGINAL CLAIM'!$C$95</definedName>
    <definedName name="bu2total84a">'[3]ORIGINAL CLAIM'!$C$103</definedName>
    <definedName name="bu2total85">'[3]ORIGINAL CLAIM'!$D$95</definedName>
    <definedName name="bu2total85a">'[3]ORIGINAL CLAIM'!$D$103</definedName>
    <definedName name="bu2total86">'[3]ORIGINAL CLAIM'!$E$95</definedName>
    <definedName name="bu2total86a">'[3]ORIGINAL CLAIM'!$E$103</definedName>
    <definedName name="bu2total87">'[3]ORIGINAL CLAIM'!$F$95</definedName>
    <definedName name="bu2total87a">'[3]ORIGINAL CLAIM'!$F$103</definedName>
    <definedName name="bu2total88">'[3]ORIGINAL CLAIM'!$G$95</definedName>
    <definedName name="bu2total88a">'[3]ORIGINAL CLAIM'!$G$103</definedName>
    <definedName name="bu2total89">'[3]ORIGINAL CLAIM'!$H$95</definedName>
    <definedName name="bu2total89a">'[3]ORIGINAL CLAIM'!$H$103</definedName>
    <definedName name="bu2total90">'[3]ORIGINAL CLAIM'!$I$95</definedName>
    <definedName name="bu2total90a">'[3]ORIGINAL CLAIM'!$I$103</definedName>
    <definedName name="bu2total91">'[3]ORIGINAL CLAIM'!$J$95</definedName>
    <definedName name="bu2total91a">'[3]ORIGINAL CLAIM'!$J$103</definedName>
    <definedName name="bu2total92">'[3]ORIGINAL CLAIM'!$K$95</definedName>
    <definedName name="bu2total92a">'[3]ORIGINAL CLAIM'!$K$103</definedName>
    <definedName name="bu2total93">'[3]ORIGINAL CLAIM'!$L$95</definedName>
    <definedName name="bu2total93a">'[3]ORIGINAL CLAIM'!$L$103</definedName>
    <definedName name="bu2total94">'[3]ORIGINAL CLAIM'!$M$95</definedName>
    <definedName name="bu2total94a">'[3]ORIGINAL CLAIM'!$M$103</definedName>
    <definedName name="bu2total95">'[3]ORIGINAL CLAIM'!$N$95</definedName>
    <definedName name="bu2total95a">'[3]ORIGINAL CLAIM'!$N$103</definedName>
    <definedName name="bu2total96">'[3]ORIGINAL CLAIM'!$O$95</definedName>
    <definedName name="bu2total96a">'[3]ORIGINAL CLAIM'!$O$103</definedName>
    <definedName name="bu2total97">'[3]ORIGINAL CLAIM'!$P$95</definedName>
    <definedName name="bu2total97a">'[3]ORIGINAL CLAIM'!$P$103</definedName>
    <definedName name="bu2total98">'[3]ORIGINAL CLAIM'!$Q$95</definedName>
    <definedName name="bu2total98a">'[3]ORIGINAL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[3]B_U_3!$C$95</definedName>
    <definedName name="bu3total84a">[3]B_U_3!$C$103</definedName>
    <definedName name="bu3total85">[3]B_U_3!$D$95</definedName>
    <definedName name="bu3total85a">[3]B_U_3!$D$103</definedName>
    <definedName name="bu3total86">[3]B_U_3!$E$95</definedName>
    <definedName name="bu3total86a">[3]B_U_3!$E$103</definedName>
    <definedName name="bu3total87">[3]B_U_3!$F$95</definedName>
    <definedName name="bu3total87a">[3]B_U_3!$F$103</definedName>
    <definedName name="bu3total88">[3]B_U_3!$G$95</definedName>
    <definedName name="bu3total88a">[3]B_U_3!$G$103</definedName>
    <definedName name="bu3total89">[3]B_U_3!$H$95</definedName>
    <definedName name="bu3total89a">[3]B_U_3!$H$103</definedName>
    <definedName name="bu3total90">[3]B_U_3!$I$95</definedName>
    <definedName name="bu3total90a">[3]B_U_3!$I$103</definedName>
    <definedName name="bu3total91">[3]B_U_3!$J$95</definedName>
    <definedName name="bu3total91a">[3]B_U_3!$J$103</definedName>
    <definedName name="bu3total92">[3]B_U_3!$K$95</definedName>
    <definedName name="bu3total92a">[3]B_U_3!$K$103</definedName>
    <definedName name="bu3total93">[3]B_U_3!$L$95</definedName>
    <definedName name="bu3total93a">[3]B_U_3!$L$103</definedName>
    <definedName name="bu3total94">[3]B_U_3!$M$95</definedName>
    <definedName name="bu3total94a">[3]B_U_3!$M$103</definedName>
    <definedName name="bu3total95">[3]B_U_3!$N$95</definedName>
    <definedName name="bu3total95a">[3]B_U_3!$N$103</definedName>
    <definedName name="bu3total96">[3]B_U_3!$O$95</definedName>
    <definedName name="bu3total96a">[3]B_U_3!$O$103</definedName>
    <definedName name="bu3total97">[3]B_U_3!$P$95</definedName>
    <definedName name="bu3total97a">[3]B_U_3!$P$103</definedName>
    <definedName name="bu3total98">[3]B_U_3!$Q$95</definedName>
    <definedName name="bu3total98a">[3]B_U_3!$Q$103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[3]B_U_4!$C$95</definedName>
    <definedName name="bu4total84a">[3]B_U_4!$C$103</definedName>
    <definedName name="bu4total85">[3]B_U_4!$D$95</definedName>
    <definedName name="bu4total85a">[3]B_U_4!$D$103</definedName>
    <definedName name="bu4total86">[3]B_U_4!$E$95</definedName>
    <definedName name="bu4total86a">[3]B_U_4!$E$103</definedName>
    <definedName name="bu4total87">[3]B_U_4!$F$95</definedName>
    <definedName name="bu4total87a">[3]B_U_4!$F$103</definedName>
    <definedName name="bu4total88">[3]B_U_4!$G$95</definedName>
    <definedName name="bu4total88a">[3]B_U_4!$G$103</definedName>
    <definedName name="bu4total89">[3]B_U_4!$H$95</definedName>
    <definedName name="bu4total89a">[3]B_U_4!$H$103</definedName>
    <definedName name="bu4total90">[3]B_U_4!$I$95</definedName>
    <definedName name="bu4total90a">[3]B_U_4!$I$103</definedName>
    <definedName name="bu4total91">[3]B_U_4!$J$95</definedName>
    <definedName name="bu4total91a">[3]B_U_4!$J$103</definedName>
    <definedName name="bu4total92">[3]B_U_4!$K$95</definedName>
    <definedName name="bu4total92a">[3]B_U_4!$K$103</definedName>
    <definedName name="bu4total93">[3]B_U_4!$L$95</definedName>
    <definedName name="bu4total93a">[3]B_U_4!$L$103</definedName>
    <definedName name="bu4total94">[3]B_U_4!$M$95</definedName>
    <definedName name="bu4total94a">[3]B_U_4!$M$103</definedName>
    <definedName name="bu4total95">[3]B_U_4!$N$95</definedName>
    <definedName name="bu4total95a">[3]B_U_4!$N$103</definedName>
    <definedName name="bu4total96">[3]B_U_4!$O$95</definedName>
    <definedName name="bu4total96a">[3]B_U_4!$O$103</definedName>
    <definedName name="bu4total97">[3]B_U_4!$P$95</definedName>
    <definedName name="bu4total97a">[3]B_U_4!$P$103</definedName>
    <definedName name="bu4total98">[3]B_U_4!$Q$95</definedName>
    <definedName name="bu4total98a">[3]B_U_4!$Q$103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[3]B_U_5!$C$95</definedName>
    <definedName name="bu5total84a">[3]B_U_5!$C$103</definedName>
    <definedName name="bu5total85">[3]B_U_5!$D$95</definedName>
    <definedName name="bu5total85a">[3]B_U_5!$D$103</definedName>
    <definedName name="bu5total86">[3]B_U_5!$E$95</definedName>
    <definedName name="bu5total86a">[3]B_U_5!$E$103</definedName>
    <definedName name="bu5total87">[3]B_U_5!$F$95</definedName>
    <definedName name="bu5total87a">[3]B_U_5!$F$103</definedName>
    <definedName name="bu5total88">[3]B_U_5!$G$95</definedName>
    <definedName name="bu5total88a">[3]B_U_5!$G$103</definedName>
    <definedName name="bu5total89">[3]B_U_5!$H$95</definedName>
    <definedName name="bu5total89a">[3]B_U_5!$H$103</definedName>
    <definedName name="bu5total90">[3]B_U_5!$I$95</definedName>
    <definedName name="bu5total90a">[3]B_U_5!$I$103</definedName>
    <definedName name="bu5total91">[3]B_U_5!$J$95</definedName>
    <definedName name="bu5total91a">[3]B_U_5!$J$103</definedName>
    <definedName name="bu5total92">[3]B_U_5!$K$95</definedName>
    <definedName name="bu5total92a">[3]B_U_5!$K$103</definedName>
    <definedName name="bu5total93">[3]B_U_5!$L$95</definedName>
    <definedName name="bu5total93a">[3]B_U_5!$L$103</definedName>
    <definedName name="bu5total94">[3]B_U_5!$M$95</definedName>
    <definedName name="bu5total94a">[3]B_U_5!$M$103</definedName>
    <definedName name="bu5total95">[3]B_U_5!$N$95</definedName>
    <definedName name="bu5total95a">[3]B_U_5!$N$103</definedName>
    <definedName name="bu5total96">[3]B_U_5!$O$95</definedName>
    <definedName name="bu5total96a">[3]B_U_5!$O$103</definedName>
    <definedName name="bu5total97">[3]B_U_5!$P$95</definedName>
    <definedName name="bu5total97a">[3]B_U_5!$P$103</definedName>
    <definedName name="bu5total98">[3]B_U_5!$Q$95</definedName>
    <definedName name="bu5total98a">[3]B_U_5!$Q$103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[3]B_U_6!$C$94</definedName>
    <definedName name="bu6total84a">[3]B_U_6!$C$103</definedName>
    <definedName name="bu6total85">[3]B_U_6!$D$94</definedName>
    <definedName name="bu6total85a">[3]B_U_6!$D$103</definedName>
    <definedName name="bu6total86">[3]B_U_6!$E$94</definedName>
    <definedName name="bu6total86a">[3]B_U_6!$E$103</definedName>
    <definedName name="bu6total87">[3]B_U_6!$F$94</definedName>
    <definedName name="bu6total87a">[3]B_U_6!$F$103</definedName>
    <definedName name="bu6total88">[3]B_U_6!$G$94</definedName>
    <definedName name="bu6total88a">[3]B_U_6!$G$103</definedName>
    <definedName name="bu6total89">[3]B_U_6!$H$94</definedName>
    <definedName name="bu6total89a">[3]B_U_6!$H$103</definedName>
    <definedName name="bu6total90">[3]B_U_6!$I$94</definedName>
    <definedName name="bu6total90a">[3]B_U_6!$I$103</definedName>
    <definedName name="bu6total91">[3]B_U_6!$J$94</definedName>
    <definedName name="bu6total91a">[3]B_U_6!$J$103</definedName>
    <definedName name="bu6total92">[3]B_U_6!$K$94</definedName>
    <definedName name="bu6total92a">[3]B_U_6!$K$103</definedName>
    <definedName name="bu6total93">[3]B_U_6!$L$94</definedName>
    <definedName name="bu6total93a">[3]B_U_6!$L$103</definedName>
    <definedName name="bu6total94">[3]B_U_6!$M$94</definedName>
    <definedName name="bu6total94a">[3]B_U_6!$M$103</definedName>
    <definedName name="bu6total95">[3]B_U_6!$N$94</definedName>
    <definedName name="bu6total95a">[3]B_U_6!$N$103</definedName>
    <definedName name="bu6total96">[3]B_U_6!$O$94</definedName>
    <definedName name="bu6total96a">[3]B_U_6!$O$103</definedName>
    <definedName name="bu6total97">[3]B_U_6!$P$94</definedName>
    <definedName name="bu6total97a">[3]B_U_6!$P$103</definedName>
    <definedName name="bu6total98">[3]B_U_6!$Q$94</definedName>
    <definedName name="bu6total98a">[3]B_U_6!$Q$103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[3]B_U_7!$C$95</definedName>
    <definedName name="bu7total84a">[3]B_U_7!$C$103</definedName>
    <definedName name="bu7total85">[3]B_U_7!$D$95</definedName>
    <definedName name="bu7total85a">[3]B_U_7!$D$103</definedName>
    <definedName name="bu7total86">[3]B_U_7!$E$95</definedName>
    <definedName name="bu7total86a">[3]B_U_7!$E$103</definedName>
    <definedName name="bu7total87">[3]B_U_7!$F$95</definedName>
    <definedName name="bu7total87a">[3]B_U_7!$F$103</definedName>
    <definedName name="bu7total88">[3]B_U_7!$G$95</definedName>
    <definedName name="bu7total88a">[3]B_U_7!$G$103</definedName>
    <definedName name="bu7total89">[3]B_U_7!$H$95</definedName>
    <definedName name="bu7total89a">[3]B_U_7!$H$103</definedName>
    <definedName name="bu7total90">[3]B_U_7!$I$95</definedName>
    <definedName name="bu7total90a">[3]B_U_7!$I$103</definedName>
    <definedName name="bu7total91">[3]B_U_7!$J$95</definedName>
    <definedName name="bu7total91a">[3]B_U_7!$J$103</definedName>
    <definedName name="bu7total92">[3]B_U_7!$K$95</definedName>
    <definedName name="bu7total92a">[3]B_U_7!$K$103</definedName>
    <definedName name="bu7total93">[3]B_U_7!$L$95</definedName>
    <definedName name="bu7total93a">[3]B_U_7!$L$103</definedName>
    <definedName name="bu7total94">[3]B_U_7!$M$95</definedName>
    <definedName name="bu7total94a">[3]B_U_7!$M$103</definedName>
    <definedName name="bu7total95">[3]B_U_7!$N$95</definedName>
    <definedName name="bu7total95a">[3]B_U_7!$N$103</definedName>
    <definedName name="bu7total96">[3]B_U_7!$O$95</definedName>
    <definedName name="bu7total96a">[3]B_U_7!$O$103</definedName>
    <definedName name="bu7total97">[3]B_U_7!$P$95</definedName>
    <definedName name="bu7total97a">[3]B_U_7!$P$103</definedName>
    <definedName name="bu7total98">[3]B_U_7!$Q$95</definedName>
    <definedName name="bu7total98a">[3]B_U_7!$Q$103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[3]B_U_8!$C$94</definedName>
    <definedName name="bu8total84a">[3]B_U_8!$C$103</definedName>
    <definedName name="bu8total85">[3]B_U_8!$D$94</definedName>
    <definedName name="bu8total85a">[3]B_U_8!$D$103</definedName>
    <definedName name="bu8total86">[3]B_U_8!$E$94</definedName>
    <definedName name="bu8total86a">[3]B_U_8!$E$103</definedName>
    <definedName name="bu8total87">[3]B_U_8!$F$94</definedName>
    <definedName name="bu8total87a">[3]B_U_8!$F$103</definedName>
    <definedName name="bu8total88">[3]B_U_8!$G$94</definedName>
    <definedName name="bu8total88a">[3]B_U_8!$G$103</definedName>
    <definedName name="bu8total89">[3]B_U_8!$H$94</definedName>
    <definedName name="bu8total89a">[3]B_U_8!$H$103</definedName>
    <definedName name="bu8total90">[3]B_U_8!$I$94</definedName>
    <definedName name="bu8total90a">[3]B_U_8!$I$103</definedName>
    <definedName name="bu8total91">[3]B_U_8!$J$94</definedName>
    <definedName name="bu8total91a">[3]B_U_8!$J$103</definedName>
    <definedName name="bu8total92">[3]B_U_8!$K$94</definedName>
    <definedName name="bu8total92a">[3]B_U_8!$K$103</definedName>
    <definedName name="bu8total93">[3]B_U_8!$L$94</definedName>
    <definedName name="bu8total93a">[3]B_U_8!$L$103</definedName>
    <definedName name="bu8total94">[3]B_U_8!$M$94</definedName>
    <definedName name="bu8total94a">[3]B_U_8!$M$103</definedName>
    <definedName name="bu8total95">[3]B_U_8!$N$94</definedName>
    <definedName name="bu8total95a">[3]B_U_8!$N$103</definedName>
    <definedName name="bu8total96">[3]B_U_8!$O$94</definedName>
    <definedName name="bu8total96a">[3]B_U_8!$O$103</definedName>
    <definedName name="bu8total97">[3]B_U_8!$P$94</definedName>
    <definedName name="bu8total97a">[3]B_U_8!$P$103</definedName>
    <definedName name="bu8total98">[3]B_U_8!$Q$94</definedName>
    <definedName name="bu8total98a">[3]B_U_8!$Q$103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[3]B_U_9!$C$95</definedName>
    <definedName name="bu9total84a">[3]B_U_9!$C$103</definedName>
    <definedName name="bu9total85">[3]B_U_9!$D$95</definedName>
    <definedName name="bu9total85a">[3]B_U_9!$D$103</definedName>
    <definedName name="bu9total86">[3]B_U_9!$E$95</definedName>
    <definedName name="bu9total86a">[3]B_U_9!$E$103</definedName>
    <definedName name="bu9total87">[3]B_U_9!$F$95</definedName>
    <definedName name="bu9total87a">[3]B_U_9!$F$103</definedName>
    <definedName name="bu9total88">[3]B_U_9!$G$95</definedName>
    <definedName name="bu9total88a">[3]B_U_9!$G$103</definedName>
    <definedName name="bu9total89">[3]B_U_9!$H$95</definedName>
    <definedName name="bu9total89a">[3]B_U_9!$H$103</definedName>
    <definedName name="bu9total90">[3]B_U_9!$I$95</definedName>
    <definedName name="bu9total90a">[3]B_U_9!$I$103</definedName>
    <definedName name="bu9total91">[3]B_U_9!$J$95</definedName>
    <definedName name="bu9total91a">[3]B_U_9!$J$103</definedName>
    <definedName name="bu9total92">[3]B_U_9!$K$95</definedName>
    <definedName name="bu9total92a">[3]B_U_9!$K$103</definedName>
    <definedName name="bu9total93">[3]B_U_9!$L$95</definedName>
    <definedName name="bu9total93a">[3]B_U_9!$L$103</definedName>
    <definedName name="bu9total94">[3]B_U_9!$M$95</definedName>
    <definedName name="bu9total94a">[3]B_U_9!$M$103</definedName>
    <definedName name="bu9total95">[3]B_U_9!$N$95</definedName>
    <definedName name="bu9total95a">[3]B_U_9!$N$103</definedName>
    <definedName name="bu9total96">[3]B_U_9!$O$95</definedName>
    <definedName name="bu9total96a">[3]B_U_9!$O$103</definedName>
    <definedName name="bu9total97">[3]B_U_9!$P$95</definedName>
    <definedName name="bu9total97a">[3]B_U_9!$P$103</definedName>
    <definedName name="bu9total98">[3]B_U_9!$Q$95</definedName>
    <definedName name="bu9total98a">[3]B_U_9!$Q$103</definedName>
    <definedName name="bu9total99">#REF!</definedName>
    <definedName name="bu9total99a">#REF!</definedName>
    <definedName name="budget">#REF!</definedName>
    <definedName name="BUN">#REF!</definedName>
    <definedName name="CALCULATION">#REF!</definedName>
    <definedName name="can" hidden="1">{#N/A,#N/A,FALSE,"O&amp;M by processes";#N/A,#N/A,FALSE,"Elec Act vs Bud";#N/A,#N/A,FALSE,"G&amp;A";#N/A,#N/A,FALSE,"BGS";#N/A,#N/A,FALSE,"Res Cost"}</definedName>
    <definedName name="cap_interest">'[26]Input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T">#REF!</definedName>
    <definedName name="cc1end">[3]Model!$A$68:$IV$68</definedName>
    <definedName name="cc1subrange">[3]Model!$A$48:$IV$75</definedName>
    <definedName name="cc2origin">[3]Model!$A$76</definedName>
    <definedName name="cc2subrange">[3]Model!$A$124:$IV$146</definedName>
    <definedName name="cc3subrange">[3]Model!$A$152:$IV$179</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'[30]JFJ-4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rtContract">'[3]QRE Charts'!$C$274:$R$297</definedName>
    <definedName name="chrtSensitivity">'[3]QRE Charts'!$D$372:$O$375</definedName>
    <definedName name="chrtSensWages">'[3]Sens_QRE''s'!$C$118:$R$141</definedName>
    <definedName name="chrtSupplies">'[3]QRE Charts'!$C$248:$R$271</definedName>
    <definedName name="chrtTax">'[3]QRE Charts'!$C$327:$E$342</definedName>
    <definedName name="chrtTotalByCo">'[3]QRE Charts'!$C$300:$R$323</definedName>
    <definedName name="chrtTotalByType">'[3]QRE Charts'!$C$216:$R$219</definedName>
    <definedName name="chrtWages">'[3]QRE Charts'!$C$222:$R$245</definedName>
    <definedName name="CIPS_IL_EZ_parcels">#REF!</definedName>
    <definedName name="Citizens_Gas">#REF!</definedName>
    <definedName name="Citizens_Gas_YR_2005">'[25]Aday IS EG Subs'!#REF!</definedName>
    <definedName name="Citizens_Gas_YR_2006">'[25]Aday IS EG Subs'!#REF!</definedName>
    <definedName name="Citizens_Gas_YR_2007">'[25]Aday IS EG Subs'!#REF!</definedName>
    <definedName name="Citizens_Gas_YR_2008">'[25]Aday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eanup" hidden="1">{#N/A,#N/A,TRUE,"TAXPROV";#N/A,#N/A,TRUE,"FLOWTHRU";#N/A,#N/A,TRUE,"SCHEDULE M'S";#N/A,#N/A,TRUE,"PLANT M'S";#N/A,#N/A,TRUE,"TAXJE"}</definedName>
    <definedName name="CMARCS">#REF!</definedName>
    <definedName name="Coal_Bed_Methane_E_P">#REF!</definedName>
    <definedName name="Coal_Bed_Methane_Yates_Center">#REF!</definedName>
    <definedName name="Coal_Bed_Methane_Yates_Center_YR_2005">'[25]Aday IS EG Subs'!#REF!</definedName>
    <definedName name="Coal_Bed_Methane_Yates_Center_YR_2006">'[25]Aday IS EG Subs'!#REF!</definedName>
    <definedName name="Coal_Bed_Methane_Yates_Center_YR_2007">'[25]Aday IS EG Subs'!#REF!</definedName>
    <definedName name="Coal_Bed_Methane_Yates_Center_YR_2008">'[25]Aday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'[26]Input Page'!#REF!</definedName>
    <definedName name="coal_purchase">'[26]Input Page'!#REF!</definedName>
    <definedName name="coal_sampling">'[26]Input Page'!#REF!</definedName>
    <definedName name="Coal_Services">#REF!</definedName>
    <definedName name="Coal_Services_YR_2005">'[25]Aday IS DECo &amp; Other'!#REF!</definedName>
    <definedName name="Coal_Services_YR_2006">'[25]Aday IS DECo &amp; Other'!#REF!</definedName>
    <definedName name="Coal_Services_YR_2007">'[25]Aday IS DECo &amp; Other'!#REF!</definedName>
    <definedName name="Coal_Services_YR_2008">'[25]Aday IS DECo &amp; Other'!#REF!</definedName>
    <definedName name="Code">'[31]Array Tables'!$B$4:$B$236</definedName>
    <definedName name="CoEnergy___Purch_Acct_Sub_Total">#REF!</definedName>
    <definedName name="CoEnergy___Purch_Acct_Sub_Total_YR_2005">'[25]Aday IS DECo &amp; Other'!#REF!</definedName>
    <definedName name="CoEnergy___Purch_Acct_Sub_Total_YR_2006">'[25]Aday IS DECo &amp; Other'!#REF!</definedName>
    <definedName name="CoEnergy___Purch_Acct_Sub_Total_YR_2007">'[25]Aday IS DECo &amp; Other'!#REF!</definedName>
    <definedName name="CoEnergy___Purch_Acct_Sub_Total_YR_2008">'[25]Aday IS DECo &amp; Other'!#REF!</definedName>
    <definedName name="CoEnergy_Trading">#REF!</definedName>
    <definedName name="CoEnergy_Trading_YR_2005">'[25]Aday IS DECo &amp; Other'!#REF!</definedName>
    <definedName name="CoEnergy_Trading_YR_2006">'[25]Aday IS DECo &amp; Other'!#REF!</definedName>
    <definedName name="CoEnergy_Trading_YR_2007">'[25]Aday IS DECo &amp; Other'!#REF!</definedName>
    <definedName name="CoEnergy_Trading_YR_2008">'[25]Aday IS DECo &amp; Other'!#REF!</definedName>
    <definedName name="COGEN">'[32]October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any_Name">[3]Menu!$I$11</definedName>
    <definedName name="CompanyCount">'[3]QRE Charts'!$F$214</definedName>
    <definedName name="COMPAR_PRT_RNG">[3]Comparison!$B$8:$BT$170</definedName>
    <definedName name="compInc">[33]Inputs!$B$4</definedName>
    <definedName name="CONSOLDEFTAXBAL">#REF!</definedName>
    <definedName name="CONSOLDEFTAXSUM">#REF!</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'[34]2004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'[25]Aday IS DECo &amp; Other'!#REF!</definedName>
    <definedName name="Corporate_Purch_Acct_YR_2006">'[25]Aday IS DECo &amp; Other'!#REF!</definedName>
    <definedName name="Corporate_Purch_Acct_YR_2007">'[25]Aday IS DECo &amp; Other'!#REF!</definedName>
    <definedName name="Corporate_Purch_Acct_YR_2008">'[25]Aday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[13]DEPR96!#REF!</definedName>
    <definedName name="Cost_Center">'[31]Array Tables'!$A$4:$A$236</definedName>
    <definedName name="cost_of_good_sold">'[26]Input Page'!$E$11</definedName>
    <definedName name="Cost_of_Goods_Sold">#REF!</definedName>
    <definedName name="Cost_of_Goods_Sold_CPM">#REF!</definedName>
    <definedName name="cost2001">[35]Input!$M$23</definedName>
    <definedName name="COUNTER">'[3]Macro Tables'!$C$21</definedName>
    <definedName name="cover">#REF!</definedName>
    <definedName name="CPM">#REF!</definedName>
    <definedName name="credit_rate">[3]Print!$I$18</definedName>
    <definedName name="creditsummary">[3]Model!$A$180:$E$201</definedName>
    <definedName name="cropdeftaxbalance">#REF!</definedName>
    <definedName name="CROPTAXPROV">#REF!</definedName>
    <definedName name="CSH">#REF!</definedName>
    <definedName name="CSHBCK">#REF!</definedName>
    <definedName name="CSHP">#REF!</definedName>
    <definedName name="CSHPBOD">#REF!</definedName>
    <definedName name="CTCPA2003">#REF!</definedName>
    <definedName name="CTCPA2004">#REF!</definedName>
    <definedName name="CTCPA2005">#REF!</definedName>
    <definedName name="CTCPA2006">#REF!</definedName>
    <definedName name="CTCPA2007">#REF!</definedName>
    <definedName name="CTCPA2008">#REF!</definedName>
    <definedName name="CUR_QRES">[3]Sens_QRE_Factor!$I$8:$R$98</definedName>
    <definedName name="CUR_QRES0.75">'[3]QRE Charts'!$E$367</definedName>
    <definedName name="CUR_QRES0.80">'[3]QRE Charts'!$F$367</definedName>
    <definedName name="CUR_QRES0.85">'[3]QRE Charts'!$G$367</definedName>
    <definedName name="CUR_QRES0.90">'[3]QRE Charts'!$H$367</definedName>
    <definedName name="CUR_QRES0.95">'[3]QRE Charts'!$I$367</definedName>
    <definedName name="CUR_QRES1.00">'[3]QRE Charts'!$J$367</definedName>
    <definedName name="CUR_QRES1.05">'[3]QRE Charts'!$K$367</definedName>
    <definedName name="CUR_QRES1.10">'[3]QRE Charts'!$L$367</definedName>
    <definedName name="CUR_QRES1.15">'[3]QRE Charts'!$M$367</definedName>
    <definedName name="CUR_QRES1.20">'[3]QRE Charts'!$N$367</definedName>
    <definedName name="CUR_QRES1.25">'[3]QRE Charts'!$O$367</definedName>
    <definedName name="CUR_SENS_FACT">#REF!</definedName>
    <definedName name="CURR">[13]DEPR96!#REF!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[29]Assumptions!#REF!</definedName>
    <definedName name="custRetain">[35]Input!#REF!</definedName>
    <definedName name="D_Tech___Other_Wolverine">#REF!</definedName>
    <definedName name="D_Tech___Other_Wolverine_YR_2005">'[25]Aday IS DECo &amp; Other'!#REF!</definedName>
    <definedName name="D_Tech___Other_Wolverine_YR_2006">'[25]Aday IS DECo &amp; Other'!#REF!</definedName>
    <definedName name="D_Tech___Other_Wolverine_YR_2007">'[25]Aday IS DECo &amp; Other'!#REF!</definedName>
    <definedName name="D_Tech___Other_Wolverine_YR_2008">'[25]Aday IS DECo &amp; Other'!#REF!</definedName>
    <definedName name="da" hidden="1">{#N/A,#N/A,FALSE,"O&amp;M by processes";#N/A,#N/A,FALSE,"Elec Act vs Bud";#N/A,#N/A,FALSE,"G&amp;A";#N/A,#N/A,FALSE,"BGS";#N/A,#N/A,FALSE,"Res Cost"}</definedName>
    <definedName name="dada" hidden="1">{#N/A,#N/A,FALSE,"O&amp;M by processes";#N/A,#N/A,FALSE,"Elec Act vs Bud";#N/A,#N/A,FALSE,"G&amp;A";#N/A,#N/A,FALSE,"BGS";#N/A,#N/A,FALSE,"Res Cost"}</definedName>
    <definedName name="dae">[6]Sheet1!$B$2:$B$29</definedName>
    <definedName name="Data">#REF!</definedName>
    <definedName name="DATA05">#REF!</definedName>
    <definedName name="Data06">#REF!</definedName>
    <definedName name="DATA1">'[36]New Accts 2009'!#REF!</definedName>
    <definedName name="DATA10">'[37]3640'!#REF!</definedName>
    <definedName name="DATA11">'[37]3640'!#REF!</definedName>
    <definedName name="DATA14">#REF!</definedName>
    <definedName name="DATA2">'[38]190100'!#REF!</definedName>
    <definedName name="DATA3">'[38]190100'!#REF!</definedName>
    <definedName name="DATA4">'[38]190100'!#REF!</definedName>
    <definedName name="DATA5">#REF!</definedName>
    <definedName name="DATA6">#REF!</definedName>
    <definedName name="DATA7">'[38]190100'!#REF!</definedName>
    <definedName name="DATA8">'[38]190100'!#REF!</definedName>
    <definedName name="DATA9">'[37]3640'!#REF!</definedName>
    <definedName name="data97">#REF!</definedName>
    <definedName name="_xlnm.Database">[39]DSUM!#REF!</definedName>
    <definedName name="Database_MI">#REF!</definedName>
    <definedName name="Date">[40]Settings!$F$23</definedName>
    <definedName name="DATE1">#REF!</definedName>
    <definedName name="DATE2">#REF!</definedName>
    <definedName name="DATE3">#REF!</definedName>
    <definedName name="DATE4">#REF!</definedName>
    <definedName name="DateTime">#REF!</definedName>
    <definedName name="DCIT">#REF!</definedName>
    <definedName name="dd">[41]IS!#REF!</definedName>
    <definedName name="ddd">[42]Sheet1!$J$130</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o_Corporate_Unallocated_YR_2005">'[25]Aday IS DECo &amp; Other'!#REF!</definedName>
    <definedName name="DECo_Corporate_Unallocated_YR_2006">'[25]Aday IS DECo &amp; Other'!#REF!</definedName>
    <definedName name="DECo_Corporate_Unallocated_YR_2007">'[25]Aday IS DECo &amp; Other'!#REF!</definedName>
    <definedName name="DECo_Corporate_Unallocated_YR_2008">'[25]Aday IS DECo &amp; Other'!#REF!</definedName>
    <definedName name="Decommissioning_Rate">#REF!</definedName>
    <definedName name="Deferral_Interest_Rate">[18]Assumptions!$H$14</definedName>
    <definedName name="Deferral_Recovery">'[30]JFJ-1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[43]Lists!$A$2:$A$4</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[13]DEPR96!#REF!</definedName>
    <definedName name="DESCR">[13]DEPR96!#REF!</definedName>
    <definedName name="detail">#REF!</definedName>
    <definedName name="Detroit_Edison">#REF!</definedName>
    <definedName name="Detroit_Edison_Consolidated_YR_2005">'[25]Aday IS DECo &amp; Other'!#REF!</definedName>
    <definedName name="Detroit_Edison_Consolidated_YR_2006">'[25]Aday IS DECo &amp; Other'!#REF!</definedName>
    <definedName name="Detroit_Edison_Consolidated_YR_2007">'[25]Aday IS DECo &amp; Other'!#REF!</definedName>
    <definedName name="Detroit_Edison_Consolidated_YR_2008">'[25]Aday IS DECo &amp; Other'!#REF!</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IT">[3]Comparison!$CK$11</definedName>
    <definedName name="DPTSUM">#REF!</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'[25]Aday IS DECo &amp; Other'!#REF!</definedName>
    <definedName name="DTE_Eliminations_YR_2006">'[25]Aday IS DECo &amp; Other'!#REF!</definedName>
    <definedName name="DTE_Eliminations_YR_2007">'[25]Aday IS DECo &amp; Other'!#REF!</definedName>
    <definedName name="DTE_Eliminations_YR_2008">'[25]Aday IS DECo &amp; Other'!#REF!</definedName>
    <definedName name="DTE_Enterprises_Corporate">#REF!</definedName>
    <definedName name="DTE_Enterprises_Corporate_YR_2005">'[25]Aday IS DECo &amp; Other'!#REF!</definedName>
    <definedName name="DTE_Enterprises_Corporate_YR_2006">'[25]Aday IS DECo &amp; Other'!#REF!</definedName>
    <definedName name="DTE_Enterprises_Corporate_YR_2007">'[25]Aday IS DECo &amp; Other'!#REF!</definedName>
    <definedName name="DTE_Enterprises_Corporate_YR_2008">'[25]Aday IS DECo &amp; Other'!#REF!</definedName>
    <definedName name="DTE_Holding_Co.">#REF!</definedName>
    <definedName name="DTE_Holding_Co._YR_2005">'[25]Aday IS DECo &amp; Other'!#REF!</definedName>
    <definedName name="DTE_Holding_Co._YR_2006">'[25]Aday IS DECo &amp; Other'!#REF!</definedName>
    <definedName name="DTE_Holding_Co._YR_2007">'[25]Aday IS DECo &amp; Other'!#REF!</definedName>
    <definedName name="DTE_Holding_Co._YR_2008">'[25]Aday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[3]Print!$A$8</definedName>
    <definedName name="dyCR">[3]Print!$G$8</definedName>
    <definedName name="dyqre100">#REF!</definedName>
    <definedName name="dyqre101">#REF!</definedName>
    <definedName name="dyqre102">#REF!</definedName>
    <definedName name="dyqre103">#REF!</definedName>
    <definedName name="dyqre90">[3]Model!$I$90</definedName>
    <definedName name="dyqre91">[3]Model!$J$94</definedName>
    <definedName name="dyqre92">[3]Model!$K$98</definedName>
    <definedName name="dyqre93">[3]Model!$L$101</definedName>
    <definedName name="dyqre94">[3]Model!$M$105</definedName>
    <definedName name="dyqre95">[3]Model!$N$109</definedName>
    <definedName name="dyqre96">[3]Model!$O$113</definedName>
    <definedName name="dyqre97">[3]Model!$P$119</definedName>
    <definedName name="dyqre98">[3]Model!$Q$123</definedName>
    <definedName name="dyqre99">#REF!</definedName>
    <definedName name="dyQW">[3]Print!$C$8</definedName>
    <definedName name="dyS">[3]Print!$E$8</definedName>
    <definedName name="ED_NON_REGULATED">'[44]#REF'!$AS$5:$AS$85</definedName>
    <definedName name="ED_NON_REGULATED_YR_2005">'[25]Aday IS DECo &amp; Other'!#REF!</definedName>
    <definedName name="ED_NON_REGULATED_YR_2006">'[25]Aday IS DECo &amp; Other'!#REF!</definedName>
    <definedName name="ED_NON_REGULATED_YR_2007">'[25]Aday IS DECo &amp; Other'!#REF!</definedName>
    <definedName name="ED_NON_REGULATED_YR_2008">'[25]Aday IS DECo &amp; Other'!#REF!</definedName>
    <definedName name="Edison_Development">#REF!</definedName>
    <definedName name="Edison_Development_YR_2005">'[25]Aday IS DECo &amp; Other'!#REF!</definedName>
    <definedName name="Edison_Development_YR_2006">'[25]Aday IS DECo &amp; Other'!#REF!</definedName>
    <definedName name="Edison_Development_YR_2007">'[25]Aday IS DECo &amp; Other'!#REF!</definedName>
    <definedName name="Edison_Development_YR_2008">'[25]Aday IS DECo &amp; Other'!#REF!</definedName>
    <definedName name="eee">"V2001-12-31"</definedName>
    <definedName name="eeee" hidden="1">{#N/A,#N/A,FALSE,"O&amp;M by processes";#N/A,#N/A,FALSE,"Elec Act vs Bud";#N/A,#N/A,FALSE,"G&amp;A";#N/A,#N/A,FALSE,"BGS";#N/A,#N/A,FALSE,"Res Cost"}</definedName>
    <definedName name="EG_NON_REGULATED">#REF!</definedName>
    <definedName name="EG_Non_Regulated_Growth_YR_2005">'[25]Aday IS EG Subs'!#REF!</definedName>
    <definedName name="EG_Non_Regulated_Growth_YR_2006">'[25]Aday IS EG Subs'!#REF!</definedName>
    <definedName name="EG_Non_Regulated_Growth_YR_2007">'[25]Aday IS EG Subs'!#REF!</definedName>
    <definedName name="EG_Non_Regulated_Growth_YR_2008">'[25]Aday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HPA2003">#REF!</definedName>
    <definedName name="EHPA2004">#REF!</definedName>
    <definedName name="EHPA2005">#REF!</definedName>
    <definedName name="EHPA2006">#REF!</definedName>
    <definedName name="EHPA2007">#REF!</definedName>
    <definedName name="EHPA2008">#REF!</definedName>
    <definedName name="elec">#REF!</definedName>
    <definedName name="elec06">#REF!</definedName>
    <definedName name="elec2">#REF!</definedName>
    <definedName name="ELECTACT">'[2]Curr adj - depn basis diff'!#REF!</definedName>
    <definedName name="Electric_Power">#REF!</definedName>
    <definedName name="Electric_Power_YR_2005">'[25]Aday IS DECo &amp; Other'!#REF!</definedName>
    <definedName name="Electric_Power_YR_2006">'[25]Aday IS DECo &amp; Other'!#REF!</definedName>
    <definedName name="Electric_Power_YR_2007">'[25]Aday IS DECo &amp; Other'!#REF!</definedName>
    <definedName name="Electric_Power_YR_2008">'[25]Aday IS DECo &amp; Other'!#REF!</definedName>
    <definedName name="Elim">#REF!</definedName>
    <definedName name="Elim_Yates_Center">#REF!</definedName>
    <definedName name="En_Svcs_Base_Overlay_YR_2005">'[25]Aday IS DECo &amp; Other'!#REF!</definedName>
    <definedName name="En_Svcs_Base_Overlay_YR_2006">'[25]Aday IS DECo &amp; Other'!#REF!</definedName>
    <definedName name="En_Svcs_Base_Overlay_YR_2007">'[25]Aday IS DECo &amp; Other'!#REF!</definedName>
    <definedName name="En_Svcs_Base_Overlay_YR_2008">'[25]Aday IS DECo &amp; Other'!#REF!</definedName>
    <definedName name="end_coal">'[26]Input Page'!#REF!</definedName>
    <definedName name="end_CWIP">'[26]Input Page'!#REF!</definedName>
    <definedName name="ENERGY">#REF!</definedName>
    <definedName name="ENERGY_GAS_GROWTH_YR_2005">'[25]Aday IS EG Subs'!#REF!</definedName>
    <definedName name="ENERGY_GAS_GROWTH_YR_2006">'[25]Aday IS EG Subs'!#REF!</definedName>
    <definedName name="ENERGY_GAS_GROWTH_YR_2007">'[25]Aday IS EG Subs'!#REF!</definedName>
    <definedName name="ENERGY_GAS_GROWTH_YR_2008">'[25]Aday IS EG Subs'!#REF!</definedName>
    <definedName name="ENERGY_GAS_NON_REGULATED_YR_2003">'[25]Aday IS DECo &amp; Other'!#REF!</definedName>
    <definedName name="ENERGY_GAS_NON_REGULATED_YR_2004">'[25]Aday IS DECo &amp; Other'!#REF!</definedName>
    <definedName name="ENERGY_GAS_NON_REGULATED_YR_2005">'[25]Aday IS DECo &amp; Other'!#REF!</definedName>
    <definedName name="ENERGY_GAS_NON_REGULATED_YR_2006">'[25]Aday IS DECo &amp; Other'!#REF!</definedName>
    <definedName name="ENERGY_GAS_NON_REGULATED_YR_2007">'[25]Aday IS DECo &amp; Other'!#REF!</definedName>
    <definedName name="ENERGY_GAS_NON_REGULATED_YR_2008">'[25]Aday IS DECo &amp; Other'!#REF!</definedName>
    <definedName name="Energy_Holdings_Purch_Acct">#REF!</definedName>
    <definedName name="Energy_Holdings_Purch_Acct_YR_2005">'[25]Aday IS DECo &amp; Other'!#REF!</definedName>
    <definedName name="Energy_Holdings_Purch_Acct_YR_2006">'[25]Aday IS DECo &amp; Other'!#REF!</definedName>
    <definedName name="Energy_Holdings_Purch_Acct_YR_2007">'[25]Aday IS DECo &amp; Other'!#REF!</definedName>
    <definedName name="Energy_Holdings_Purch_Acct_YR_2008">'[25]Aday IS DECo &amp; Other'!#REF!</definedName>
    <definedName name="Energy_Marketing">#REF!</definedName>
    <definedName name="Energy_Marketing_YR_2005">'[25]Aday IS DECo &amp; Other'!#REF!</definedName>
    <definedName name="Energy_Marketing_YR_2006">'[25]Aday IS DECo &amp; Other'!#REF!</definedName>
    <definedName name="Energy_Marketing_YR_2007">'[25]Aday IS DECo &amp; Other'!#REF!</definedName>
    <definedName name="Energy_Marketing_YR_2008">'[25]Aday IS DECo &amp; Other'!#REF!</definedName>
    <definedName name="Energy_Res_Inc.">#REF!</definedName>
    <definedName name="Energy_Res_Inc._YR_2005">'[25]Aday IS DECo &amp; Other'!#REF!</definedName>
    <definedName name="Energy_Res_Inc._YR_2006">'[25]Aday IS DECo &amp; Other'!#REF!</definedName>
    <definedName name="Energy_Res_Inc._YR_2007">'[25]Aday IS DECo &amp; Other'!#REF!</definedName>
    <definedName name="Energy_Res_Inc._YR_2008">'[25]Aday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'[25]Aday IS DECo &amp; Other'!#REF!</definedName>
    <definedName name="Energy_Services_YR_2006">'[25]Aday IS DECo &amp; Other'!#REF!</definedName>
    <definedName name="Energy_Services_YR_2007">'[25]Aday IS DECo &amp; Other'!#REF!</definedName>
    <definedName name="Energy_Services_YR_2008">'[25]Aday IS DECo &amp; Other'!#REF!</definedName>
    <definedName name="Energy_Trading">#REF!</definedName>
    <definedName name="Energy_Trading_YR_2005">'[25]Aday IS DECo &amp; Other'!#REF!</definedName>
    <definedName name="Energy_Trading_YR_2006">'[25]Aday IS DECo &amp; Other'!#REF!</definedName>
    <definedName name="Energy_Trading_YR_2007">'[25]Aday IS DECo &amp; Other'!#REF!</definedName>
    <definedName name="Energy_Trading_YR_2008">'[25]Aday IS DECo &amp; Other'!#REF!</definedName>
    <definedName name="eng_design">'[20]Input Page'!$G$17</definedName>
    <definedName name="ENTITY">[40]Settings!$F$17</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'[25]Aday IS DECo &amp; Other'!#REF!</definedName>
    <definedName name="ER_Eliminations_YR_2006">'[25]Aday IS DECo &amp; Other'!#REF!</definedName>
    <definedName name="ER_Eliminations_YR_2007">'[25]Aday IS DECo &amp; Other'!#REF!</definedName>
    <definedName name="ER_Eliminations_YR_2008">'[25]Aday IS DECo &amp; Other'!#REF!</definedName>
    <definedName name="ER_NON_REGULATED">#REF!</definedName>
    <definedName name="ER_Non_Regulated_Growth_YR_2005">'[25]Aday IS DECo &amp; Other'!#REF!</definedName>
    <definedName name="ER_Non_Regulated_Growth_YR_2006">'[25]Aday IS DECo &amp; Other'!#REF!</definedName>
    <definedName name="ER_Non_Regulated_Growth_YR_2007">'[25]Aday IS DECo &amp; Other'!#REF!</definedName>
    <definedName name="ER_Non_Regulated_Growth_YR_2008">'[25]Aday IS DECo &amp; Other'!#REF!</definedName>
    <definedName name="ER_Non_Regulated_Support">#REF!</definedName>
    <definedName name="ER_Non_Regulated_Support_YR_2005">'[25]Aday IS DECo &amp; Other'!#REF!</definedName>
    <definedName name="ER_Non_Regulated_Support_YR_2006">'[25]Aday IS DECo &amp; Other'!#REF!</definedName>
    <definedName name="ER_Non_Regulated_Support_YR_2007">'[25]Aday IS DECo &amp; Other'!#REF!</definedName>
    <definedName name="ER_Non_Regulated_Support_YR_2008">'[25]Aday IS DECo &amp; Other'!#REF!</definedName>
    <definedName name="ER_Non_Regulated_YR_2005">'[25]Aday IS DECo &amp; Other'!#REF!</definedName>
    <definedName name="ER_Non_Regulated_YR_2006">'[25]Aday IS DECo &amp; Other'!#REF!</definedName>
    <definedName name="ER_Non_Regulated_YR_2007">'[25]Aday IS DECo &amp; Other'!#REF!</definedName>
    <definedName name="ER_Non_Regulated_YR_2008">'[25]Aday IS DECo &amp; Other'!#REF!</definedName>
    <definedName name="EROA">[33]Inputs!$B$3</definedName>
    <definedName name="ERROR">#REF!</definedName>
    <definedName name="ESPYMT">#REF!</definedName>
    <definedName name="EST_2005">#REF!</definedName>
    <definedName name="ETR">#REF!</definedName>
    <definedName name="EV__LASTREFTIME__">39773.6430324074</definedName>
    <definedName name="exclude_cap">'[26]Input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1_respondent_id">#REF!</definedName>
    <definedName name="Facilities">1700</definedName>
    <definedName name="FACTOR_.75">'[3]Macro Tables'!$C$27</definedName>
    <definedName name="FACTOR_.80">'[3]Macro Tables'!$C$28</definedName>
    <definedName name="FACTOR_.85">'[3]Macro Tables'!$C$29</definedName>
    <definedName name="FACTOR_.90">'[3]Macro Tables'!$C$30</definedName>
    <definedName name="FACTOR_.95">'[3]Macro Tables'!$C$31</definedName>
    <definedName name="FACTOR_1">'[3]Macro Tables'!$C$32</definedName>
    <definedName name="FACTOR_1.05">'[3]Macro Tables'!$C$33</definedName>
    <definedName name="FACTOR_1.1">'[3]Macro Tables'!$C$34</definedName>
    <definedName name="FACTOR_1.15">'[3]Macro Tables'!$C$35</definedName>
    <definedName name="FACTOR_1.2">'[3]Macro Tables'!$C$36</definedName>
    <definedName name="FACTOR_1.25">'[3]Macro Tables'!$C$37</definedName>
    <definedName name="FACTOR_NAME">'[3]Macro Tables'!$C$22</definedName>
    <definedName name="FACTOR_TABLE">'[3]Macro Tables'!$B$27:$C$37</definedName>
    <definedName name="FACTOR_VALUE">'[3]Macro Tables'!$C$23</definedName>
    <definedName name="FAS109YTD">[17]December!#REF!</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EB">#REF!</definedName>
    <definedName name="FED">#REF!</definedName>
    <definedName name="fed_inc_tax">'[26]Input Page'!$E$13</definedName>
    <definedName name="FEDCUME">[13]DEPR96!#REF!</definedName>
    <definedName name="FEDCURR">[13]DEPR96!#REF!</definedName>
    <definedName name="FEDDEFERREDTAX">#REF!</definedName>
    <definedName name="Federal___Other_Inc_Tax_CPM">#REF!</definedName>
    <definedName name="FEDLIFE">[13]DEPR96!#REF!</definedName>
    <definedName name="FEDMETH">[13]DEPR96!#REF!</definedName>
    <definedName name="FEDNO">[13]DEPR96!#REF!</definedName>
    <definedName name="FEDRATE">[13]DEPR96!#REF!</definedName>
    <definedName name="FEDYR">[13]DEPR96!#REF!</definedName>
    <definedName name="FEDYRNO">[13]DEPR96!#REF!</definedName>
    <definedName name="fieldNo">[35]Input!#REF!</definedName>
    <definedName name="fieldProd">[35]Input!#REF!</definedName>
    <definedName name="fieldSalary">[35]Input!#REF!</definedName>
    <definedName name="FIN">#REF!</definedName>
    <definedName name="Financing_Sources__Uses__CPM">#REF!</definedName>
    <definedName name="FINAWOFF">#REF!</definedName>
    <definedName name="FIT">#REF!</definedName>
    <definedName name="fleet_cap">'[26]Input Page'!$E$7</definedName>
    <definedName name="fleet_total">'[26]Input Page'!$E$8</definedName>
    <definedName name="FORM">#REF!</definedName>
    <definedName name="Format">#REF!</definedName>
    <definedName name="Forms">#REF!</definedName>
    <definedName name="Fossil_BGS">[30]Assumptions!$E$58</definedName>
    <definedName name="Fossil_Secur_Date">[18]Assumptions!$E$22</definedName>
    <definedName name="fp">#REF!</definedName>
    <definedName name="Free_Cash_Flow_CPM">#REF!</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[3]Print!$I$20</definedName>
    <definedName name="fullyrcredit100">#REF!</definedName>
    <definedName name="fullyrcredit101">#REF!</definedName>
    <definedName name="fullyrcredit102">#REF!</definedName>
    <definedName name="fullyrcredit103">#REF!</definedName>
    <definedName name="fullyrcredit99">#REF!</definedName>
    <definedName name="FY1999_AU_ACTY_ACCT">#REF!</definedName>
    <definedName name="FYR">'[23]Gas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'[25]Aday IS EG Subs'!#REF!</definedName>
    <definedName name="Gas_Dist_Purch_Acct_YR_2006">'[25]Aday IS EG Subs'!#REF!</definedName>
    <definedName name="Gas_Dist_Purch_Acct_YR_2007">'[25]Aday IS EG Subs'!#REF!</definedName>
    <definedName name="Gas_Dist_Purch_Acct_YR_2008">'[25]Aday IS EG Subs'!#REF!</definedName>
    <definedName name="Gas_Marketing_Purch_Acct">#REF!</definedName>
    <definedName name="Gas_Marketing_Purch_Acct_YR_2005">'[25]Aday IS DECo &amp; Other'!#REF!</definedName>
    <definedName name="Gas_Marketing_Purch_Acct_YR_2006">'[25]Aday IS DECo &amp; Other'!#REF!</definedName>
    <definedName name="Gas_Marketing_Purch_Acct_YR_2007">'[25]Aday IS DECo &amp; Other'!#REF!</definedName>
    <definedName name="Gas_Marketing_Purch_Acct_YR_2008">'[25]Aday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'[25]Aday IS EG Subs'!#REF!</definedName>
    <definedName name="Gas_Storage_YR_2006">'[25]Aday IS EG Subs'!#REF!</definedName>
    <definedName name="Gas_Storage_YR_2007">'[25]Aday IS EG Subs'!#REF!</definedName>
    <definedName name="Gas_Storage_YR_2008">'[25]Aday IS EG Subs'!#REF!</definedName>
    <definedName name="GASACT">'[2]Curr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ENERAL_HELP">#REF!</definedName>
    <definedName name="General_Taxes">#REF!</definedName>
    <definedName name="General_Taxes_Payable">#REF!</definedName>
    <definedName name="Generation">#REF!</definedName>
    <definedName name="Generation_YR_2005">'[25]Aday IS DECo &amp; Other'!#REF!</definedName>
    <definedName name="Generation_YR_2006">'[25]Aday IS DECo &amp; Other'!#REF!</definedName>
    <definedName name="Generation_YR_2007">'[25]Aday IS DECo &amp; Other'!#REF!</definedName>
    <definedName name="Generation_YR_2008">'[25]Aday IS DECo &amp; Other'!#REF!</definedName>
    <definedName name="GenLedger">[45]PEPCO!$A$9:$H$774</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oodwill">#REF!</definedName>
    <definedName name="Goodwill_CPM">#REF!</definedName>
    <definedName name="GPURS">#REF!</definedName>
    <definedName name="GR">#REF!</definedName>
    <definedName name="GR_PRT_RANGE">[3]Gross_Rec!$A$8:$R$52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[3]Model!$I$50</definedName>
    <definedName name="grec8491">[3]Model!$J$50</definedName>
    <definedName name="grec8492">[3]Model!$K$50</definedName>
    <definedName name="grec8493">[3]Model!$L$50</definedName>
    <definedName name="grec8494">[3]Model!$M$50</definedName>
    <definedName name="grec8495">[3]Model!$N$50</definedName>
    <definedName name="grec8496">[3]Model!$O$50</definedName>
    <definedName name="grec8497">[3]Model!$P$50</definedName>
    <definedName name="grec8498">[3]Model!$Q$50</definedName>
    <definedName name="grec8499">#REF!</definedName>
    <definedName name="grec85100">#REF!</definedName>
    <definedName name="grec85101">#REF!</definedName>
    <definedName name="grec85102">#REF!</definedName>
    <definedName name="grec85103">#REF!</definedName>
    <definedName name="grec8590">[3]Model!$I$51</definedName>
    <definedName name="grec8591">[3]Model!$J$51</definedName>
    <definedName name="grec8592">[3]Model!$K$51</definedName>
    <definedName name="grec8593">[3]Model!$L$51</definedName>
    <definedName name="grec8594">[3]Model!$M$51</definedName>
    <definedName name="grec8595">[3]Model!$N$51</definedName>
    <definedName name="grec8596">[3]Model!$O$51</definedName>
    <definedName name="grec8597">[3]Model!$P$51</definedName>
    <definedName name="grec8598">[3]Model!$Q$51</definedName>
    <definedName name="grec8599">#REF!</definedName>
    <definedName name="grec86100">#REF!</definedName>
    <definedName name="grec86101">#REF!</definedName>
    <definedName name="grec86102">#REF!</definedName>
    <definedName name="grec86103">#REF!</definedName>
    <definedName name="grec8690">[3]Model!$I$52</definedName>
    <definedName name="grec8691">[3]Model!$J$52</definedName>
    <definedName name="grec8692">[3]Model!$K$52</definedName>
    <definedName name="grec8693">[3]Model!$L$52</definedName>
    <definedName name="grec8694">[3]Model!$M$52</definedName>
    <definedName name="grec8695">[3]Model!$N$52</definedName>
    <definedName name="grec8696">[3]Model!$O$52</definedName>
    <definedName name="grec8697">[3]Model!$P$52</definedName>
    <definedName name="grec8698">[3]Model!$Q$52</definedName>
    <definedName name="grec8699">#REF!</definedName>
    <definedName name="grec87100">#REF!</definedName>
    <definedName name="grec87101">#REF!</definedName>
    <definedName name="grec87102">#REF!</definedName>
    <definedName name="grec87103">#REF!</definedName>
    <definedName name="grec8790">[3]Model!$I$53</definedName>
    <definedName name="grec8791">[3]Model!$J$53</definedName>
    <definedName name="grec8792">[3]Model!$K$53</definedName>
    <definedName name="grec8793">[3]Model!$L$53</definedName>
    <definedName name="grec8794">[3]Model!$M$53</definedName>
    <definedName name="grec8795">[3]Model!$N$53</definedName>
    <definedName name="grec8796">[3]Model!$O$53</definedName>
    <definedName name="grec8797">[3]Model!$P$53</definedName>
    <definedName name="grec8798">[3]Model!$Q$53</definedName>
    <definedName name="grec8799">#REF!</definedName>
    <definedName name="grec88100">#REF!</definedName>
    <definedName name="grec88101">#REF!</definedName>
    <definedName name="grec88102">#REF!</definedName>
    <definedName name="grec88103">#REF!</definedName>
    <definedName name="grec8890">[3]Model!$I$54</definedName>
    <definedName name="grec8891">[3]Model!$J$54</definedName>
    <definedName name="grec8892">[3]Model!$K$54</definedName>
    <definedName name="grec8893">[3]Model!$L$54</definedName>
    <definedName name="grec8894">[3]Model!$M$54</definedName>
    <definedName name="grec8895">[3]Model!$N$54</definedName>
    <definedName name="grec8896">[3]Model!$O$54</definedName>
    <definedName name="grec8897">[3]Model!$P$54</definedName>
    <definedName name="grec8898">[3]Model!$Q$54</definedName>
    <definedName name="grec8899">#REF!</definedName>
    <definedName name="gross_rec_caution">[3]Gross_Rec!$A$51:$IV$52</definedName>
    <definedName name="GROSS_RECEIPTS">#REF!</definedName>
    <definedName name="Growth_Contingency_YR_2005">'[25]Aday IS DECo &amp; Other'!#REF!</definedName>
    <definedName name="Growth_Contingency_YR_2006">'[25]Aday IS DECo &amp; Other'!#REF!</definedName>
    <definedName name="Growth_Contingency_YR_2007">'[25]Aday IS DECo &amp; Other'!#REF!</definedName>
    <definedName name="Growth_Contingency_YR_2008">'[25]Aday IS DECo &amp; Other'!#REF!</definedName>
    <definedName name="GRS">[3]Gross_Rec!$B$2:$M$49</definedName>
    <definedName name="GRT">#REF!</definedName>
    <definedName name="grtm1">[3]Print!$I$32</definedName>
    <definedName name="grtm2">[3]Print!$G$32</definedName>
    <definedName name="grtm3">[3]Print!$E$32</definedName>
    <definedName name="grtm4">[3]Print!$C$32</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EAD1">#REF!</definedName>
    <definedName name="Headcount___DTE_Employees">#REF!</definedName>
    <definedName name="Header">#REF!</definedName>
    <definedName name="HELP_LOCATOR">#REF!</definedName>
    <definedName name="High_Level">'[46]Tony''s Categories'!$B$6:$B$11</definedName>
    <definedName name="historiccents">#REF!</definedName>
    <definedName name="HOLDING_CO___OTHER_TOTAL">#REF!</definedName>
    <definedName name="HOLDING_CO___OTHER_TOTAL_YR_2005">'[25]Aday IS DECo &amp; Other'!#REF!</definedName>
    <definedName name="HOLDING_CO___OTHER_TOTAL_YR_2006">'[25]Aday IS DECo &amp; Other'!#REF!</definedName>
    <definedName name="HOLDING_CO___OTHER_TOTAL_YR_2007">'[25]Aday IS DECo &amp; Other'!#REF!</definedName>
    <definedName name="HOLDING_CO___OTHER_TOTAL_YR_2008">'[25]Aday IS DECo &amp; Other'!#REF!</definedName>
    <definedName name="homeNo">[35]Input!#REF!</definedName>
    <definedName name="homeProd">[35]Input!#REF!</definedName>
    <definedName name="homeSalary">[35]Input!#REF!</definedName>
    <definedName name="HOURS">#REF!</definedName>
    <definedName name="howToChange">#REF!</definedName>
    <definedName name="howToCheck">#REF!</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[47]Inputs!#REF!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Dates">#REF!</definedName>
    <definedName name="INCP">#REF!</definedName>
    <definedName name="INCPBOD">#REF!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SERTRANGE">#REF!</definedName>
    <definedName name="int_rate">#REF!</definedName>
    <definedName name="intang_afudc910">[48]criteria!$A$5:$B$6</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'[25]Aday IS DECo &amp; Other'!#REF!</definedName>
    <definedName name="International_Trans._Co._YR_2006">'[25]Aday IS DECo &amp; Other'!#REF!</definedName>
    <definedName name="International_Trans._Co._YR_2007">'[25]Aday IS DECo &amp; Other'!#REF!</definedName>
    <definedName name="International_Trans._Co._YR_2008">'[25]Aday IS DECo &amp; Other'!#REF!</definedName>
    <definedName name="Inv_JE">#REF!</definedName>
    <definedName name="Inv_wp">#REF!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TE">[49]PL!$A:$IV</definedName>
    <definedName name="itec">[49]PL!$A$1:$A$65536</definedName>
    <definedName name="JAN">#REF!</definedName>
    <definedName name="JE">#REF!</definedName>
    <definedName name="JE33WP">#REF!</definedName>
    <definedName name="Joint_Venture_and_Other_Investments">#REF!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ey_Concept">'[46]Tony''s Categories'!$D$6:$D$100</definedName>
    <definedName name="KeyCon_Close_Date">[30]Assumptions!$E$29</definedName>
    <definedName name="klio">{"'Metretek HTML'!$A$7:$W$42"}</definedName>
    <definedName name="l">[50]Lists!$A$2:$A$4</definedName>
    <definedName name="L4_A">[51]total!#REF!</definedName>
    <definedName name="L4_B">[51]total!#REF!</definedName>
    <definedName name="LabHour">#REF!</definedName>
    <definedName name="Labor">#REF!</definedName>
    <definedName name="Labor__excl._Cost_of_Sales_labor">#REF!</definedName>
    <definedName name="Labor_Total">#REF!</definedName>
    <definedName name="lastrow">'[3]QRE''s'!$A$95:$IV$95</definedName>
    <definedName name="LAYOUT">#REF!</definedName>
    <definedName name="LAYOUT_NAME">#REF!</definedName>
    <definedName name="Less_Accum_Depr__Depl___Amort">#REF!</definedName>
    <definedName name="Less_Accum_Depreciation___Amortization">#REF!</definedName>
    <definedName name="Less_Tax_Credits_Generated">#REF!</definedName>
    <definedName name="Levelized..FM1.ROR..print" localSheetId="7">#REF!</definedName>
    <definedName name="Levelized..FM1.ROR..print">#REF!</definedName>
    <definedName name="Liab_from_Risk_Mgt___Trading">#REF!</definedName>
    <definedName name="Liab_from_Risk_Mgt___Trading___Current">#REF!</definedName>
    <definedName name="Liabilities_from_Trans___Storage_Contracts">#REF!</definedName>
    <definedName name="LicenseCOS">0.01</definedName>
    <definedName name="LIFE">[13]DEPR96!#REF!</definedName>
    <definedName name="limcount" hidden="1">1</definedName>
    <definedName name="LIST">#REF!</definedName>
    <definedName name="LK">{"'Metretek HTML'!$A$7:$W$42"}</definedName>
    <definedName name="LOAD">#REF!</definedName>
    <definedName name="LOAD_4">[51]total!#REF!</definedName>
    <definedName name="Loan_from_Affiliate">#REF!</definedName>
    <definedName name="lob">#REF!</definedName>
    <definedName name="lobcolumn">#REF!</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wer_Level">'[46]Tony''s Categories'!$C$6:$C$25</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ACRO_1">#REF!</definedName>
    <definedName name="MACRO_2">#REF!</definedName>
    <definedName name="MACROS">#REF!</definedName>
    <definedName name="MACRS">#REF!</definedName>
    <definedName name="Maintenance">0.15</definedName>
    <definedName name="Management_Task_Detail_not_Available">#REF!</definedName>
    <definedName name="Management_Task_YR_2005">'[25]Aday IS DECo &amp; Other'!#REF!</definedName>
    <definedName name="Management_Task_YR_2006">'[25]Aday IS DECo &amp; Other'!#REF!</definedName>
    <definedName name="Management_Task_YR_2007">'[25]Aday IS DECo &amp; Other'!#REF!</definedName>
    <definedName name="Management_Task_YR_2008">'[25]Aday IS DECo &amp; Other'!#REF!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#REF!</definedName>
    <definedName name="MCGC_Elims">#REF!</definedName>
    <definedName name="MCGC_Elims_YR_2005">'[25]Aday IS EG Subs'!#REF!</definedName>
    <definedName name="MCGC_Elims_YR_2006">'[25]Aday IS EG Subs'!#REF!</definedName>
    <definedName name="MCGC_Elims_YR_2007">'[25]Aday IS EG Subs'!#REF!</definedName>
    <definedName name="MCGC_Elims_YR_2008">'[25]Aday IS EG Subs'!#REF!</definedName>
    <definedName name="MCGC_Subsidiaries">#REF!</definedName>
    <definedName name="MCGC_Subsidiaries_YR_2005">'[25]Aday IS EG Subs'!#REF!</definedName>
    <definedName name="MCGC_Subsidiaries_YR_2006">'[25]Aday IS EG Subs'!#REF!</definedName>
    <definedName name="MCGC_Subsidiaries_YR_2007">'[25]Aday IS EG Subs'!#REF!</definedName>
    <definedName name="MCGC_Subsidiaries_YR_2008">'[25]Aday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'[25]Aday IS EG Subs'!#REF!</definedName>
    <definedName name="MCH_Corp___Elims_YR_2006">'[25]Aday IS EG Subs'!#REF!</definedName>
    <definedName name="MCH_Corp___Elims_YR_2007">'[25]Aday IS EG Subs'!#REF!</definedName>
    <definedName name="MCH_Corp___Elims_YR_2008">'[25]Aday IS EG Subs'!#REF!</definedName>
    <definedName name="MENU">#REF!</definedName>
    <definedName name="METH">[13]DEPR96!#REF!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'[25]Aday IS EG Subs'!#REF!</definedName>
    <definedName name="Midstream_Purch_Acct_YR_2006">'[25]Aday IS EG Subs'!#REF!</definedName>
    <definedName name="Midstream_Purch_Acct_YR_2007">'[25]Aday IS EG Subs'!#REF!</definedName>
    <definedName name="Midstream_Purch_Acct_YR_2008">'[25]Aday IS EG Subs'!#REF!</definedName>
    <definedName name="MILESTONES_1">#REF!</definedName>
    <definedName name="MILESTONES_2">#REF!</definedName>
    <definedName name="Millennium_Pipeline">#REF!</definedName>
    <definedName name="Millennium_Pipeline_YR_2005">'[25]Aday IS EG Subs'!#REF!</definedName>
    <definedName name="Millennium_Pipeline_YR_2006">'[25]Aday IS EG Subs'!#REF!</definedName>
    <definedName name="Millennium_Pipeline_YR_2007">'[25]Aday IS EG Subs'!#REF!</definedName>
    <definedName name="Millennium_Pipeline_YR_2008">'[25]Aday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'[26]Input Page'!#REF!</definedName>
    <definedName name="mix_total">'[26]Input Page'!#REF!</definedName>
    <definedName name="MO">[13]DEPR96!#REF!</definedName>
    <definedName name="mode">#REF!</definedName>
    <definedName name="modelgrheader">[3]Model!$A$3</definedName>
    <definedName name="modelqreheader">[3]Model!$A$78</definedName>
    <definedName name="month">[52]RPT80MAR!$A$1:$D$77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rtgage_Bonds__Notes___Other">#REF!</definedName>
    <definedName name="MTC_Amortization">'[30]JFJ-3 MTC Rate'!$A$32:$F$82</definedName>
    <definedName name="MTC_Type">#REF!</definedName>
    <definedName name="NavPane">#REF!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w" hidden="1">{#N/A,#N/A,FALSE,"O&amp;M by processes";#N/A,#N/A,FALSE,"Elec Act vs Bud";#N/A,#N/A,FALSE,"G&amp;A";#N/A,#N/A,FALSE,"BGS";#N/A,#N/A,FALSE,"Res Cost"}</definedName>
    <definedName name="New_Investments___Plant_Retirements">#REF!</definedName>
    <definedName name="NEW_YEAR">#REF!</definedName>
    <definedName name="NewHire">8500</definedName>
    <definedName name="NEXT_STEP">[3]Comparison!$CK$14</definedName>
    <definedName name="Node">[53]Hierarchy!$B$2:$E$16455</definedName>
    <definedName name="non_cap_int">'[26]Input Page'!$E$15</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te__Use_____signage_for_capital_inputs">#REF!</definedName>
    <definedName name="Notes_Receivable">#REF!</definedName>
    <definedName name="Notes_Receivable___Current">#REF!</definedName>
    <definedName name="NOV">#REF!</definedName>
    <definedName name="NPPBC">#REF!</definedName>
    <definedName name="Nuclear_Decommissioning">#REF!</definedName>
    <definedName name="Nuclear_Decommissioning_Trust_Funds">#REF!</definedName>
    <definedName name="Nuclear_Secur_Date">[18]Assumptions!$E$21</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[54]Sheet1!$H$75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'[25]Aday IS EG Subs'!#REF!</definedName>
    <definedName name="Oil___Gas_E_P_YR_2006">'[25]Aday IS EG Subs'!#REF!</definedName>
    <definedName name="Oil___Gas_E_P_YR_2007">'[25]Aday IS EG Subs'!#REF!</definedName>
    <definedName name="Oil___Gas_E_P_YR_2008">'[25]Aday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'[55]Income Statement'!#REF!</definedName>
    <definedName name="ORACLE_DEPRECIATION">'[56]Agriliance-allassets'!$A$1:$EG$15622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'[25]Aday IS DECo &amp; Other'!#REF!</definedName>
    <definedName name="Other_EG_Reg__excl_MichCon_Util__YR_2004">'[25]Aday IS DECo &amp; Other'!#REF!</definedName>
    <definedName name="Other_EG_Reg__excl_MichCon_Util__YR_2005">'[25]Aday IS DECo &amp; Other'!#REF!</definedName>
    <definedName name="Other_EG_Reg__excl_MichCon_Util__YR_2006">'[25]Aday IS DECo &amp; Other'!#REF!</definedName>
    <definedName name="Other_EG_Reg__excl_MichCon_Util__YR_2007">'[25]Aday IS DECo &amp; Other'!#REF!</definedName>
    <definedName name="Other_EG_Reg__excl_MichCon_Util__YR_2008">'[25]Aday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'[20]Input Page'!$G$10</definedName>
    <definedName name="other_mix_total">'[20]Input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2_Records">#REF!</definedName>
    <definedName name="PAGE">#REF!</definedName>
    <definedName name="PAGE_1">#REF!</definedName>
    <definedName name="PAGE1">#REF!</definedName>
    <definedName name="PAGE2">#REF!</definedName>
    <definedName name="PAGE20">#REF!</definedName>
    <definedName name="PAGE21">#REF!</definedName>
    <definedName name="PAGE3">#REF!</definedName>
    <definedName name="PAGE4">#REF!</definedName>
    <definedName name="PAGE5">#REF!</definedName>
    <definedName name="PAGE6">#REF!</definedName>
    <definedName name="PAGE7">#REF!</definedName>
    <definedName name="PAGE8">#REF!</definedName>
    <definedName name="PAYROLL">#REF!</definedName>
    <definedName name="pctHW">[35]Input!$M$24</definedName>
    <definedName name="pctSWExp">[35]Input!$M$26</definedName>
    <definedName name="pctTraining">[35]Input!$M$25</definedName>
    <definedName name="pe">[3]Print!$A$2</definedName>
    <definedName name="PED">#REF!</definedName>
    <definedName name="PEOPLE">#REF!</definedName>
    <definedName name="PER">#REF!</definedName>
    <definedName name="Permanent_Differences_CPM">#REF!</definedName>
    <definedName name="PG3A">#REF!</definedName>
    <definedName name="PGAUG">#REF!</definedName>
    <definedName name="pgprct">'[21]Percent Read YTD '!#REF!</definedName>
    <definedName name="PGPSA">#REF!</definedName>
    <definedName name="Phase">'[3]Macro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'[25]Aday IS EG Subs'!#REF!</definedName>
    <definedName name="Pipeline_Eliminations_YR_2006">'[25]Aday IS EG Subs'!#REF!</definedName>
    <definedName name="Pipeline_Eliminations_YR_2007">'[25]Aday IS EG Subs'!#REF!</definedName>
    <definedName name="Pipeline_Eliminations_YR_2008">'[25]Aday IS EG Subs'!#REF!</definedName>
    <definedName name="Pipeline_Parent">#REF!</definedName>
    <definedName name="Pipeline_Parent_YR_2005">'[25]Aday IS EG Subs'!#REF!</definedName>
    <definedName name="Pipeline_Parent_YR_2006">'[25]Aday IS EG Subs'!#REF!</definedName>
    <definedName name="Pipeline_Parent_YR_2007">'[25]Aday IS EG Subs'!#REF!</definedName>
    <definedName name="Pipeline_Parent_YR_2008">'[25]Aday IS EG Subs'!#REF!</definedName>
    <definedName name="pla">#REF!</definedName>
    <definedName name="PLACE_HOLD">#REF!</definedName>
    <definedName name="Plant___Equipment_Expenditures">#REF!</definedName>
    <definedName name="PLTDEC00">[57]PLTSTM!#REF!</definedName>
    <definedName name="PLTDECTK">[58]PLTSTM!#REF!</definedName>
    <definedName name="Portland_Pipeline">#REF!</definedName>
    <definedName name="Portland_Pipeline_YR_2005">'[25]Aday IS EG Subs'!#REF!</definedName>
    <definedName name="Portland_Pipeline_YR_2006">'[25]Aday IS EG Subs'!#REF!</definedName>
    <definedName name="Portland_Pipeline_YR_2007">'[25]Aday IS EG Subs'!#REF!</definedName>
    <definedName name="Portland_Pipeline_YR_2008">'[25]Aday IS EG Subs'!#REF!</definedName>
    <definedName name="post_fossil">[30]Assumptions!$E$59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[18]Assumptions!$E$38</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'[30]MTC Return'!$F$18</definedName>
    <definedName name="PRINT">#REF!</definedName>
    <definedName name="Print.selection.print" localSheetId="7">#REF!</definedName>
    <definedName name="Print.selection.print">#REF!</definedName>
    <definedName name="PRINT_1">#REF!</definedName>
    <definedName name="PRINT_2">#REF!</definedName>
    <definedName name="PRINT_3">#REF!</definedName>
    <definedName name="_xlnm.Print_Area" localSheetId="4">'3 - Revenue Credits'!$A$1:$G$44</definedName>
    <definedName name="_xlnm.Print_Area" localSheetId="6">'5 - Cost Support 1'!$A$1:$R$254</definedName>
    <definedName name="_xlnm.Print_Area" localSheetId="7">'5a Affiliate Allocations'!$A$1:$M$177</definedName>
    <definedName name="_xlnm.Print_Area" localSheetId="0">'ATT H-9A'!$A$1:$H$328</definedName>
    <definedName name="_xlnm.Print_Area">#REF!</definedName>
    <definedName name="Print_Area_1">#REF!</definedName>
    <definedName name="Print_Area_MI">#REF!</definedName>
    <definedName name="Print_Area2">#REF!</definedName>
    <definedName name="PRINT_BUDGET">#REF!</definedName>
    <definedName name="PRINT_SET_UP">#REF!</definedName>
    <definedName name="Print_Titles_MI">'[59]DACTIVE$'!$A$1:$IV$4,'[59]DACTIVE$'!$A$1:$A$65536</definedName>
    <definedName name="PRINT2">#REF!</definedName>
    <definedName name="printarea">#REF!</definedName>
    <definedName name="PrintareaDec">'[60]kWh-Mcf'!$E$97,'[60]kWh-Mcf'!$A$81:$E$118,'[60]kWh-Mcf'!$AM$86:$AO$118</definedName>
    <definedName name="printyearfrom">#REF!</definedName>
    <definedName name="printyearto">#REF!</definedName>
    <definedName name="PRIOR">[13]DEPR96!#REF!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'[20]Input Page'!$G$30</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'[25]Aday IS EG Subs'!#REF!</definedName>
    <definedName name="Processing_Plants_YR_2006">'[25]Aday IS EG Subs'!#REF!</definedName>
    <definedName name="Processing_Plants_YR_2007">'[25]Aday IS EG Subs'!#REF!</definedName>
    <definedName name="Processing_Plants_YR_2008">'[25]Aday IS EG Subs'!#REF!</definedName>
    <definedName name="PROD">[13]DEPR96!#REF!</definedName>
    <definedName name="prod_depr">'[26]Input Page'!$E$17</definedName>
    <definedName name="Prod_Num">'[55]Income Statement'!#REF!</definedName>
    <definedName name="profitPerCust">[35]Input!#REF!</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TX">[13]DEPR96!#REF!</definedName>
    <definedName name="PTXA">[13]DEPR96!#REF!</definedName>
    <definedName name="PTXC">[13]DEPR96!#REF!</definedName>
    <definedName name="PTXDATE">#REF!</definedName>
    <definedName name="PTXYRS">[13]DEPR96!#REF!</definedName>
    <definedName name="Purchase_Accounting_Reclass">#REF!</definedName>
    <definedName name="Purchase_Accounting_YR_2005">'[25]Aday IS DECo &amp; Other'!#REF!</definedName>
    <definedName name="Purchase_Accounting_YR_2006">'[25]Aday IS DECo &amp; Other'!#REF!</definedName>
    <definedName name="Purchase_Accounting_YR_2007">'[25]Aday IS DECo &amp; Other'!#REF!</definedName>
    <definedName name="Purchase_Accounting_YR_2008">'[25]Aday IS DECo &amp; Other'!#REF!</definedName>
    <definedName name="QES">'[3]Gross_Rec:QRE''s'!$B$53:$N$112</definedName>
    <definedName name="QRE_HELP">#REF!</definedName>
    <definedName name="QRE_MARGINS">#REF!</definedName>
    <definedName name="QRE_SUMMARY">'[3]QRE''s'!$A$7:$R$102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'[61]Boston Edison'!$A$1:$M$3434</definedName>
    <definedName name="qw">{"'Metretek HTML'!$A$7:$W$42"}</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[3]Model!$I$175</definedName>
    <definedName name="rate91">[3]Model!$J$175</definedName>
    <definedName name="rate92">[3]Model!$K$175</definedName>
    <definedName name="rate93">[3]Model!$L$175</definedName>
    <definedName name="rate94">[3]Model!$M$175</definedName>
    <definedName name="rate95">[3]Model!$N$175</definedName>
    <definedName name="rate96">[3]Model!$O$175</definedName>
    <definedName name="rate97">[3]Model!$P$175</definedName>
    <definedName name="rate98">[3]Model!$Q$175</definedName>
    <definedName name="rate99">#REF!</definedName>
    <definedName name="RawData">#REF!</definedName>
    <definedName name="RECON">#REF!</definedName>
    <definedName name="RECONCILIATION">#REF!</definedName>
    <definedName name="reduced_credit">[3]Print!$I$22</definedName>
    <definedName name="reduced_credit_caption">[3]Print!$G$22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ALE_CUSTOMERS">#REF!</definedName>
    <definedName name="RESALE_LINES">#REF!</definedName>
    <definedName name="RESERVE">#REF!</definedName>
    <definedName name="RESET">#REF!</definedName>
    <definedName name="RESET_SENS_FACT">#REF!</definedName>
    <definedName name="respc">'[62]Employee Headcount'!$N$6:$S$803</definedName>
    <definedName name="Restricted_Cash">#REF!</definedName>
    <definedName name="Restricted_Cash_Account">#REF!</definedName>
    <definedName name="Results">#REF!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LST">[13]DEPR96!#REF!</definedName>
    <definedName name="RPT_B">#REF!</definedName>
    <definedName name="RPT_G">#REF!</definedName>
    <definedName name="RPTX">#REF!</definedName>
    <definedName name="rrrr" hidden="1">{#N/A,#N/A,FALSE,"O&amp;M by processes";#N/A,#N/A,FALSE,"Elec Act vs Bud";#N/A,#N/A,FALSE,"G&amp;A";#N/A,#N/A,FALSE,"BGS";#N/A,#N/A,FALSE,"Res Cost"}</definedName>
    <definedName name="RSHCust">'[63]Chart6-8 data'!#REF!</definedName>
    <definedName name="RSUM">#REF!</definedName>
    <definedName name="RTT">#REF!</definedName>
    <definedName name="RunDateTime">#REF!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BU_SHEET_HELP">#REF!</definedName>
    <definedName name="SCD">#REF!</definedName>
    <definedName name="Schedule_CC1">[3]Model!$A$1:$IV$75</definedName>
    <definedName name="Schedule_CC2">[3]Model!$A$76:$IV$151</definedName>
    <definedName name="Schedule_CC3">[3]Model!$A$152:$IV$207</definedName>
    <definedName name="SCN">#REF!</definedName>
    <definedName name="Section_29_Tax_Credits">#REF!</definedName>
    <definedName name="sectionNames">#REF!</definedName>
    <definedName name="Securitization_Bonds">#REF!</definedName>
    <definedName name="Securitized_Bonds">#REF!</definedName>
    <definedName name="Securitized_Bonds_CPM">#REF!</definedName>
    <definedName name="Securitized_Regulatory_Assets">#REF!</definedName>
    <definedName name="SENS_DATA_RTN">#REF!</definedName>
    <definedName name="SENS_MESSAGE">#REF!</definedName>
    <definedName name="SENS_NET_CREDIT">[3]Sens_Model!$E$193</definedName>
    <definedName name="SEPT">#REF!</definedName>
    <definedName name="SFC">#REF!</definedName>
    <definedName name="SFD">#REF!</definedName>
    <definedName name="SFV">#REF!</definedName>
    <definedName name="shedulecc1">[3]Model!$A$1:$IV$68</definedName>
    <definedName name="Sheet1NvsInstanceHook">Collapse_Columns</definedName>
    <definedName name="shiva" hidden="1">{#N/A,#N/A,FALSE,"O&amp;M by processes";#N/A,#N/A,FALSE,"Elec Act vs Bud";#N/A,#N/A,FALSE,"G&amp;A";#N/A,#N/A,FALSE,"BGS";#N/A,#N/A,FALSE,"Res Cost"}</definedName>
    <definedName name="Short_Term_Borrowings">#REF!</definedName>
    <definedName name="Short_Term_Debt">#REF!</definedName>
    <definedName name="sixthyear">#REF!</definedName>
    <definedName name="So._Missouri">#REF!</definedName>
    <definedName name="So._Missouri_YR_2005">'[25]Aday IS EG Subs'!#REF!</definedName>
    <definedName name="So._Missouri_YR_2006">'[25]Aday IS EG Subs'!#REF!</definedName>
    <definedName name="So._Missouri_YR_2007">'[25]Aday IS EG Subs'!#REF!</definedName>
    <definedName name="So._Missouri_YR_2008">'[25]Aday IS EG Subs'!#REF!</definedName>
    <definedName name="SoMo2003">#REF!</definedName>
    <definedName name="SoMo2004">#REF!</definedName>
    <definedName name="SoMo2005">#REF!</definedName>
    <definedName name="SoMo2006">#REF!</definedName>
    <definedName name="SoMo2007">#REF!</definedName>
    <definedName name="SoMo2008">#REF!</definedName>
    <definedName name="SOSMIGR">#REF!</definedName>
    <definedName name="SOSMIGRDETAIL">#REF!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{"'Metretek HTML'!$A$7:$W$42"}</definedName>
    <definedName name="ST">#REF!</definedName>
    <definedName name="start00">#REF!</definedName>
    <definedName name="start01">#REF!</definedName>
    <definedName name="start02">#REF!</definedName>
    <definedName name="start03">#REF!</definedName>
    <definedName name="start1">#REF!</definedName>
    <definedName name="start84">'[3]QRE''s'!$D$8</definedName>
    <definedName name="start85">'[3]QRE''s'!$E$8</definedName>
    <definedName name="start86">'[3]QRE''s'!$F$8</definedName>
    <definedName name="start87">'[3]QRE''s'!$G$8</definedName>
    <definedName name="start88">'[3]QRE''s'!$H$8</definedName>
    <definedName name="start89">'[3]QRE''s'!$I$8</definedName>
    <definedName name="start90">'[3]QRE''s'!$J$8</definedName>
    <definedName name="start91">'[3]QRE''s'!$K$8</definedName>
    <definedName name="start92">'[3]QRE''s'!$L$8</definedName>
    <definedName name="start93">'[3]QRE''s'!$M$8</definedName>
    <definedName name="start94">'[3]QRE''s'!$N$8</definedName>
    <definedName name="start95">'[3]QRE''s'!$O$8</definedName>
    <definedName name="start96">'[3]QRE''s'!$P$8</definedName>
    <definedName name="start97">'[3]QRE''s'!$Q$8</definedName>
    <definedName name="start98">'[3]QRE''s'!$R$8</definedName>
    <definedName name="start99">#REF!</definedName>
    <definedName name="State">[64]List!$A$2:$A$53</definedName>
    <definedName name="StateDef">#REF!</definedName>
    <definedName name="stats">#REF!</definedName>
    <definedName name="statsrevised" hidden="1">{#N/A,#N/A,FALSE,"O&amp;M by processes";#N/A,#N/A,FALSE,"Elec Act vs Bud";#N/A,#N/A,FALSE,"G&amp;A";#N/A,#N/A,FALSE,"BGS";#N/A,#N/A,FALSE,"Res Cost"}</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'[26]Input Page'!$E$9</definedName>
    <definedName name="store_total">'[26]Input Page'!$E$10</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'[25]Aday IS DECo &amp; Other'!#REF!</definedName>
    <definedName name="Subtotal_Energy_Res_Consol_YR_2006">'[25]Aday IS DECo &amp; Other'!#REF!</definedName>
    <definedName name="Subtotal_Energy_Res_Consol_YR_2007">'[25]Aday IS DECo &amp; Other'!#REF!</definedName>
    <definedName name="Subtotal_Energy_Res_Consol_YR_2008">'[25]Aday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[3]Model!$A$202:$IV$207</definedName>
    <definedName name="SUMMARYOFBOOKINCOME">#REF!</definedName>
    <definedName name="support" hidden="1">{#N/A,#N/A,FALSE,"O&amp;M by processes";#N/A,#N/A,FALSE,"Elec Act vs Bud";#N/A,#N/A,FALSE,"G&amp;A";#N/A,#N/A,FALSE,"BGS";#N/A,#N/A,FALSE,"Res Cost"}</definedName>
    <definedName name="SUPPORTACT">'[2]Curr adj - depn basis diff'!#REF!</definedName>
    <definedName name="supporti" hidden="1">{#N/A,#N/A,FALSE,"O&amp;M by processes";#N/A,#N/A,FALSE,"Elec Act vs Bud";#N/A,#N/A,FALSE,"G&amp;A";#N/A,#N/A,FALSE,"BGS";#N/A,#N/A,FALSE,"Res Cost"}</definedName>
    <definedName name="SUT">#REF!</definedName>
    <definedName name="Swap_Amort">'[30]Keystone Swap Amort Sched'!$A$1:$F$241</definedName>
    <definedName name="SWITCH">[10]Assump!#REF!</definedName>
    <definedName name="Syndeco_Realty">#REF!</definedName>
    <definedName name="Syndeco_Realty_YR_2005">'[25]Aday IS DECo &amp; Other'!#REF!</definedName>
    <definedName name="Syndeco_Realty_YR_2006">'[25]Aday IS DECo &amp; Other'!#REF!</definedName>
    <definedName name="Syndeco_Realty_YR_2007">'[25]Aday IS DECo &amp; Other'!#REF!</definedName>
    <definedName name="Syndeco_Realty_YR_2008">'[25]Aday IS DECo &amp; Other'!#REF!</definedName>
    <definedName name="Synfuel_Gain__Loss__CPM">#REF!</definedName>
    <definedName name="sysOpImprov">[35]Input!#REF!</definedName>
    <definedName name="sysOpYears">[35]Input!#REF!</definedName>
    <definedName name="t_and_d_exp">'[26]Input Page'!#REF!</definedName>
    <definedName name="TABLE">#REF!</definedName>
    <definedName name="TABLE_A">#REF!</definedName>
    <definedName name="TABLE_A2">#REF!</definedName>
    <definedName name="TABLE_B">#REF!</definedName>
    <definedName name="Tacx_Factor">[30]Assumptions!$E$52</definedName>
    <definedName name="tax_base_on_inc">'[26]Input Page'!$E$14</definedName>
    <definedName name="tax_basis">'[26]Input Page'!$E$18</definedName>
    <definedName name="Tax_Credits_CPM">#REF!</definedName>
    <definedName name="Tax_Rate">#REF!</definedName>
    <definedName name="TAXES">#REF!</definedName>
    <definedName name="Taxrate">'[65]Case study '!$C$28</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'[3]Macro Tables'!$I$5:$I$16</definedName>
    <definedName name="tblHelp">'[3]Macro Tables'!$N$5:$N$16</definedName>
    <definedName name="tblReports">'[3]Macro Tables'!$B$5:$B$16</definedName>
    <definedName name="tblWorksheets">'[3]Macro Tables'!$E$5:$E$16</definedName>
    <definedName name="TEFA">#REF!</definedName>
    <definedName name="Temp_Investment___Affiliate">#REF!</definedName>
    <definedName name="test">{"'Metretek HTML'!$A$7:$W$42"}</definedName>
    <definedName name="TEST0">#REF!</definedName>
    <definedName name="TEST1">#REF!</definedName>
    <definedName name="TEST2">#REF!</definedName>
    <definedName name="TEST3">#REF!</definedName>
    <definedName name="TESTHKEY">'[38]190100'!#REF!</definedName>
    <definedName name="TESTKEYS">#REF!</definedName>
    <definedName name="TESTVKEY">#REF!</definedName>
    <definedName name="TEXT">{"'Metretek HTML'!$A$7:$W$42"}</definedName>
    <definedName name="thousand">1000</definedName>
    <definedName name="TIM">[66]Comp!#REF!</definedName>
    <definedName name="TITLES">#REF!</definedName>
    <definedName name="TMRI">#REF!</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'[26]Input Page'!$E$12</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'[26]Input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'[3]QRE''s'!$D$96</definedName>
    <definedName name="total85">'[3]QRE''s'!$E$96</definedName>
    <definedName name="total86">'[3]QRE''s'!$F$96</definedName>
    <definedName name="total87">'[3]QRE''s'!$G$96</definedName>
    <definedName name="total88">'[3]QRE''s'!$H$96</definedName>
    <definedName name="total89">'[3]QRE''s'!$I$96</definedName>
    <definedName name="total90">'[3]QRE''s'!$J$96</definedName>
    <definedName name="total91">'[3]QRE''s'!$K$96</definedName>
    <definedName name="total92">'[3]QRE''s'!$L$96</definedName>
    <definedName name="total93">'[3]QRE''s'!$M$96</definedName>
    <definedName name="total94">'[3]QRE''s'!$N$96</definedName>
    <definedName name="total95">'[3]QRE''s'!$O$96</definedName>
    <definedName name="total96">'[3]QRE''s'!$P$96</definedName>
    <definedName name="total97">'[3]QRE''s'!$Q$96</definedName>
    <definedName name="total98">'[3]QRE''s'!$R$96</definedName>
    <definedName name="total99">#REF!</definedName>
    <definedName name="TOTALACT">'[2]Curr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_Footer_Path">"S:\04291\05ret\othsys\team\disclosure\"</definedName>
    <definedName name="TP_Footer_User">"Amy Conoscenti"</definedName>
    <definedName name="TP_Footer_Version">"v3.00"</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ueup">[17]December!#REF!</definedName>
    <definedName name="TRWP_43">#REF!</definedName>
    <definedName name="TRWP16">#REF!</definedName>
    <definedName name="tsgsf">"467GDHUY063FE1Q3S2Y9KSMQ8"</definedName>
    <definedName name="UE_IL_EZ_parcels">#REF!</definedName>
    <definedName name="Unamortized_Investment_Tax_Credit">#REF!</definedName>
    <definedName name="Uncollectible">#REF!</definedName>
    <definedName name="Underrecovery_of_Supply_Costs">#REF!</definedName>
    <definedName name="Units">#REF!</definedName>
    <definedName name="UTIL">#REF!</definedName>
    <definedName name="Utility_Plant_Expenditures">#REF!</definedName>
    <definedName name="Utility_Plant_Retirements__input">#REF!</definedName>
    <definedName name="UTILRANGE">#REF!</definedName>
    <definedName name="v">[67]Cover!$A$9</definedName>
    <definedName name="valDate">[33]Inputs!$B$1</definedName>
    <definedName name="Vector_Pipeline">#REF!</definedName>
    <definedName name="Vector_Pipeline_YR_2005">'[25]Aday IS EG Subs'!#REF!</definedName>
    <definedName name="Vector_Pipeline_YR_2006">'[25]Aday IS EG Subs'!#REF!</definedName>
    <definedName name="Vector_Pipeline_YR_2007">'[25]Aday IS EG Subs'!#REF!</definedName>
    <definedName name="Vector_Pipeline_YR_2008">'[25]Aday IS EG Subs'!#REF!</definedName>
    <definedName name="version">[68]Cover!$A$9</definedName>
    <definedName name="WATERACT">'[2]Curr adj - depn basis diff'!#REF!</definedName>
    <definedName name="WCCGCR2">[63]Rates!$B$96:$C$190</definedName>
    <definedName name="we">{"'Metretek HTML'!$A$7:$W$42"}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rk_Performed_report">#REF!</definedName>
    <definedName name="Working_Capital_Changes">#REF!</definedName>
    <definedName name="Working_Capital_CPM">#REF!</definedName>
    <definedName name="WORKSHEET">#REF!</definedName>
    <definedName name="WORKSHEET2">#REF!</definedName>
    <definedName name="wrn" hidden="1">{#N/A,#N/A,FALSE,"O&amp;M by processes";#N/A,#N/A,FALSE,"Elec Act vs Bud";#N/A,#N/A,FALSE,"G&amp;A";#N/A,#N/A,FALSE,"BGS";#N/A,#N/A,FALSE,"Res Cost"}</definedName>
    <definedName name="wrn.722." hidden="1">{#N/A,#N/A,FALSE,"CURRENT"}</definedName>
    <definedName name="wrn.AGT." hidden="1">{"AGT",#N/A,FALSE,"Revenue"}</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hidden="1">{#N/A,#N/A,FALSE,"Work performed";#N/A,#N/A,FALSE,"Resources"}</definedName>
    <definedName name="wrn.Tax._.Accrual." hidden="1">{#N/A,#N/A,TRUE,"TAXPROV";#N/A,#N/A,TRUE,"FLOWTHRU";#N/A,#N/A,TRUE,"SCHEDULE M'S";#N/A,#N/A,TRUE,"PLANT M'S";#N/A,#N/A,TRUE,"TAXJE"}</definedName>
    <definedName name="xa">{"'Metretek HTML'!$A$7:$W$42"}</definedName>
    <definedName name="xls">{"'Metretek HTML'!$A$7:$W$42"}</definedName>
    <definedName name="XO">{"'Metretek HTML'!$A$7:$W$42"}</definedName>
    <definedName name="xs">{"'Metretek HTML'!$A$7:$W$42"}</definedName>
    <definedName name="xTc">'[69]PMG Annual'!#REF!</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[70]INPUTS!$C$17</definedName>
    <definedName name="yeartodate">[52]RPT80MAR!$A$84:$D$158</definedName>
    <definedName name="YEDATE">#REF!</definedName>
    <definedName name="YR_2005">'[25]Aday IS EG Subs'!#REF!</definedName>
    <definedName name="YR_2006">'[25]Aday IS EG Subs'!#REF!</definedName>
    <definedName name="YR_2007">'[25]Aday IS EG Subs'!#REF!</definedName>
    <definedName name="YR_2008">'[25]Aday IS EG Subs'!#REF!</definedName>
    <definedName name="yrtm1">[3]Print!$I$31</definedName>
    <definedName name="yrtm2">[3]Print!$G$31</definedName>
    <definedName name="yrtm3">[3]Print!$E$31</definedName>
    <definedName name="yrtm4">[3]Print!$C$31</definedName>
    <definedName name="ytd">#REF!</definedName>
    <definedName name="yy">{"'Metretek HTML'!$A$7:$W$42"}</definedName>
    <definedName name="zaph">#REF!</definedName>
    <definedName name="zero">0</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2" i="9" l="1"/>
  <c r="G41" i="9"/>
  <c r="H104" i="9" l="1"/>
  <c r="F104" i="9"/>
  <c r="E104" i="9"/>
  <c r="F125" i="4" l="1"/>
  <c r="D115" i="3" l="1"/>
  <c r="G209" i="3" l="1"/>
  <c r="G222" i="3"/>
  <c r="H180" i="10" l="1"/>
  <c r="H41" i="11" l="1"/>
  <c r="J39" i="11"/>
  <c r="J38" i="11"/>
  <c r="J37" i="11"/>
  <c r="J36" i="11"/>
  <c r="J35" i="11"/>
  <c r="J34" i="11"/>
  <c r="J33" i="11"/>
  <c r="J32" i="11"/>
  <c r="J31" i="11"/>
  <c r="H31" i="11"/>
  <c r="F31" i="11"/>
  <c r="F41" i="11" s="1"/>
  <c r="D31" i="11"/>
  <c r="D41" i="11" s="1"/>
  <c r="B31" i="11"/>
  <c r="B41" i="11" s="1"/>
  <c r="J30" i="11"/>
  <c r="J29" i="11"/>
  <c r="J28" i="11"/>
  <c r="J27" i="11"/>
  <c r="J26" i="11"/>
  <c r="J25" i="11"/>
  <c r="J24" i="11"/>
  <c r="J23" i="11"/>
  <c r="J22" i="11"/>
  <c r="J21" i="11"/>
  <c r="J20" i="11"/>
  <c r="J19" i="11"/>
  <c r="J18" i="11"/>
  <c r="J17" i="11"/>
  <c r="J16" i="11"/>
  <c r="J15" i="11"/>
  <c r="J14" i="11"/>
  <c r="J13" i="11"/>
  <c r="J12" i="11"/>
  <c r="J11" i="11"/>
  <c r="J41" i="11" s="1"/>
  <c r="J10" i="11"/>
  <c r="J9" i="11"/>
  <c r="H292" i="10" l="1"/>
  <c r="H287" i="10"/>
  <c r="H264" i="10"/>
  <c r="H256" i="10"/>
  <c r="H228" i="10"/>
  <c r="H222" i="10"/>
  <c r="I62" i="5" s="1"/>
  <c r="H197" i="10"/>
  <c r="H181" i="10"/>
  <c r="H163" i="10"/>
  <c r="H162" i="10"/>
  <c r="H154" i="10"/>
  <c r="H142" i="10"/>
  <c r="H138" i="10"/>
  <c r="H126" i="10"/>
  <c r="H116" i="10"/>
  <c r="H105" i="10"/>
  <c r="H104" i="10"/>
  <c r="H81" i="10"/>
  <c r="H79" i="10"/>
  <c r="H75" i="10"/>
  <c r="H51" i="10"/>
  <c r="H42" i="10"/>
  <c r="G15" i="9"/>
  <c r="F32" i="8"/>
  <c r="A1" i="8"/>
  <c r="C29" i="7"/>
  <c r="A1" i="6"/>
  <c r="G71" i="5"/>
  <c r="G70" i="5"/>
  <c r="G69" i="5"/>
  <c r="I68" i="5"/>
  <c r="G68" i="5"/>
  <c r="I63" i="5"/>
  <c r="G63" i="5"/>
  <c r="I61" i="5"/>
  <c r="G56" i="5"/>
  <c r="C56" i="5"/>
  <c r="A56" i="5"/>
  <c r="G54" i="5"/>
  <c r="C54" i="5"/>
  <c r="A54" i="5"/>
  <c r="G53" i="5"/>
  <c r="F53" i="5"/>
  <c r="D53" i="5"/>
  <c r="A53" i="5"/>
  <c r="G52" i="5"/>
  <c r="F52" i="5"/>
  <c r="D52" i="5"/>
  <c r="A52" i="5"/>
  <c r="G51" i="5"/>
  <c r="F51" i="5"/>
  <c r="D51" i="5"/>
  <c r="A51" i="5"/>
  <c r="I49" i="5"/>
  <c r="F49" i="5"/>
  <c r="D49" i="5"/>
  <c r="A49" i="5"/>
  <c r="G48" i="5"/>
  <c r="F48" i="5"/>
  <c r="D48" i="5"/>
  <c r="A48" i="5"/>
  <c r="G47" i="5"/>
  <c r="F47" i="5"/>
  <c r="D47" i="5"/>
  <c r="A47" i="5"/>
  <c r="G45" i="5"/>
  <c r="F45" i="5"/>
  <c r="D45" i="5"/>
  <c r="A45" i="5"/>
  <c r="G44" i="5"/>
  <c r="F44" i="5"/>
  <c r="D44" i="5"/>
  <c r="A44" i="5"/>
  <c r="G43" i="5"/>
  <c r="F43" i="5"/>
  <c r="D43" i="5"/>
  <c r="A43" i="5"/>
  <c r="G41" i="5"/>
  <c r="D41" i="5"/>
  <c r="A41" i="5"/>
  <c r="G40" i="5"/>
  <c r="D40" i="5"/>
  <c r="A40" i="5"/>
  <c r="I39" i="5"/>
  <c r="G39" i="5"/>
  <c r="D39" i="5"/>
  <c r="A39" i="5"/>
  <c r="G38" i="5"/>
  <c r="D38" i="5"/>
  <c r="A38" i="5"/>
  <c r="I37" i="5"/>
  <c r="G37" i="5"/>
  <c r="F37" i="5"/>
  <c r="D37" i="5"/>
  <c r="A37" i="5"/>
  <c r="G36" i="5"/>
  <c r="F36" i="5"/>
  <c r="D36" i="5"/>
  <c r="A36" i="5"/>
  <c r="I35" i="5"/>
  <c r="G35" i="5"/>
  <c r="F35" i="5"/>
  <c r="D35" i="5"/>
  <c r="A35" i="5"/>
  <c r="I34" i="5"/>
  <c r="G34" i="5"/>
  <c r="F34" i="5"/>
  <c r="D34" i="5"/>
  <c r="A34" i="5"/>
  <c r="I33" i="5"/>
  <c r="G33" i="5"/>
  <c r="D33" i="5"/>
  <c r="A33" i="5"/>
  <c r="C32" i="5"/>
  <c r="G30" i="5"/>
  <c r="D30" i="5"/>
  <c r="A30" i="5"/>
  <c r="I29" i="5"/>
  <c r="G29" i="5"/>
  <c r="F29" i="5"/>
  <c r="D29" i="5"/>
  <c r="A29" i="5"/>
  <c r="G28" i="5"/>
  <c r="F28" i="5"/>
  <c r="D28" i="5"/>
  <c r="A28" i="5"/>
  <c r="I27" i="5"/>
  <c r="G27" i="5"/>
  <c r="D27" i="5"/>
  <c r="A27" i="5"/>
  <c r="C26" i="5"/>
  <c r="I24" i="5"/>
  <c r="G24" i="5"/>
  <c r="F24" i="5"/>
  <c r="C24" i="5"/>
  <c r="A24" i="5"/>
  <c r="G22" i="5"/>
  <c r="D22" i="5"/>
  <c r="A22" i="5"/>
  <c r="I21" i="5"/>
  <c r="G21" i="5"/>
  <c r="E21" i="5"/>
  <c r="D21" i="5"/>
  <c r="A21" i="5"/>
  <c r="I20" i="5"/>
  <c r="G20" i="5"/>
  <c r="D20" i="5"/>
  <c r="A20" i="5"/>
  <c r="C19" i="5"/>
  <c r="G16" i="5"/>
  <c r="C16" i="5"/>
  <c r="A16" i="5"/>
  <c r="A1" i="5"/>
  <c r="E249" i="3"/>
  <c r="E248" i="3"/>
  <c r="F161" i="3"/>
  <c r="E161" i="3"/>
  <c r="C161" i="3"/>
  <c r="A161" i="3"/>
  <c r="C153" i="3"/>
  <c r="A153" i="3"/>
  <c r="B152" i="3"/>
  <c r="A150" i="3"/>
  <c r="F144" i="3"/>
  <c r="E144" i="3"/>
  <c r="C144" i="3"/>
  <c r="A144" i="3"/>
  <c r="B143" i="3"/>
  <c r="F138" i="3"/>
  <c r="C138" i="3"/>
  <c r="A138" i="3"/>
  <c r="F137" i="3"/>
  <c r="C137" i="3"/>
  <c r="A137" i="3"/>
  <c r="F129" i="3"/>
  <c r="E129" i="3"/>
  <c r="C129" i="3"/>
  <c r="A129" i="3"/>
  <c r="F124" i="3"/>
  <c r="E124" i="3"/>
  <c r="C124" i="3"/>
  <c r="A124" i="3"/>
  <c r="E111" i="3"/>
  <c r="C111" i="3"/>
  <c r="B111" i="3"/>
  <c r="A110" i="3"/>
  <c r="H102" i="3"/>
  <c r="A100" i="3"/>
  <c r="F82" i="3"/>
  <c r="E82" i="3"/>
  <c r="C82" i="3"/>
  <c r="A82" i="3"/>
  <c r="F76" i="3"/>
  <c r="E76" i="3"/>
  <c r="C76" i="3"/>
  <c r="A76" i="3"/>
  <c r="E70" i="3"/>
  <c r="C70" i="3"/>
  <c r="A70" i="3"/>
  <c r="F63" i="3"/>
  <c r="E63" i="3"/>
  <c r="C63" i="3"/>
  <c r="A63" i="3"/>
  <c r="F57" i="3"/>
  <c r="E57" i="3"/>
  <c r="C57" i="3"/>
  <c r="A57" i="3"/>
  <c r="F55" i="3"/>
  <c r="E55" i="3"/>
  <c r="C55" i="3"/>
  <c r="A55" i="3"/>
  <c r="F49" i="3"/>
  <c r="E49" i="3"/>
  <c r="C49" i="3"/>
  <c r="A49" i="3"/>
  <c r="F43" i="3"/>
  <c r="E43" i="3"/>
  <c r="C43" i="3"/>
  <c r="A43" i="3"/>
  <c r="F41" i="3"/>
  <c r="E41" i="3"/>
  <c r="C41" i="3"/>
  <c r="A41" i="3"/>
  <c r="F40" i="3"/>
  <c r="E40" i="3"/>
  <c r="C40" i="3"/>
  <c r="A40" i="3"/>
  <c r="E38" i="3"/>
  <c r="C38" i="3"/>
  <c r="A38" i="3"/>
  <c r="F27" i="3"/>
  <c r="E27" i="3"/>
  <c r="C27" i="3"/>
  <c r="A27" i="3"/>
  <c r="F22" i="3"/>
  <c r="E22" i="3"/>
  <c r="C22" i="3"/>
  <c r="A22" i="3"/>
  <c r="F21" i="3"/>
  <c r="E21" i="3"/>
  <c r="C21" i="3"/>
  <c r="A21" i="3"/>
  <c r="F20" i="3"/>
  <c r="E20" i="3"/>
  <c r="C20" i="3"/>
  <c r="A20" i="3"/>
  <c r="F18" i="3"/>
  <c r="E18" i="3"/>
  <c r="C18" i="3"/>
  <c r="A18" i="3"/>
  <c r="F17" i="3"/>
  <c r="E17" i="3"/>
  <c r="C17" i="3"/>
  <c r="A17" i="3"/>
  <c r="F15" i="3"/>
  <c r="E15" i="3"/>
  <c r="C15" i="3"/>
  <c r="A15" i="3"/>
  <c r="F13" i="3"/>
  <c r="E13" i="3"/>
  <c r="C13" i="3"/>
  <c r="A13" i="3"/>
  <c r="F11" i="3"/>
  <c r="E11" i="3"/>
  <c r="C11" i="3"/>
  <c r="A11" i="3"/>
  <c r="F9" i="3"/>
  <c r="E9" i="3"/>
  <c r="C9" i="3"/>
  <c r="A9" i="3"/>
  <c r="F8" i="3"/>
  <c r="E8" i="3"/>
  <c r="C8" i="3"/>
  <c r="A8" i="3"/>
  <c r="F7" i="3"/>
  <c r="E7" i="3"/>
  <c r="C7" i="3"/>
  <c r="A7" i="3"/>
  <c r="G1" i="3"/>
  <c r="A1" i="4"/>
  <c r="E18" i="2"/>
  <c r="D18" i="2"/>
  <c r="E13" i="2"/>
  <c r="D13" i="2"/>
  <c r="E12" i="2"/>
  <c r="D12" i="2"/>
  <c r="C1" i="2"/>
  <c r="C18" i="1"/>
  <c r="A18" i="1"/>
  <c r="C14" i="1"/>
  <c r="B14" i="1"/>
  <c r="A14" i="1"/>
  <c r="A1" i="1"/>
  <c r="E252" i="3" l="1"/>
  <c r="C322" i="10"/>
  <c r="E292" i="10"/>
  <c r="H280" i="10"/>
  <c r="C280" i="10"/>
  <c r="H270" i="10"/>
  <c r="C269" i="10"/>
  <c r="E264" i="10"/>
  <c r="E256" i="10"/>
  <c r="H255" i="10"/>
  <c r="C255" i="10"/>
  <c r="E227" i="10"/>
  <c r="H224" i="10"/>
  <c r="E222" i="10"/>
  <c r="E209" i="10"/>
  <c r="H208" i="10"/>
  <c r="H200" i="10"/>
  <c r="F197" i="10"/>
  <c r="D197" i="10"/>
  <c r="E196" i="10"/>
  <c r="E194" i="10"/>
  <c r="H193" i="10"/>
  <c r="H188" i="10"/>
  <c r="H190" i="10" s="1"/>
  <c r="H182" i="10"/>
  <c r="E181" i="10"/>
  <c r="F165" i="10"/>
  <c r="H164" i="10"/>
  <c r="E163" i="10"/>
  <c r="E162" i="10"/>
  <c r="F159" i="10"/>
  <c r="E157" i="10"/>
  <c r="H143" i="10"/>
  <c r="E142" i="10"/>
  <c r="H141" i="10"/>
  <c r="E138" i="10"/>
  <c r="E137" i="10"/>
  <c r="F133" i="10"/>
  <c r="E131" i="10"/>
  <c r="E128" i="10"/>
  <c r="E124" i="10"/>
  <c r="E120" i="10"/>
  <c r="E119" i="10"/>
  <c r="H106" i="10"/>
  <c r="F105" i="10"/>
  <c r="E104" i="10"/>
  <c r="E105" i="10" s="1"/>
  <c r="F93" i="10"/>
  <c r="E92" i="10"/>
  <c r="E87" i="10"/>
  <c r="E75" i="10"/>
  <c r="F64" i="10"/>
  <c r="C64" i="10"/>
  <c r="H62" i="10"/>
  <c r="H61" i="10"/>
  <c r="C61" i="10"/>
  <c r="C60" i="10"/>
  <c r="E57" i="10"/>
  <c r="E51" i="10"/>
  <c r="F48" i="10"/>
  <c r="E46" i="10"/>
  <c r="H43" i="10"/>
  <c r="E40" i="10"/>
  <c r="E26" i="10"/>
  <c r="E25" i="10"/>
  <c r="H60" i="10"/>
  <c r="E24" i="10"/>
  <c r="H20" i="10"/>
  <c r="A20" i="10"/>
  <c r="A21" i="10" s="1"/>
  <c r="E19" i="10"/>
  <c r="A19" i="10"/>
  <c r="H16" i="10"/>
  <c r="H14" i="10"/>
  <c r="A12" i="10"/>
  <c r="A13" i="10" s="1"/>
  <c r="F130" i="9"/>
  <c r="F134" i="9" s="1"/>
  <c r="E130" i="9"/>
  <c r="E134" i="9" s="1"/>
  <c r="D105" i="9"/>
  <c r="K103" i="9"/>
  <c r="H103" i="9"/>
  <c r="G103" i="9"/>
  <c r="G106" i="9" s="1"/>
  <c r="F12" i="9" s="1"/>
  <c r="F103" i="9"/>
  <c r="E103" i="9"/>
  <c r="E106" i="9" s="1"/>
  <c r="D102" i="9"/>
  <c r="D101" i="9"/>
  <c r="M101" i="9" s="1"/>
  <c r="D100" i="9"/>
  <c r="M100" i="9" s="1"/>
  <c r="D99" i="9"/>
  <c r="M99" i="9" s="1"/>
  <c r="D98" i="9"/>
  <c r="M98" i="9" s="1"/>
  <c r="D97" i="9"/>
  <c r="D96" i="9"/>
  <c r="M96" i="9" s="1"/>
  <c r="D95" i="9"/>
  <c r="M95" i="9" s="1"/>
  <c r="K94" i="9"/>
  <c r="D76" i="9"/>
  <c r="M76" i="9" s="1"/>
  <c r="H75" i="9"/>
  <c r="G75" i="9"/>
  <c r="F75" i="9"/>
  <c r="E75" i="9"/>
  <c r="H74" i="9"/>
  <c r="G74" i="9"/>
  <c r="G77" i="9" s="1"/>
  <c r="F11" i="9" s="1"/>
  <c r="F74" i="9"/>
  <c r="E74" i="9"/>
  <c r="D73" i="9"/>
  <c r="M73" i="9" s="1"/>
  <c r="D72" i="9"/>
  <c r="M72" i="9" s="1"/>
  <c r="D71" i="9"/>
  <c r="M71" i="9" s="1"/>
  <c r="D70" i="9"/>
  <c r="M70" i="9" s="1"/>
  <c r="D69" i="9"/>
  <c r="M69" i="9" s="1"/>
  <c r="K68" i="9"/>
  <c r="K51" i="9"/>
  <c r="H50" i="9"/>
  <c r="D50" i="9" s="1"/>
  <c r="M50" i="9" s="1"/>
  <c r="H49" i="9"/>
  <c r="G49" i="9"/>
  <c r="F49" i="9"/>
  <c r="E49" i="9"/>
  <c r="H48" i="9"/>
  <c r="G48" i="9"/>
  <c r="F48" i="9"/>
  <c r="E48" i="9"/>
  <c r="E51" i="9" s="1"/>
  <c r="D46" i="9"/>
  <c r="D45" i="9"/>
  <c r="D44" i="9"/>
  <c r="M44" i="9" s="1"/>
  <c r="D43" i="9"/>
  <c r="M43" i="9" s="1"/>
  <c r="D42" i="9"/>
  <c r="M42" i="9" s="1"/>
  <c r="D41" i="9"/>
  <c r="M41" i="9" s="1"/>
  <c r="D40" i="9"/>
  <c r="M40" i="9" s="1"/>
  <c r="D39" i="9"/>
  <c r="M39" i="9" s="1"/>
  <c r="D38" i="9"/>
  <c r="M38" i="9" s="1"/>
  <c r="D37" i="9"/>
  <c r="M37" i="9" s="1"/>
  <c r="D36" i="9"/>
  <c r="M36" i="9" s="1"/>
  <c r="D35" i="9"/>
  <c r="M35" i="9" s="1"/>
  <c r="D34" i="9"/>
  <c r="M34" i="9" s="1"/>
  <c r="D33" i="9"/>
  <c r="M33" i="9" s="1"/>
  <c r="B68" i="8"/>
  <c r="B70" i="8" s="1"/>
  <c r="B49" i="8"/>
  <c r="B50" i="8" s="1"/>
  <c r="B51" i="8" s="1"/>
  <c r="B52" i="8" s="1"/>
  <c r="B53" i="8" s="1"/>
  <c r="B54" i="8" s="1"/>
  <c r="B55" i="8" s="1"/>
  <c r="B56" i="8" s="1"/>
  <c r="B57" i="8" s="1"/>
  <c r="B58" i="8" s="1"/>
  <c r="B59" i="8" s="1"/>
  <c r="B60" i="8" s="1"/>
  <c r="B61" i="8" s="1"/>
  <c r="B62" i="8" s="1"/>
  <c r="B63" i="8" s="1"/>
  <c r="B64" i="8" s="1"/>
  <c r="E41" i="8"/>
  <c r="E27" i="8"/>
  <c r="E32" i="8" s="1"/>
  <c r="C24" i="7"/>
  <c r="C28" i="7" s="1"/>
  <c r="C30" i="7" s="1"/>
  <c r="C35" i="7" s="1"/>
  <c r="C16" i="7"/>
  <c r="C11" i="7"/>
  <c r="C15" i="7" s="1"/>
  <c r="C23" i="7" s="1"/>
  <c r="D31" i="6"/>
  <c r="D21" i="6"/>
  <c r="D14" i="6"/>
  <c r="A13" i="6"/>
  <c r="A14" i="6" s="1"/>
  <c r="A15" i="6" s="1"/>
  <c r="A16" i="6" s="1"/>
  <c r="A17" i="6" s="1"/>
  <c r="A18" i="6" s="1"/>
  <c r="A19" i="6" s="1"/>
  <c r="A21" i="6" s="1"/>
  <c r="A12" i="6"/>
  <c r="D8" i="6"/>
  <c r="A61" i="5"/>
  <c r="A62" i="5" s="1"/>
  <c r="A63" i="5" s="1"/>
  <c r="A64" i="5" s="1"/>
  <c r="A65" i="5" s="1"/>
  <c r="A68" i="5" s="1"/>
  <c r="A69" i="5" s="1"/>
  <c r="A70" i="5" s="1"/>
  <c r="A71" i="5" s="1"/>
  <c r="A75" i="5" s="1"/>
  <c r="A77" i="5" s="1"/>
  <c r="I28" i="5"/>
  <c r="I30" i="5"/>
  <c r="I40" i="5" s="1"/>
  <c r="I22" i="5"/>
  <c r="D11" i="5"/>
  <c r="D170" i="4"/>
  <c r="A170" i="4"/>
  <c r="D166" i="4"/>
  <c r="A166" i="4"/>
  <c r="H162" i="4"/>
  <c r="D157" i="4"/>
  <c r="D156" i="4"/>
  <c r="E155" i="4"/>
  <c r="E156" i="4" s="1"/>
  <c r="E157" i="4" s="1"/>
  <c r="D155" i="4"/>
  <c r="E154" i="4"/>
  <c r="D154" i="4"/>
  <c r="D153" i="4"/>
  <c r="D152" i="4"/>
  <c r="D151" i="4"/>
  <c r="D150" i="4"/>
  <c r="D149" i="4"/>
  <c r="D148" i="4"/>
  <c r="D147" i="4"/>
  <c r="D146" i="4"/>
  <c r="E141" i="4"/>
  <c r="E142" i="4" s="1"/>
  <c r="E146" i="4" s="1"/>
  <c r="E147" i="4" s="1"/>
  <c r="E148" i="4" s="1"/>
  <c r="E149" i="4" s="1"/>
  <c r="E150" i="4" s="1"/>
  <c r="E151" i="4" s="1"/>
  <c r="E152" i="4" s="1"/>
  <c r="E139" i="4"/>
  <c r="E140" i="4" s="1"/>
  <c r="H133" i="4"/>
  <c r="H132" i="4"/>
  <c r="E132" i="4"/>
  <c r="E133" i="4" s="1"/>
  <c r="E134" i="4" s="1"/>
  <c r="E135" i="4" s="1"/>
  <c r="E136" i="4" s="1"/>
  <c r="E137" i="4" s="1"/>
  <c r="G131" i="4"/>
  <c r="G125" i="4"/>
  <c r="D125" i="4"/>
  <c r="D120" i="4"/>
  <c r="A120" i="4"/>
  <c r="L115" i="4"/>
  <c r="H114" i="4"/>
  <c r="M114" i="4" s="1"/>
  <c r="G114" i="4"/>
  <c r="L114" i="4" s="1"/>
  <c r="F114" i="4"/>
  <c r="E114" i="4"/>
  <c r="I105" i="4"/>
  <c r="O104" i="4"/>
  <c r="K104" i="4"/>
  <c r="J104" i="4"/>
  <c r="I104" i="4"/>
  <c r="M104" i="4" s="1"/>
  <c r="Q104" i="4" s="1"/>
  <c r="L103" i="4"/>
  <c r="P103" i="4" s="1"/>
  <c r="K103" i="4"/>
  <c r="O103" i="4" s="1"/>
  <c r="J103" i="4"/>
  <c r="N103" i="4" s="1"/>
  <c r="I103" i="4"/>
  <c r="M103" i="4" s="1"/>
  <c r="Q103" i="4" s="1"/>
  <c r="Q102" i="4"/>
  <c r="P102" i="4"/>
  <c r="M102" i="4"/>
  <c r="L102" i="4"/>
  <c r="K102" i="4"/>
  <c r="O102" i="4" s="1"/>
  <c r="J102" i="4"/>
  <c r="N102" i="4" s="1"/>
  <c r="Q100" i="4"/>
  <c r="P100" i="4"/>
  <c r="O100" i="4"/>
  <c r="N100" i="4"/>
  <c r="M100" i="4"/>
  <c r="L100" i="4"/>
  <c r="K100" i="4"/>
  <c r="J100" i="4"/>
  <c r="D97" i="4"/>
  <c r="L89" i="4"/>
  <c r="H89" i="4"/>
  <c r="M89" i="4" s="1"/>
  <c r="G89" i="4"/>
  <c r="F89" i="4"/>
  <c r="E89" i="4"/>
  <c r="M79" i="4"/>
  <c r="Q79" i="4" s="1"/>
  <c r="I79" i="4"/>
  <c r="L78" i="4"/>
  <c r="P78" i="4" s="1"/>
  <c r="J78" i="4"/>
  <c r="N78" i="4" s="1"/>
  <c r="I78" i="4"/>
  <c r="M78" i="4" s="1"/>
  <c r="Q78" i="4" s="1"/>
  <c r="O77" i="4"/>
  <c r="M77" i="4"/>
  <c r="Q77" i="4" s="1"/>
  <c r="L77" i="4"/>
  <c r="P77" i="4" s="1"/>
  <c r="K77" i="4"/>
  <c r="J77" i="4"/>
  <c r="Q75" i="4"/>
  <c r="P75" i="4"/>
  <c r="O75" i="4"/>
  <c r="N75" i="4"/>
  <c r="M75" i="4"/>
  <c r="L75" i="4"/>
  <c r="K75" i="4"/>
  <c r="J75" i="4"/>
  <c r="H69" i="4"/>
  <c r="D66" i="4"/>
  <c r="D65" i="4"/>
  <c r="D60" i="4"/>
  <c r="C60" i="4"/>
  <c r="A60" i="4"/>
  <c r="D56" i="4"/>
  <c r="D55" i="4"/>
  <c r="B55" i="4"/>
  <c r="A55" i="4"/>
  <c r="D52" i="4"/>
  <c r="E167" i="4" s="1"/>
  <c r="B52" i="4"/>
  <c r="D49" i="4"/>
  <c r="H44" i="4"/>
  <c r="M44" i="4" s="1"/>
  <c r="G44" i="4"/>
  <c r="L44" i="4" s="1"/>
  <c r="F44" i="4"/>
  <c r="E44" i="4"/>
  <c r="K34" i="4"/>
  <c r="O34" i="4" s="1"/>
  <c r="I34" i="4"/>
  <c r="L34" i="4" s="1"/>
  <c r="P34" i="4" s="1"/>
  <c r="O33" i="4"/>
  <c r="L33" i="4"/>
  <c r="P33" i="4" s="1"/>
  <c r="K33" i="4"/>
  <c r="J33" i="4"/>
  <c r="I33" i="4"/>
  <c r="M33" i="4" s="1"/>
  <c r="Q33" i="4" s="1"/>
  <c r="Q32" i="4"/>
  <c r="O32" i="4"/>
  <c r="M32" i="4"/>
  <c r="L32" i="4"/>
  <c r="P32" i="4" s="1"/>
  <c r="K32" i="4"/>
  <c r="J32" i="4"/>
  <c r="N32" i="4" s="1"/>
  <c r="Q30" i="4"/>
  <c r="P30" i="4"/>
  <c r="O30" i="4"/>
  <c r="N30" i="4"/>
  <c r="M30" i="4"/>
  <c r="L30" i="4"/>
  <c r="K30" i="4"/>
  <c r="J30" i="4"/>
  <c r="D27" i="4"/>
  <c r="C27" i="4"/>
  <c r="C49" i="4" s="1"/>
  <c r="C52" i="4" s="1"/>
  <c r="D24" i="4"/>
  <c r="C24" i="4"/>
  <c r="B24" i="4"/>
  <c r="B27" i="4" s="1"/>
  <c r="B49" i="4" s="1"/>
  <c r="A24" i="4"/>
  <c r="B21" i="4"/>
  <c r="B170" i="4" s="1"/>
  <c r="B20" i="4"/>
  <c r="B166" i="4" s="1"/>
  <c r="C18" i="4"/>
  <c r="B18" i="4"/>
  <c r="B97" i="4" s="1"/>
  <c r="B16" i="4"/>
  <c r="B65" i="4" s="1"/>
  <c r="B15" i="4"/>
  <c r="B60" i="4" s="1"/>
  <c r="C10" i="4"/>
  <c r="C11" i="4" s="1"/>
  <c r="C12" i="4" s="1"/>
  <c r="C13" i="4" s="1"/>
  <c r="C55" i="4" s="1"/>
  <c r="B10" i="4"/>
  <c r="J233" i="3"/>
  <c r="H59" i="10" s="1"/>
  <c r="G232" i="3"/>
  <c r="J232" i="3" s="1"/>
  <c r="H45" i="10" s="1"/>
  <c r="H47" i="10" s="1"/>
  <c r="J231" i="3"/>
  <c r="H23" i="10" s="1"/>
  <c r="H27" i="10" s="1"/>
  <c r="H229" i="3"/>
  <c r="J229" i="3" s="1"/>
  <c r="H19" i="10" s="1"/>
  <c r="H21" i="10" s="1"/>
  <c r="H223" i="3"/>
  <c r="I223" i="3" s="1"/>
  <c r="I222" i="3"/>
  <c r="H221" i="3"/>
  <c r="I221" i="3" s="1"/>
  <c r="H220" i="3"/>
  <c r="I220" i="3" s="1"/>
  <c r="I213" i="3"/>
  <c r="H157" i="10" s="1"/>
  <c r="I212" i="3"/>
  <c r="H156" i="10" s="1"/>
  <c r="I211" i="3"/>
  <c r="H125" i="10" s="1"/>
  <c r="H132" i="10" s="1"/>
  <c r="I210" i="3"/>
  <c r="H115" i="10" s="1"/>
  <c r="I209" i="3"/>
  <c r="I208" i="3"/>
  <c r="H24" i="10" s="1"/>
  <c r="I207" i="3"/>
  <c r="I206" i="3"/>
  <c r="G169" i="3"/>
  <c r="I166" i="3"/>
  <c r="G166" i="3"/>
  <c r="G159" i="3"/>
  <c r="G142" i="3"/>
  <c r="I138" i="3"/>
  <c r="G122" i="3"/>
  <c r="E115" i="3"/>
  <c r="E116" i="3" s="1"/>
  <c r="F116" i="3" s="1"/>
  <c r="D113" i="3"/>
  <c r="F113" i="3" s="1"/>
  <c r="D112" i="3"/>
  <c r="E112" i="3"/>
  <c r="G105" i="3"/>
  <c r="I104" i="3"/>
  <c r="I102" i="3"/>
  <c r="I101" i="3"/>
  <c r="D92" i="3"/>
  <c r="G88" i="3"/>
  <c r="G80" i="3"/>
  <c r="J76" i="3"/>
  <c r="G76" i="3"/>
  <c r="I76" i="3" s="1"/>
  <c r="I63" i="3"/>
  <c r="G57" i="3"/>
  <c r="H55" i="3"/>
  <c r="H57" i="3" s="1"/>
  <c r="H137" i="10" s="1"/>
  <c r="H139" i="10" s="1"/>
  <c r="H49" i="3"/>
  <c r="H131" i="10" s="1"/>
  <c r="G36" i="3"/>
  <c r="G47" i="3" s="1"/>
  <c r="I27" i="3"/>
  <c r="H20" i="3"/>
  <c r="E213" i="3"/>
  <c r="C213" i="3"/>
  <c r="A213" i="3"/>
  <c r="H15" i="3"/>
  <c r="H92" i="10" s="1"/>
  <c r="H13" i="3"/>
  <c r="H7" i="3"/>
  <c r="BM57" i="2"/>
  <c r="BI57" i="2"/>
  <c r="BE57" i="2"/>
  <c r="BA57" i="2"/>
  <c r="AW57" i="2"/>
  <c r="AS57" i="2"/>
  <c r="AO57" i="2"/>
  <c r="D57" i="2"/>
  <c r="D59" i="2" s="1"/>
  <c r="D61" i="2" s="1"/>
  <c r="D63" i="2" s="1"/>
  <c r="D65" i="2" s="1"/>
  <c r="D67" i="2" s="1"/>
  <c r="D69" i="2" s="1"/>
  <c r="D71" i="2" s="1"/>
  <c r="D73" i="2" s="1"/>
  <c r="D75" i="2" s="1"/>
  <c r="C57" i="2"/>
  <c r="C59" i="2" s="1"/>
  <c r="C61" i="2" s="1"/>
  <c r="C63" i="2" s="1"/>
  <c r="C65" i="2" s="1"/>
  <c r="C67" i="2" s="1"/>
  <c r="C69" i="2" s="1"/>
  <c r="C71" i="2" s="1"/>
  <c r="C73" i="2" s="1"/>
  <c r="C75" i="2" s="1"/>
  <c r="BM56" i="2"/>
  <c r="BI56" i="2"/>
  <c r="BE56" i="2"/>
  <c r="BA56" i="2"/>
  <c r="AW56" i="2"/>
  <c r="AS56" i="2"/>
  <c r="AO56" i="2"/>
  <c r="AK56" i="2"/>
  <c r="AG56" i="2"/>
  <c r="AC56" i="2"/>
  <c r="Y56" i="2"/>
  <c r="U56" i="2"/>
  <c r="Q56" i="2"/>
  <c r="M56" i="2"/>
  <c r="I56" i="2"/>
  <c r="E56" i="2"/>
  <c r="D56" i="2"/>
  <c r="D58" i="2" s="1"/>
  <c r="D60" i="2" s="1"/>
  <c r="D62" i="2" s="1"/>
  <c r="D64" i="2" s="1"/>
  <c r="D66" i="2" s="1"/>
  <c r="D68" i="2" s="1"/>
  <c r="D70" i="2" s="1"/>
  <c r="D72" i="2" s="1"/>
  <c r="D74" i="2" s="1"/>
  <c r="C56" i="2"/>
  <c r="C58" i="2" s="1"/>
  <c r="C60" i="2" s="1"/>
  <c r="C62" i="2" s="1"/>
  <c r="C64" i="2" s="1"/>
  <c r="C66" i="2" s="1"/>
  <c r="C68" i="2" s="1"/>
  <c r="C70" i="2" s="1"/>
  <c r="C72" i="2" s="1"/>
  <c r="C74" i="2" s="1"/>
  <c r="A56" i="2"/>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BR53" i="2"/>
  <c r="BQ53" i="2"/>
  <c r="BQ52" i="2"/>
  <c r="BS52" i="2" s="1"/>
  <c r="BR47" i="2"/>
  <c r="BQ47" i="2"/>
  <c r="BQ46" i="2"/>
  <c r="BS46" i="2" s="1"/>
  <c r="BR45" i="2"/>
  <c r="BS44" i="2"/>
  <c r="BR41" i="2"/>
  <c r="BQ41" i="2"/>
  <c r="D41" i="2"/>
  <c r="D43" i="2" s="1"/>
  <c r="D45" i="2" s="1"/>
  <c r="D47" i="2" s="1"/>
  <c r="D49" i="2" s="1"/>
  <c r="D51" i="2" s="1"/>
  <c r="D53" i="2" s="1"/>
  <c r="BQ40" i="2"/>
  <c r="BS40" i="2" s="1"/>
  <c r="BR39" i="2"/>
  <c r="BQ39" i="2"/>
  <c r="D39" i="2"/>
  <c r="C39" i="2"/>
  <c r="C41" i="2" s="1"/>
  <c r="C43" i="2" s="1"/>
  <c r="C45" i="2" s="1"/>
  <c r="C47" i="2" s="1"/>
  <c r="C49" i="2" s="1"/>
  <c r="C51" i="2" s="1"/>
  <c r="C53" i="2" s="1"/>
  <c r="BQ38" i="2"/>
  <c r="BS38" i="2" s="1"/>
  <c r="D38" i="2"/>
  <c r="D40" i="2" s="1"/>
  <c r="D42" i="2" s="1"/>
  <c r="D44" i="2" s="1"/>
  <c r="D46" i="2" s="1"/>
  <c r="D48" i="2" s="1"/>
  <c r="D50" i="2" s="1"/>
  <c r="D52" i="2" s="1"/>
  <c r="C38" i="2"/>
  <c r="C40" i="2" s="1"/>
  <c r="C42" i="2" s="1"/>
  <c r="C44" i="2" s="1"/>
  <c r="C46" i="2" s="1"/>
  <c r="C48" i="2" s="1"/>
  <c r="C50" i="2" s="1"/>
  <c r="C52" i="2" s="1"/>
  <c r="BO37" i="2"/>
  <c r="BK37" i="2"/>
  <c r="BG37" i="2"/>
  <c r="BC37" i="2"/>
  <c r="AY37" i="2"/>
  <c r="AU37" i="2"/>
  <c r="AQ37" i="2"/>
  <c r="AM37" i="2"/>
  <c r="AI37" i="2"/>
  <c r="AE37" i="2"/>
  <c r="AA37" i="2"/>
  <c r="W37" i="2"/>
  <c r="S37" i="2"/>
  <c r="A37" i="2"/>
  <c r="A38" i="2" s="1"/>
  <c r="A39" i="2" s="1"/>
  <c r="A40" i="2" s="1"/>
  <c r="A41" i="2" s="1"/>
  <c r="A42" i="2" s="1"/>
  <c r="A43" i="2" s="1"/>
  <c r="A44" i="2" s="1"/>
  <c r="A45" i="2" s="1"/>
  <c r="A46" i="2" s="1"/>
  <c r="A47" i="2" s="1"/>
  <c r="A48" i="2" s="1"/>
  <c r="A49" i="2" s="1"/>
  <c r="A50" i="2" s="1"/>
  <c r="A51" i="2" s="1"/>
  <c r="A52" i="2" s="1"/>
  <c r="A53" i="2" s="1"/>
  <c r="BO36" i="2"/>
  <c r="BK36" i="2"/>
  <c r="BG36" i="2"/>
  <c r="BC36" i="2"/>
  <c r="AY36" i="2"/>
  <c r="AU36" i="2"/>
  <c r="AQ36" i="2"/>
  <c r="AM36" i="2"/>
  <c r="AI36" i="2"/>
  <c r="AE36" i="2"/>
  <c r="AA36" i="2"/>
  <c r="W36" i="2"/>
  <c r="S36" i="2"/>
  <c r="C36" i="2"/>
  <c r="A36" i="2"/>
  <c r="A33" i="2"/>
  <c r="BM32" i="2"/>
  <c r="BI32" i="2"/>
  <c r="BE32" i="2"/>
  <c r="BA32" i="2"/>
  <c r="AW32" i="2"/>
  <c r="AS32" i="2"/>
  <c r="AO32" i="2"/>
  <c r="AG32" i="2"/>
  <c r="Y32" i="2"/>
  <c r="Q32" i="2"/>
  <c r="M32" i="2"/>
  <c r="I32" i="2"/>
  <c r="E32" i="2"/>
  <c r="AK31" i="2"/>
  <c r="AK32" i="2" s="1"/>
  <c r="AG31" i="2"/>
  <c r="AC31" i="2"/>
  <c r="AC32" i="2" s="1"/>
  <c r="Y31" i="2"/>
  <c r="U31" i="2"/>
  <c r="U32" i="2" s="1"/>
  <c r="Q31" i="2"/>
  <c r="E21" i="9" l="1"/>
  <c r="H196" i="10" s="1"/>
  <c r="H106" i="9"/>
  <c r="G12" i="9" s="1"/>
  <c r="D104" i="9"/>
  <c r="H77" i="9"/>
  <c r="G11" i="9" s="1"/>
  <c r="D49" i="9"/>
  <c r="M49" i="9" s="1"/>
  <c r="D75" i="9"/>
  <c r="M75" i="9" s="1"/>
  <c r="G51" i="9"/>
  <c r="F13" i="9" s="1"/>
  <c r="F14" i="9" s="1"/>
  <c r="F77" i="9"/>
  <c r="E11" i="9" s="1"/>
  <c r="D103" i="9"/>
  <c r="M103" i="9" s="1"/>
  <c r="H51" i="9"/>
  <c r="G13" i="9" s="1"/>
  <c r="F106" i="9"/>
  <c r="E12" i="9" s="1"/>
  <c r="H158" i="10"/>
  <c r="D117" i="3"/>
  <c r="I55" i="3"/>
  <c r="I57" i="3" s="1"/>
  <c r="K166" i="3"/>
  <c r="K169" i="3" s="1"/>
  <c r="H225" i="10"/>
  <c r="I65" i="5" s="1"/>
  <c r="I64" i="5"/>
  <c r="H29" i="10"/>
  <c r="E250" i="3"/>
  <c r="E251" i="3" s="1"/>
  <c r="H229" i="10"/>
  <c r="I69" i="5" s="1"/>
  <c r="A14" i="10"/>
  <c r="F16" i="10" s="1"/>
  <c r="F14" i="10"/>
  <c r="A23" i="10"/>
  <c r="H63" i="10"/>
  <c r="H159" i="10"/>
  <c r="H48" i="10"/>
  <c r="H49" i="10" s="1"/>
  <c r="H53" i="10" s="1"/>
  <c r="H165" i="10"/>
  <c r="H166" i="10" s="1"/>
  <c r="H93" i="10"/>
  <c r="H94" i="10" s="1"/>
  <c r="H96" i="10" s="1"/>
  <c r="H133" i="10"/>
  <c r="H134" i="10" s="1"/>
  <c r="F21" i="10"/>
  <c r="H64" i="10"/>
  <c r="H160" i="10"/>
  <c r="H257" i="10"/>
  <c r="H258" i="10" s="1"/>
  <c r="F51" i="9"/>
  <c r="E13" i="9" s="1"/>
  <c r="D74" i="9"/>
  <c r="M74" i="9" s="1"/>
  <c r="E77" i="9"/>
  <c r="D48" i="9"/>
  <c r="M48" i="9" s="1"/>
  <c r="G32" i="8"/>
  <c r="C14" i="7"/>
  <c r="D38" i="6"/>
  <c r="D42" i="6" s="1"/>
  <c r="I48" i="5"/>
  <c r="B19" i="4"/>
  <c r="B120" i="4" s="1"/>
  <c r="M34" i="4"/>
  <c r="Q34" i="4" s="1"/>
  <c r="I35" i="4"/>
  <c r="L105" i="4"/>
  <c r="P105" i="4" s="1"/>
  <c r="K105" i="4"/>
  <c r="O105" i="4" s="1"/>
  <c r="M105" i="4"/>
  <c r="Q105" i="4" s="1"/>
  <c r="I106" i="4"/>
  <c r="J105" i="4"/>
  <c r="N105" i="4" s="1"/>
  <c r="C97" i="4"/>
  <c r="C16" i="4"/>
  <c r="N33" i="4"/>
  <c r="J34" i="4"/>
  <c r="N34" i="4" s="1"/>
  <c r="L79" i="4"/>
  <c r="P79" i="4" s="1"/>
  <c r="K79" i="4"/>
  <c r="O79" i="4" s="1"/>
  <c r="I80" i="4"/>
  <c r="J79" i="4"/>
  <c r="N79" i="4" s="1"/>
  <c r="N104" i="4"/>
  <c r="K78" i="4"/>
  <c r="O78" i="4" s="1"/>
  <c r="H134" i="4"/>
  <c r="N77" i="4"/>
  <c r="H125" i="4"/>
  <c r="F131" i="4" s="1"/>
  <c r="I131" i="4" s="1"/>
  <c r="G132" i="4"/>
  <c r="L104" i="4"/>
  <c r="P104" i="4" s="1"/>
  <c r="F115" i="3"/>
  <c r="F112" i="3"/>
  <c r="I169" i="3"/>
  <c r="V74" i="2"/>
  <c r="V75" i="2" s="1"/>
  <c r="V72" i="2"/>
  <c r="V73" i="2" s="1"/>
  <c r="V70" i="2"/>
  <c r="V71" i="2" s="1"/>
  <c r="V68" i="2"/>
  <c r="V69" i="2" s="1"/>
  <c r="V64" i="2"/>
  <c r="V65" i="2" s="1"/>
  <c r="V66" i="2"/>
  <c r="V67" i="2" s="1"/>
  <c r="V62" i="2"/>
  <c r="V63" i="2" s="1"/>
  <c r="V58" i="2"/>
  <c r="V59" i="2" s="1"/>
  <c r="V60" i="2"/>
  <c r="V61" i="2" s="1"/>
  <c r="V56" i="2"/>
  <c r="V57" i="2" s="1"/>
  <c r="AL74" i="2"/>
  <c r="AL75" i="2" s="1"/>
  <c r="AL72" i="2"/>
  <c r="AL73" i="2" s="1"/>
  <c r="AL70" i="2"/>
  <c r="AL71" i="2" s="1"/>
  <c r="AL68" i="2"/>
  <c r="AL69" i="2" s="1"/>
  <c r="AL64" i="2"/>
  <c r="AL65" i="2" s="1"/>
  <c r="AL66" i="2"/>
  <c r="AL67" i="2" s="1"/>
  <c r="AL62" i="2"/>
  <c r="AL63" i="2" s="1"/>
  <c r="AL58" i="2"/>
  <c r="AL59" i="2" s="1"/>
  <c r="AL60" i="2"/>
  <c r="AL61" i="2" s="1"/>
  <c r="AL56" i="2"/>
  <c r="AL57" i="2" s="1"/>
  <c r="AD74" i="2"/>
  <c r="AD75" i="2" s="1"/>
  <c r="AD72" i="2"/>
  <c r="AD73" i="2" s="1"/>
  <c r="AD70" i="2"/>
  <c r="AD71" i="2" s="1"/>
  <c r="AD68" i="2"/>
  <c r="AD69" i="2" s="1"/>
  <c r="AD64" i="2"/>
  <c r="AD65" i="2" s="1"/>
  <c r="AD66" i="2"/>
  <c r="AD67" i="2" s="1"/>
  <c r="AD62" i="2"/>
  <c r="AD63" i="2" s="1"/>
  <c r="AD58" i="2"/>
  <c r="AD59" i="2" s="1"/>
  <c r="AD60" i="2"/>
  <c r="AD61" i="2" s="1"/>
  <c r="AD56" i="2"/>
  <c r="AD57" i="2" s="1"/>
  <c r="R74" i="2"/>
  <c r="R75" i="2" s="1"/>
  <c r="R72" i="2"/>
  <c r="R73" i="2" s="1"/>
  <c r="R70" i="2"/>
  <c r="R71" i="2" s="1"/>
  <c r="R68" i="2"/>
  <c r="R69" i="2" s="1"/>
  <c r="R64" i="2"/>
  <c r="R65" i="2" s="1"/>
  <c r="R66" i="2"/>
  <c r="R67" i="2" s="1"/>
  <c r="R62" i="2"/>
  <c r="R63" i="2" s="1"/>
  <c r="R58" i="2"/>
  <c r="R59" i="2" s="1"/>
  <c r="R60" i="2"/>
  <c r="R61" i="2" s="1"/>
  <c r="R56" i="2"/>
  <c r="R57" i="2" s="1"/>
  <c r="BN74" i="2"/>
  <c r="BN75" i="2" s="1"/>
  <c r="BN72" i="2"/>
  <c r="BN73" i="2" s="1"/>
  <c r="BN70" i="2"/>
  <c r="BN71" i="2" s="1"/>
  <c r="BN68" i="2"/>
  <c r="BN69" i="2" s="1"/>
  <c r="BN64" i="2"/>
  <c r="BN65" i="2" s="1"/>
  <c r="BN66" i="2"/>
  <c r="BN67" i="2" s="1"/>
  <c r="BN62" i="2"/>
  <c r="BN63" i="2" s="1"/>
  <c r="BN58" i="2"/>
  <c r="BN59" i="2" s="1"/>
  <c r="BN60" i="2"/>
  <c r="BN61" i="2" s="1"/>
  <c r="BN56" i="2"/>
  <c r="BN57" i="2" s="1"/>
  <c r="S56" i="2"/>
  <c r="Q57" i="2"/>
  <c r="S57" i="2" s="1"/>
  <c r="Q58" i="2" s="1"/>
  <c r="F74" i="2"/>
  <c r="F75" i="2" s="1"/>
  <c r="F72" i="2"/>
  <c r="F73" i="2" s="1"/>
  <c r="F70" i="2"/>
  <c r="F71" i="2" s="1"/>
  <c r="F68" i="2"/>
  <c r="F69" i="2" s="1"/>
  <c r="F64" i="2"/>
  <c r="F65" i="2" s="1"/>
  <c r="F66" i="2"/>
  <c r="F67" i="2" s="1"/>
  <c r="F62" i="2"/>
  <c r="F63" i="2" s="1"/>
  <c r="F58" i="2"/>
  <c r="F59" i="2" s="1"/>
  <c r="F60" i="2"/>
  <c r="F61" i="2" s="1"/>
  <c r="F56" i="2"/>
  <c r="F57" i="2" s="1"/>
  <c r="BB74" i="2"/>
  <c r="BB75" i="2" s="1"/>
  <c r="BB72" i="2"/>
  <c r="BB73" i="2" s="1"/>
  <c r="BB70" i="2"/>
  <c r="BB71" i="2" s="1"/>
  <c r="BB68" i="2"/>
  <c r="BB69" i="2" s="1"/>
  <c r="BB64" i="2"/>
  <c r="BB65" i="2" s="1"/>
  <c r="BB66" i="2"/>
  <c r="BB67" i="2" s="1"/>
  <c r="BB62" i="2"/>
  <c r="BB63" i="2" s="1"/>
  <c r="BB58" i="2"/>
  <c r="BB59" i="2" s="1"/>
  <c r="BB60" i="2"/>
  <c r="BB61" i="2" s="1"/>
  <c r="BB56" i="2"/>
  <c r="BB57" i="2" s="1"/>
  <c r="E57" i="2"/>
  <c r="G57" i="2" s="1"/>
  <c r="E58" i="2" s="1"/>
  <c r="W56" i="2"/>
  <c r="U57" i="2"/>
  <c r="W57" i="2" s="1"/>
  <c r="U58" i="2" s="1"/>
  <c r="AK57" i="2"/>
  <c r="AM57" i="2" s="1"/>
  <c r="AK58" i="2" s="1"/>
  <c r="BG57" i="2"/>
  <c r="BO57" i="2"/>
  <c r="I57" i="2"/>
  <c r="K57" i="2" s="1"/>
  <c r="I58" i="2" s="1"/>
  <c r="Y57" i="2"/>
  <c r="AA57" i="2" s="1"/>
  <c r="Y58" i="2" s="1"/>
  <c r="AH74" i="2"/>
  <c r="AH75" i="2" s="1"/>
  <c r="AH72" i="2"/>
  <c r="AH73" i="2" s="1"/>
  <c r="AH70" i="2"/>
  <c r="AH71" i="2" s="1"/>
  <c r="AH68" i="2"/>
  <c r="AH69" i="2" s="1"/>
  <c r="AH64" i="2"/>
  <c r="AH65" i="2" s="1"/>
  <c r="AH66" i="2"/>
  <c r="AH67" i="2" s="1"/>
  <c r="AH62" i="2"/>
  <c r="AH63" i="2" s="1"/>
  <c r="AH58" i="2"/>
  <c r="AH59" i="2" s="1"/>
  <c r="AH60" i="2"/>
  <c r="AH61" i="2" s="1"/>
  <c r="AH56" i="2"/>
  <c r="AH57" i="2" s="1"/>
  <c r="AX74" i="2"/>
  <c r="AX75" i="2" s="1"/>
  <c r="AX72" i="2"/>
  <c r="AX73" i="2" s="1"/>
  <c r="AX70" i="2"/>
  <c r="AX71" i="2" s="1"/>
  <c r="AX68" i="2"/>
  <c r="AX69" i="2" s="1"/>
  <c r="AX64" i="2"/>
  <c r="AX65" i="2" s="1"/>
  <c r="AX66" i="2"/>
  <c r="AX67" i="2" s="1"/>
  <c r="AX62" i="2"/>
  <c r="AX63" i="2" s="1"/>
  <c r="AX58" i="2"/>
  <c r="AX59" i="2" s="1"/>
  <c r="AX60" i="2"/>
  <c r="AX61" i="2" s="1"/>
  <c r="AX56" i="2"/>
  <c r="AX57" i="2" s="1"/>
  <c r="AY57" i="2" s="1"/>
  <c r="AG57" i="2"/>
  <c r="AI57" i="2" s="1"/>
  <c r="AG58" i="2" s="1"/>
  <c r="BO56" i="2"/>
  <c r="J74" i="2"/>
  <c r="J75" i="2" s="1"/>
  <c r="J72" i="2"/>
  <c r="J73" i="2" s="1"/>
  <c r="J70" i="2"/>
  <c r="J71" i="2" s="1"/>
  <c r="J68" i="2"/>
  <c r="J69" i="2" s="1"/>
  <c r="J64" i="2"/>
  <c r="J65" i="2" s="1"/>
  <c r="J66" i="2"/>
  <c r="J67" i="2" s="1"/>
  <c r="J62" i="2"/>
  <c r="J63" i="2" s="1"/>
  <c r="J58" i="2"/>
  <c r="J59" i="2" s="1"/>
  <c r="J60" i="2"/>
  <c r="J61" i="2" s="1"/>
  <c r="J56" i="2"/>
  <c r="J57" i="2" s="1"/>
  <c r="Z74" i="2"/>
  <c r="Z75" i="2" s="1"/>
  <c r="Z72" i="2"/>
  <c r="Z73" i="2" s="1"/>
  <c r="Z70" i="2"/>
  <c r="Z71" i="2" s="1"/>
  <c r="Z68" i="2"/>
  <c r="Z69" i="2" s="1"/>
  <c r="Z64" i="2"/>
  <c r="Z65" i="2" s="1"/>
  <c r="Z66" i="2"/>
  <c r="Z67" i="2" s="1"/>
  <c r="Z62" i="2"/>
  <c r="Z63" i="2" s="1"/>
  <c r="Z58" i="2"/>
  <c r="Z59" i="2" s="1"/>
  <c r="Z60" i="2"/>
  <c r="Z61" i="2" s="1"/>
  <c r="Z56" i="2"/>
  <c r="Z57" i="2" s="1"/>
  <c r="AP74" i="2"/>
  <c r="AP75" i="2" s="1"/>
  <c r="AP72" i="2"/>
  <c r="AP73" i="2" s="1"/>
  <c r="AP70" i="2"/>
  <c r="AP71" i="2" s="1"/>
  <c r="AP68" i="2"/>
  <c r="AP69" i="2" s="1"/>
  <c r="AP64" i="2"/>
  <c r="AP65" i="2" s="1"/>
  <c r="AP66" i="2"/>
  <c r="AP67" i="2" s="1"/>
  <c r="AP62" i="2"/>
  <c r="AP63" i="2" s="1"/>
  <c r="AP58" i="2"/>
  <c r="AP59" i="2" s="1"/>
  <c r="AP60" i="2"/>
  <c r="AP61" i="2" s="1"/>
  <c r="AP56" i="2"/>
  <c r="AP57" i="2" s="1"/>
  <c r="AQ57" i="2" s="1"/>
  <c r="BF74" i="2"/>
  <c r="BF75" i="2" s="1"/>
  <c r="BF72" i="2"/>
  <c r="BF73" i="2" s="1"/>
  <c r="BF70" i="2"/>
  <c r="BF71" i="2" s="1"/>
  <c r="BF68" i="2"/>
  <c r="BF69" i="2" s="1"/>
  <c r="BF64" i="2"/>
  <c r="BF65" i="2" s="1"/>
  <c r="BF66" i="2"/>
  <c r="BF67" i="2" s="1"/>
  <c r="BF62" i="2"/>
  <c r="BF63" i="2" s="1"/>
  <c r="BF58" i="2"/>
  <c r="BF59" i="2" s="1"/>
  <c r="BF60" i="2"/>
  <c r="BF61" i="2" s="1"/>
  <c r="BF56" i="2"/>
  <c r="BF57" i="2" s="1"/>
  <c r="N74" i="2"/>
  <c r="N75" i="2" s="1"/>
  <c r="N72" i="2"/>
  <c r="N73" i="2" s="1"/>
  <c r="N70" i="2"/>
  <c r="N71" i="2" s="1"/>
  <c r="N68" i="2"/>
  <c r="N69" i="2" s="1"/>
  <c r="N64" i="2"/>
  <c r="N65" i="2" s="1"/>
  <c r="N66" i="2"/>
  <c r="N67" i="2" s="1"/>
  <c r="N62" i="2"/>
  <c r="N63" i="2" s="1"/>
  <c r="N58" i="2"/>
  <c r="N59" i="2" s="1"/>
  <c r="N60" i="2"/>
  <c r="N61" i="2" s="1"/>
  <c r="N56" i="2"/>
  <c r="N57" i="2" s="1"/>
  <c r="AT74" i="2"/>
  <c r="AT75" i="2" s="1"/>
  <c r="AT72" i="2"/>
  <c r="AT73" i="2" s="1"/>
  <c r="AT70" i="2"/>
  <c r="AT71" i="2" s="1"/>
  <c r="AT68" i="2"/>
  <c r="AT69" i="2" s="1"/>
  <c r="AT64" i="2"/>
  <c r="AT65" i="2" s="1"/>
  <c r="AT66" i="2"/>
  <c r="AT67" i="2" s="1"/>
  <c r="AT62" i="2"/>
  <c r="AT63" i="2" s="1"/>
  <c r="AT58" i="2"/>
  <c r="AT59" i="2" s="1"/>
  <c r="AT60" i="2"/>
  <c r="AT61" i="2" s="1"/>
  <c r="AT56" i="2"/>
  <c r="AT57" i="2" s="1"/>
  <c r="AU57" i="2" s="1"/>
  <c r="BJ74" i="2"/>
  <c r="BJ75" i="2" s="1"/>
  <c r="BJ72" i="2"/>
  <c r="BJ73" i="2" s="1"/>
  <c r="BJ70" i="2"/>
  <c r="BJ71" i="2" s="1"/>
  <c r="BJ68" i="2"/>
  <c r="BJ69" i="2" s="1"/>
  <c r="BJ64" i="2"/>
  <c r="BJ65" i="2" s="1"/>
  <c r="BJ66" i="2"/>
  <c r="BJ67" i="2" s="1"/>
  <c r="BJ62" i="2"/>
  <c r="BJ63" i="2" s="1"/>
  <c r="BJ58" i="2"/>
  <c r="BJ59" i="2" s="1"/>
  <c r="BJ60" i="2"/>
  <c r="BJ61" i="2" s="1"/>
  <c r="BJ56" i="2"/>
  <c r="BJ57" i="2" s="1"/>
  <c r="BK57" i="2" s="1"/>
  <c r="M57" i="2"/>
  <c r="O57" i="2" s="1"/>
  <c r="M58" i="2" s="1"/>
  <c r="AE56" i="2"/>
  <c r="AC57" i="2"/>
  <c r="AE57" i="2" s="1"/>
  <c r="AC58" i="2" s="1"/>
  <c r="BK56" i="2"/>
  <c r="BC57" i="2"/>
  <c r="D77" i="9" l="1"/>
  <c r="M77" i="9" s="1"/>
  <c r="I36" i="5"/>
  <c r="I38" i="5" s="1"/>
  <c r="H198" i="10"/>
  <c r="D106" i="9"/>
  <c r="G14" i="9"/>
  <c r="G17" i="9" s="1"/>
  <c r="D51" i="9"/>
  <c r="M51" i="9" s="1"/>
  <c r="E14" i="9"/>
  <c r="E17" i="9" s="1"/>
  <c r="H169" i="10"/>
  <c r="H247" i="10" s="1"/>
  <c r="H31" i="10"/>
  <c r="H32" i="10" s="1"/>
  <c r="H65" i="10"/>
  <c r="H67" i="10" s="1"/>
  <c r="H69" i="10" s="1"/>
  <c r="A24" i="10"/>
  <c r="C22" i="7"/>
  <c r="C17" i="7"/>
  <c r="K106" i="4"/>
  <c r="I107" i="4"/>
  <c r="J106" i="4"/>
  <c r="M106" i="4"/>
  <c r="Q106" i="4" s="1"/>
  <c r="L106" i="4"/>
  <c r="P106" i="4" s="1"/>
  <c r="M35" i="4"/>
  <c r="Q35" i="4" s="1"/>
  <c r="K35" i="4"/>
  <c r="L35" i="4"/>
  <c r="P35" i="4" s="1"/>
  <c r="J35" i="4"/>
  <c r="N35" i="4" s="1"/>
  <c r="I36" i="4"/>
  <c r="G133" i="4"/>
  <c r="J131" i="4"/>
  <c r="F132" i="4"/>
  <c r="H135" i="4"/>
  <c r="C65" i="4"/>
  <c r="C19" i="4"/>
  <c r="K80" i="4"/>
  <c r="O80" i="4" s="1"/>
  <c r="I81" i="4"/>
  <c r="J80" i="4"/>
  <c r="N80" i="4" s="1"/>
  <c r="M80" i="4"/>
  <c r="Q80" i="4" s="1"/>
  <c r="L80" i="4"/>
  <c r="P80" i="4" s="1"/>
  <c r="AO59" i="2"/>
  <c r="AQ59" i="2" s="1"/>
  <c r="AO58" i="2"/>
  <c r="AQ58" i="2" s="1"/>
  <c r="BI59" i="2"/>
  <c r="BK59" i="2" s="1"/>
  <c r="BI58" i="2"/>
  <c r="BK58" i="2" s="1"/>
  <c r="AS59" i="2"/>
  <c r="AU59" i="2" s="1"/>
  <c r="AS58" i="2"/>
  <c r="AU58" i="2" s="1"/>
  <c r="AW59" i="2"/>
  <c r="AY59" i="2" s="1"/>
  <c r="AW58" i="2"/>
  <c r="AY58" i="2" s="1"/>
  <c r="M59" i="2"/>
  <c r="O59" i="2" s="1"/>
  <c r="M60" i="2" s="1"/>
  <c r="O58" i="2"/>
  <c r="Y59" i="2"/>
  <c r="AA59" i="2" s="1"/>
  <c r="Y60" i="2" s="1"/>
  <c r="AA58" i="2"/>
  <c r="E59" i="2"/>
  <c r="G59" i="2" s="1"/>
  <c r="E60" i="2" s="1"/>
  <c r="G58" i="2"/>
  <c r="AU56" i="2"/>
  <c r="O56" i="2"/>
  <c r="AA56" i="2"/>
  <c r="AM56" i="2"/>
  <c r="G56" i="2"/>
  <c r="BE59" i="2"/>
  <c r="BG59" i="2" s="1"/>
  <c r="BE58" i="2"/>
  <c r="BG58" i="2" s="1"/>
  <c r="AC59" i="2"/>
  <c r="AE59" i="2" s="1"/>
  <c r="AC60" i="2" s="1"/>
  <c r="AE58" i="2"/>
  <c r="AG59" i="2"/>
  <c r="AI59" i="2" s="1"/>
  <c r="AG60" i="2" s="1"/>
  <c r="AI58" i="2"/>
  <c r="BG56" i="2"/>
  <c r="I59" i="2"/>
  <c r="K59" i="2" s="1"/>
  <c r="I60" i="2" s="1"/>
  <c r="K58" i="2"/>
  <c r="U59" i="2"/>
  <c r="W59" i="2" s="1"/>
  <c r="U60" i="2" s="1"/>
  <c r="W58" i="2"/>
  <c r="AY56" i="2"/>
  <c r="AK59" i="2"/>
  <c r="AM59" i="2" s="1"/>
  <c r="AK60" i="2" s="1"/>
  <c r="AM58" i="2"/>
  <c r="BA59" i="2"/>
  <c r="BC59" i="2" s="1"/>
  <c r="BA58" i="2"/>
  <c r="BC58" i="2" s="1"/>
  <c r="AI56" i="2"/>
  <c r="AQ56" i="2"/>
  <c r="K56" i="2"/>
  <c r="BM59" i="2"/>
  <c r="BO59" i="2" s="1"/>
  <c r="BM58" i="2"/>
  <c r="BO58" i="2" s="1"/>
  <c r="BC56" i="2"/>
  <c r="Q59" i="2"/>
  <c r="S59" i="2" s="1"/>
  <c r="Q60" i="2" s="1"/>
  <c r="S58" i="2"/>
  <c r="H207" i="10" l="1"/>
  <c r="H201" i="10"/>
  <c r="I41" i="5"/>
  <c r="I47" i="5"/>
  <c r="F16" i="9"/>
  <c r="F17" i="9" s="1"/>
  <c r="H17" i="9" s="1"/>
  <c r="H74" i="10" s="1"/>
  <c r="F20" i="8"/>
  <c r="H103" i="3"/>
  <c r="F41" i="8"/>
  <c r="G41" i="8" s="1"/>
  <c r="H242" i="10"/>
  <c r="H34" i="10"/>
  <c r="H35" i="10" s="1"/>
  <c r="I70" i="5" s="1"/>
  <c r="I71" i="5" s="1"/>
  <c r="F60" i="10"/>
  <c r="A25" i="10"/>
  <c r="C25" i="7"/>
  <c r="C34" i="7"/>
  <c r="C36" i="7" s="1"/>
  <c r="I82" i="4"/>
  <c r="J81" i="4"/>
  <c r="N81" i="4" s="1"/>
  <c r="M81" i="4"/>
  <c r="Q81" i="4" s="1"/>
  <c r="L81" i="4"/>
  <c r="P81" i="4" s="1"/>
  <c r="K81" i="4"/>
  <c r="O81" i="4" s="1"/>
  <c r="O106" i="4"/>
  <c r="O35" i="4"/>
  <c r="N106" i="4"/>
  <c r="C120" i="4"/>
  <c r="C20" i="4"/>
  <c r="G134" i="4"/>
  <c r="F133" i="4"/>
  <c r="I132" i="4"/>
  <c r="J132" i="4" s="1"/>
  <c r="H136" i="4"/>
  <c r="L36" i="4"/>
  <c r="P36" i="4" s="1"/>
  <c r="K36" i="4"/>
  <c r="O36" i="4" s="1"/>
  <c r="I37" i="4"/>
  <c r="J36" i="4"/>
  <c r="N36" i="4" s="1"/>
  <c r="M36" i="4"/>
  <c r="Q36" i="4" s="1"/>
  <c r="I108" i="4"/>
  <c r="J107" i="4"/>
  <c r="N107" i="4" s="1"/>
  <c r="M107" i="4"/>
  <c r="Q107" i="4" s="1"/>
  <c r="L107" i="4"/>
  <c r="P107" i="4" s="1"/>
  <c r="K107" i="4"/>
  <c r="O107" i="4" s="1"/>
  <c r="G60" i="2"/>
  <c r="E61" i="2"/>
  <c r="G61" i="2" s="1"/>
  <c r="O60" i="2"/>
  <c r="M61" i="2"/>
  <c r="O61" i="2" s="1"/>
  <c r="AE60" i="2"/>
  <c r="AC61" i="2"/>
  <c r="AE61" i="2" s="1"/>
  <c r="BI61" i="2"/>
  <c r="BK61" i="2" s="1"/>
  <c r="BI60" i="2"/>
  <c r="BK60" i="2" s="1"/>
  <c r="K60" i="2"/>
  <c r="I61" i="2"/>
  <c r="K61" i="2" s="1"/>
  <c r="S60" i="2"/>
  <c r="Q61" i="2"/>
  <c r="S61" i="2" s="1"/>
  <c r="W60" i="2"/>
  <c r="U61" i="2"/>
  <c r="W61" i="2" s="1"/>
  <c r="U62" i="2" s="1"/>
  <c r="AA60" i="2"/>
  <c r="Y61" i="2"/>
  <c r="AA61" i="2" s="1"/>
  <c r="AW61" i="2"/>
  <c r="AY61" i="2" s="1"/>
  <c r="AW60" i="2"/>
  <c r="AY60" i="2" s="1"/>
  <c r="BM61" i="2"/>
  <c r="BO61" i="2" s="1"/>
  <c r="BM60" i="2"/>
  <c r="BO60" i="2" s="1"/>
  <c r="BA61" i="2"/>
  <c r="BC61" i="2" s="1"/>
  <c r="BA60" i="2"/>
  <c r="BC60" i="2" s="1"/>
  <c r="AM60" i="2"/>
  <c r="AK61" i="2"/>
  <c r="AM61" i="2" s="1"/>
  <c r="AI60" i="2"/>
  <c r="AG61" i="2"/>
  <c r="AI61" i="2" s="1"/>
  <c r="BE61" i="2"/>
  <c r="BG61" i="2" s="1"/>
  <c r="BE60" i="2"/>
  <c r="BG60" i="2" s="1"/>
  <c r="AS61" i="2"/>
  <c r="AU61" i="2" s="1"/>
  <c r="AS60" i="2"/>
  <c r="AU60" i="2" s="1"/>
  <c r="AO61" i="2"/>
  <c r="AQ61" i="2" s="1"/>
  <c r="AO60" i="2"/>
  <c r="AQ60" i="2" s="1"/>
  <c r="H205" i="10" l="1"/>
  <c r="H213" i="10" s="1"/>
  <c r="H204" i="10"/>
  <c r="H212" i="10" s="1"/>
  <c r="H203" i="10"/>
  <c r="H211" i="10"/>
  <c r="I44" i="5"/>
  <c r="I52" i="5" s="1"/>
  <c r="I43" i="5"/>
  <c r="I51" i="5" s="1"/>
  <c r="I54" i="5" s="1"/>
  <c r="I45" i="5"/>
  <c r="I53" i="5" s="1"/>
  <c r="F19" i="8"/>
  <c r="G20" i="8"/>
  <c r="E114" i="3"/>
  <c r="F114" i="3" s="1"/>
  <c r="F117" i="3" s="1"/>
  <c r="H87" i="10" s="1"/>
  <c r="H88" i="10" s="1"/>
  <c r="E14" i="8"/>
  <c r="H76" i="10"/>
  <c r="H77" i="10" s="1"/>
  <c r="H230" i="10"/>
  <c r="H231" i="10" s="1"/>
  <c r="H144" i="10"/>
  <c r="H145" i="10" s="1"/>
  <c r="F61" i="10"/>
  <c r="A26" i="10"/>
  <c r="K37" i="4"/>
  <c r="I38" i="4"/>
  <c r="J37" i="4"/>
  <c r="M37" i="4"/>
  <c r="Q37" i="4" s="1"/>
  <c r="L37" i="4"/>
  <c r="P37" i="4" s="1"/>
  <c r="C166" i="4"/>
  <c r="C21" i="4"/>
  <c r="C170" i="4" s="1"/>
  <c r="M82" i="4"/>
  <c r="Q82" i="4" s="1"/>
  <c r="L82" i="4"/>
  <c r="P82" i="4" s="1"/>
  <c r="K82" i="4"/>
  <c r="O82" i="4" s="1"/>
  <c r="J82" i="4"/>
  <c r="I83" i="4"/>
  <c r="M108" i="4"/>
  <c r="Q108" i="4" s="1"/>
  <c r="L108" i="4"/>
  <c r="P108" i="4" s="1"/>
  <c r="K108" i="4"/>
  <c r="O108" i="4" s="1"/>
  <c r="I109" i="4"/>
  <c r="J108" i="4"/>
  <c r="N108" i="4" s="1"/>
  <c r="H137" i="4"/>
  <c r="F134" i="4"/>
  <c r="I134" i="4" s="1"/>
  <c r="I133" i="4"/>
  <c r="J133" i="4" s="1"/>
  <c r="G135" i="4"/>
  <c r="AC62" i="2"/>
  <c r="M62" i="2"/>
  <c r="BA63" i="2"/>
  <c r="BC63" i="2" s="1"/>
  <c r="BA62" i="2"/>
  <c r="BC62" i="2" s="1"/>
  <c r="Y62" i="2"/>
  <c r="I62" i="2"/>
  <c r="BI63" i="2"/>
  <c r="BK63" i="2" s="1"/>
  <c r="BI62" i="2"/>
  <c r="BK62" i="2" s="1"/>
  <c r="AO63" i="2"/>
  <c r="AQ63" i="2" s="1"/>
  <c r="AO62" i="2"/>
  <c r="AQ62" i="2" s="1"/>
  <c r="AG62" i="2"/>
  <c r="AW63" i="2"/>
  <c r="AY63" i="2" s="1"/>
  <c r="AW62" i="2"/>
  <c r="AY62" i="2" s="1"/>
  <c r="E62" i="2"/>
  <c r="BM63" i="2"/>
  <c r="BO63" i="2" s="1"/>
  <c r="BM62" i="2"/>
  <c r="BO62" i="2" s="1"/>
  <c r="AK62" i="2"/>
  <c r="AS63" i="2"/>
  <c r="AU63" i="2" s="1"/>
  <c r="AS62" i="2"/>
  <c r="AU62" i="2" s="1"/>
  <c r="BE63" i="2"/>
  <c r="BG63" i="2" s="1"/>
  <c r="BE62" i="2"/>
  <c r="BG62" i="2" s="1"/>
  <c r="U63" i="2"/>
  <c r="W63" i="2" s="1"/>
  <c r="W62" i="2"/>
  <c r="Q62" i="2"/>
  <c r="H214" i="10" l="1"/>
  <c r="J138" i="3" s="1"/>
  <c r="H117" i="10" s="1"/>
  <c r="H121" i="10" s="1"/>
  <c r="H147" i="10" s="1"/>
  <c r="H246" i="10" s="1"/>
  <c r="E15" i="8"/>
  <c r="G15" i="8" s="1"/>
  <c r="E21" i="8"/>
  <c r="E66" i="8" s="1"/>
  <c r="E70" i="8" s="1"/>
  <c r="G14" i="8"/>
  <c r="G19" i="8"/>
  <c r="F18" i="8"/>
  <c r="F62" i="10"/>
  <c r="A27" i="10"/>
  <c r="F27" i="10"/>
  <c r="H138" i="4"/>
  <c r="I39" i="4"/>
  <c r="J38" i="4"/>
  <c r="N38" i="4" s="1"/>
  <c r="M38" i="4"/>
  <c r="Q38" i="4" s="1"/>
  <c r="L38" i="4"/>
  <c r="P38" i="4" s="1"/>
  <c r="K38" i="4"/>
  <c r="O38" i="4" s="1"/>
  <c r="F135" i="4"/>
  <c r="I135" i="4" s="1"/>
  <c r="J134" i="4"/>
  <c r="O37" i="4"/>
  <c r="G136" i="4"/>
  <c r="L109" i="4"/>
  <c r="P109" i="4" s="1"/>
  <c r="K109" i="4"/>
  <c r="O109" i="4" s="1"/>
  <c r="I110" i="4"/>
  <c r="J109" i="4"/>
  <c r="M109" i="4"/>
  <c r="Q109" i="4" s="1"/>
  <c r="L83" i="4"/>
  <c r="P83" i="4" s="1"/>
  <c r="K83" i="4"/>
  <c r="O83" i="4" s="1"/>
  <c r="I84" i="4"/>
  <c r="J83" i="4"/>
  <c r="N83" i="4" s="1"/>
  <c r="M83" i="4"/>
  <c r="Q83" i="4" s="1"/>
  <c r="N82" i="4"/>
  <c r="N37" i="4"/>
  <c r="U64" i="2"/>
  <c r="AK63" i="2"/>
  <c r="AM63" i="2" s="1"/>
  <c r="AM62" i="2"/>
  <c r="AG63" i="2"/>
  <c r="AI63" i="2" s="1"/>
  <c r="AI62" i="2"/>
  <c r="I63" i="2"/>
  <c r="K63" i="2" s="1"/>
  <c r="K62" i="2"/>
  <c r="M63" i="2"/>
  <c r="O63" i="2" s="1"/>
  <c r="O62" i="2"/>
  <c r="BE65" i="2"/>
  <c r="BG65" i="2" s="1"/>
  <c r="BE64" i="2"/>
  <c r="BG64" i="2" s="1"/>
  <c r="E63" i="2"/>
  <c r="G63" i="2" s="1"/>
  <c r="G62" i="2"/>
  <c r="BM65" i="2"/>
  <c r="BO65" i="2" s="1"/>
  <c r="BM64" i="2"/>
  <c r="BO64" i="2" s="1"/>
  <c r="AO65" i="2"/>
  <c r="AQ65" i="2" s="1"/>
  <c r="AO64" i="2"/>
  <c r="AQ64" i="2" s="1"/>
  <c r="Q63" i="2"/>
  <c r="S63" i="2" s="1"/>
  <c r="S62" i="2"/>
  <c r="AS65" i="2"/>
  <c r="AU65" i="2" s="1"/>
  <c r="AS64" i="2"/>
  <c r="AU64" i="2" s="1"/>
  <c r="AW65" i="2"/>
  <c r="AY65" i="2" s="1"/>
  <c r="AW64" i="2"/>
  <c r="AY64" i="2" s="1"/>
  <c r="BI65" i="2"/>
  <c r="BK65" i="2" s="1"/>
  <c r="BI64" i="2"/>
  <c r="BK64" i="2" s="1"/>
  <c r="Y63" i="2"/>
  <c r="AA63" i="2" s="1"/>
  <c r="AA62" i="2"/>
  <c r="BA65" i="2"/>
  <c r="BC65" i="2" s="1"/>
  <c r="BA64" i="2"/>
  <c r="BC64" i="2" s="1"/>
  <c r="AE62" i="2"/>
  <c r="AC63" i="2"/>
  <c r="AE63" i="2" s="1"/>
  <c r="H99" i="10" l="1"/>
  <c r="H101" i="10" s="1"/>
  <c r="G18" i="8"/>
  <c r="F17" i="8"/>
  <c r="A29" i="10"/>
  <c r="A31" i="10" s="1"/>
  <c r="F29" i="10"/>
  <c r="K84" i="4"/>
  <c r="O84" i="4" s="1"/>
  <c r="L84" i="4"/>
  <c r="P84" i="4" s="1"/>
  <c r="J84" i="4"/>
  <c r="N84" i="4" s="1"/>
  <c r="M84" i="4"/>
  <c r="Q84" i="4" s="1"/>
  <c r="I85" i="4"/>
  <c r="M39" i="4"/>
  <c r="Q39" i="4" s="1"/>
  <c r="L39" i="4"/>
  <c r="P39" i="4" s="1"/>
  <c r="K39" i="4"/>
  <c r="O39" i="4" s="1"/>
  <c r="J39" i="4"/>
  <c r="N39" i="4" s="1"/>
  <c r="I40" i="4"/>
  <c r="K110" i="4"/>
  <c r="O110" i="4" s="1"/>
  <c r="I111" i="4"/>
  <c r="J110" i="4"/>
  <c r="N110" i="4" s="1"/>
  <c r="M110" i="4"/>
  <c r="Q110" i="4" s="1"/>
  <c r="L110" i="4"/>
  <c r="P110" i="4" s="1"/>
  <c r="G137" i="4"/>
  <c r="J135" i="4"/>
  <c r="F136" i="4"/>
  <c r="H139" i="4"/>
  <c r="N109" i="4"/>
  <c r="BA67" i="2"/>
  <c r="BC67" i="2" s="1"/>
  <c r="BA66" i="2"/>
  <c r="BC66" i="2" s="1"/>
  <c r="AW67" i="2"/>
  <c r="AY67" i="2" s="1"/>
  <c r="AW66" i="2"/>
  <c r="AY66" i="2" s="1"/>
  <c r="AO67" i="2"/>
  <c r="AQ67" i="2" s="1"/>
  <c r="AO66" i="2"/>
  <c r="AQ66" i="2" s="1"/>
  <c r="BI67" i="2"/>
  <c r="BK67" i="2" s="1"/>
  <c r="BI66" i="2"/>
  <c r="BK66" i="2" s="1"/>
  <c r="Q64" i="2"/>
  <c r="E64" i="2"/>
  <c r="AK64" i="2"/>
  <c r="Y64" i="2"/>
  <c r="M64" i="2"/>
  <c r="AG64" i="2"/>
  <c r="AC64" i="2"/>
  <c r="BE67" i="2"/>
  <c r="BG67" i="2" s="1"/>
  <c r="BE66" i="2"/>
  <c r="BG66" i="2" s="1"/>
  <c r="AS67" i="2"/>
  <c r="AU67" i="2" s="1"/>
  <c r="AS66" i="2"/>
  <c r="AU66" i="2" s="1"/>
  <c r="BM67" i="2"/>
  <c r="BO67" i="2" s="1"/>
  <c r="BM66" i="2"/>
  <c r="BO66" i="2" s="1"/>
  <c r="U65" i="2"/>
  <c r="W65" i="2" s="1"/>
  <c r="W64" i="2"/>
  <c r="I64" i="2"/>
  <c r="G17" i="8" l="1"/>
  <c r="F16" i="8"/>
  <c r="G16" i="8" s="1"/>
  <c r="G21" i="8" s="1"/>
  <c r="G43" i="8" s="1"/>
  <c r="H173" i="10" s="1"/>
  <c r="H175" i="10" s="1"/>
  <c r="H248" i="10" s="1"/>
  <c r="F32" i="10"/>
  <c r="A32" i="10"/>
  <c r="A34" i="10" s="1"/>
  <c r="I112" i="4"/>
  <c r="J111" i="4"/>
  <c r="M111" i="4"/>
  <c r="Q111" i="4" s="1"/>
  <c r="L111" i="4"/>
  <c r="P111" i="4" s="1"/>
  <c r="K111" i="4"/>
  <c r="O111" i="4" s="1"/>
  <c r="G138" i="4"/>
  <c r="L40" i="4"/>
  <c r="P40" i="4" s="1"/>
  <c r="K40" i="4"/>
  <c r="O40" i="4" s="1"/>
  <c r="I41" i="4"/>
  <c r="J40" i="4"/>
  <c r="N40" i="4" s="1"/>
  <c r="M40" i="4"/>
  <c r="Q40" i="4" s="1"/>
  <c r="H140" i="4"/>
  <c r="F137" i="4"/>
  <c r="I136" i="4"/>
  <c r="J136" i="4" s="1"/>
  <c r="I86" i="4"/>
  <c r="J85" i="4"/>
  <c r="N85" i="4" s="1"/>
  <c r="M85" i="4"/>
  <c r="Q85" i="4" s="1"/>
  <c r="L85" i="4"/>
  <c r="P85" i="4" s="1"/>
  <c r="K85" i="4"/>
  <c r="O85" i="4" s="1"/>
  <c r="BE69" i="2"/>
  <c r="BG69" i="2" s="1"/>
  <c r="BE68" i="2"/>
  <c r="BG68" i="2" s="1"/>
  <c r="AG65" i="2"/>
  <c r="AI65" i="2" s="1"/>
  <c r="AI64" i="2"/>
  <c r="Y65" i="2"/>
  <c r="AA65" i="2" s="1"/>
  <c r="AA64" i="2"/>
  <c r="E65" i="2"/>
  <c r="G65" i="2" s="1"/>
  <c r="G64" i="2"/>
  <c r="AO69" i="2"/>
  <c r="AQ69" i="2" s="1"/>
  <c r="AO68" i="2"/>
  <c r="AQ68" i="2" s="1"/>
  <c r="AS69" i="2"/>
  <c r="AU69" i="2" s="1"/>
  <c r="AS68" i="2"/>
  <c r="AU68" i="2" s="1"/>
  <c r="BI69" i="2"/>
  <c r="BK69" i="2" s="1"/>
  <c r="BI68" i="2"/>
  <c r="BK68" i="2" s="1"/>
  <c r="I65" i="2"/>
  <c r="K65" i="2" s="1"/>
  <c r="K64" i="2"/>
  <c r="AW69" i="2"/>
  <c r="AY69" i="2" s="1"/>
  <c r="AW68" i="2"/>
  <c r="AY68" i="2" s="1"/>
  <c r="U66" i="2"/>
  <c r="BM69" i="2"/>
  <c r="BO69" i="2" s="1"/>
  <c r="BM68" i="2"/>
  <c r="BO68" i="2" s="1"/>
  <c r="AC65" i="2"/>
  <c r="AE65" i="2" s="1"/>
  <c r="AE64" i="2"/>
  <c r="M65" i="2"/>
  <c r="O65" i="2" s="1"/>
  <c r="O64" i="2"/>
  <c r="AK65" i="2"/>
  <c r="AM65" i="2" s="1"/>
  <c r="AM64" i="2"/>
  <c r="Q65" i="2"/>
  <c r="S65" i="2" s="1"/>
  <c r="S64" i="2"/>
  <c r="BA69" i="2"/>
  <c r="BC69" i="2" s="1"/>
  <c r="BA68" i="2"/>
  <c r="BC68" i="2" s="1"/>
  <c r="A35" i="10" l="1"/>
  <c r="F35" i="10"/>
  <c r="F138" i="4"/>
  <c r="I137" i="4"/>
  <c r="J137" i="4" s="1"/>
  <c r="M86" i="4"/>
  <c r="Q86" i="4" s="1"/>
  <c r="J86" i="4"/>
  <c r="N86" i="4" s="1"/>
  <c r="I87" i="4"/>
  <c r="L86" i="4"/>
  <c r="P86" i="4" s="1"/>
  <c r="K86" i="4"/>
  <c r="O86" i="4" s="1"/>
  <c r="K41" i="4"/>
  <c r="O41" i="4" s="1"/>
  <c r="I42" i="4"/>
  <c r="J41" i="4"/>
  <c r="N41" i="4" s="1"/>
  <c r="M41" i="4"/>
  <c r="Q41" i="4" s="1"/>
  <c r="L41" i="4"/>
  <c r="P41" i="4" s="1"/>
  <c r="G139" i="4"/>
  <c r="I138" i="4"/>
  <c r="N111" i="4"/>
  <c r="H141" i="4"/>
  <c r="M112" i="4"/>
  <c r="Q112" i="4" s="1"/>
  <c r="L112" i="4"/>
  <c r="P112" i="4" s="1"/>
  <c r="K112" i="4"/>
  <c r="O112" i="4" s="1"/>
  <c r="I113" i="4"/>
  <c r="J112" i="4"/>
  <c r="N112" i="4" s="1"/>
  <c r="BM71" i="2"/>
  <c r="BO71" i="2" s="1"/>
  <c r="BM70" i="2"/>
  <c r="BO70" i="2" s="1"/>
  <c r="I66" i="2"/>
  <c r="BA71" i="2"/>
  <c r="BC71" i="2" s="1"/>
  <c r="BA70" i="2"/>
  <c r="BC70" i="2" s="1"/>
  <c r="AK66" i="2"/>
  <c r="AC66" i="2"/>
  <c r="AW71" i="2"/>
  <c r="AY71" i="2" s="1"/>
  <c r="AW70" i="2"/>
  <c r="AY70" i="2" s="1"/>
  <c r="AO71" i="2"/>
  <c r="AQ71" i="2" s="1"/>
  <c r="AO70" i="2"/>
  <c r="AQ70" i="2" s="1"/>
  <c r="Y66" i="2"/>
  <c r="W66" i="2"/>
  <c r="U67" i="2"/>
  <c r="W67" i="2" s="1"/>
  <c r="AS71" i="2"/>
  <c r="AU71" i="2" s="1"/>
  <c r="AS70" i="2"/>
  <c r="AU70" i="2" s="1"/>
  <c r="BE71" i="2"/>
  <c r="BG71" i="2" s="1"/>
  <c r="BE70" i="2"/>
  <c r="BG70" i="2" s="1"/>
  <c r="Q66" i="2"/>
  <c r="M66" i="2"/>
  <c r="BI71" i="2"/>
  <c r="BK71" i="2" s="1"/>
  <c r="BI70" i="2"/>
  <c r="BK70" i="2" s="1"/>
  <c r="E66" i="2"/>
  <c r="AG66" i="2"/>
  <c r="F144" i="10" l="1"/>
  <c r="F230" i="10"/>
  <c r="F76" i="10"/>
  <c r="A40" i="10"/>
  <c r="L113" i="4"/>
  <c r="P113" i="4" s="1"/>
  <c r="P114" i="4" s="1"/>
  <c r="P115" i="4" s="1"/>
  <c r="K113" i="4"/>
  <c r="M113" i="4"/>
  <c r="Q113" i="4" s="1"/>
  <c r="Q114" i="4" s="1"/>
  <c r="Q115" i="4" s="1"/>
  <c r="Q116" i="4" s="1"/>
  <c r="Q118" i="4" s="1"/>
  <c r="J113" i="4"/>
  <c r="H142" i="4"/>
  <c r="G140" i="4"/>
  <c r="I43" i="4"/>
  <c r="J42" i="4"/>
  <c r="N42" i="4" s="1"/>
  <c r="M42" i="4"/>
  <c r="Q42" i="4" s="1"/>
  <c r="L42" i="4"/>
  <c r="P42" i="4" s="1"/>
  <c r="K42" i="4"/>
  <c r="O42" i="4" s="1"/>
  <c r="L87" i="4"/>
  <c r="P87" i="4" s="1"/>
  <c r="K87" i="4"/>
  <c r="O87" i="4" s="1"/>
  <c r="J87" i="4"/>
  <c r="N87" i="4" s="1"/>
  <c r="I88" i="4"/>
  <c r="M87" i="4"/>
  <c r="Q87" i="4" s="1"/>
  <c r="F139" i="4"/>
  <c r="I139" i="4" s="1"/>
  <c r="J138" i="4"/>
  <c r="AS73" i="2"/>
  <c r="AU73" i="2" s="1"/>
  <c r="AS72" i="2"/>
  <c r="AU72" i="2" s="1"/>
  <c r="AO73" i="2"/>
  <c r="AQ73" i="2" s="1"/>
  <c r="AO72" i="2"/>
  <c r="AQ72" i="2" s="1"/>
  <c r="S66" i="2"/>
  <c r="Q67" i="2"/>
  <c r="S67" i="2" s="1"/>
  <c r="AA66" i="2"/>
  <c r="Y67" i="2"/>
  <c r="AA67" i="2" s="1"/>
  <c r="AE66" i="2"/>
  <c r="AC67" i="2"/>
  <c r="AE67" i="2" s="1"/>
  <c r="K66" i="2"/>
  <c r="I67" i="2"/>
  <c r="K67" i="2" s="1"/>
  <c r="U68" i="2"/>
  <c r="BA73" i="2"/>
  <c r="BC73" i="2" s="1"/>
  <c r="BA72" i="2"/>
  <c r="BC72" i="2" s="1"/>
  <c r="AI66" i="2"/>
  <c r="AG67" i="2"/>
  <c r="AI67" i="2" s="1"/>
  <c r="BE73" i="2"/>
  <c r="BG73" i="2" s="1"/>
  <c r="BE72" i="2"/>
  <c r="BG72" i="2" s="1"/>
  <c r="BI73" i="2"/>
  <c r="BK73" i="2" s="1"/>
  <c r="BI72" i="2"/>
  <c r="BK72" i="2" s="1"/>
  <c r="G66" i="2"/>
  <c r="E67" i="2"/>
  <c r="G67" i="2" s="1"/>
  <c r="O66" i="2"/>
  <c r="M67" i="2"/>
  <c r="O67" i="2" s="1"/>
  <c r="AW73" i="2"/>
  <c r="AY73" i="2" s="1"/>
  <c r="AW72" i="2"/>
  <c r="AY72" i="2" s="1"/>
  <c r="AM66" i="2"/>
  <c r="AK67" i="2"/>
  <c r="AM67" i="2" s="1"/>
  <c r="BM73" i="2"/>
  <c r="BO73" i="2" s="1"/>
  <c r="BM72" i="2"/>
  <c r="BO72" i="2" s="1"/>
  <c r="F255" i="10" l="1"/>
  <c r="A41" i="10"/>
  <c r="A42" i="10" s="1"/>
  <c r="A43" i="10" s="1"/>
  <c r="J139" i="4"/>
  <c r="F140" i="4"/>
  <c r="I140" i="4" s="1"/>
  <c r="G141" i="4"/>
  <c r="N113" i="4"/>
  <c r="N114" i="4" s="1"/>
  <c r="N115" i="4" s="1"/>
  <c r="N116" i="4" s="1"/>
  <c r="J114" i="4"/>
  <c r="O113" i="4"/>
  <c r="O114" i="4" s="1"/>
  <c r="O115" i="4" s="1"/>
  <c r="O116" i="4" s="1"/>
  <c r="O118" i="4" s="1"/>
  <c r="K114" i="4"/>
  <c r="K88" i="4"/>
  <c r="M88" i="4"/>
  <c r="Q88" i="4" s="1"/>
  <c r="Q89" i="4" s="1"/>
  <c r="Q90" i="4" s="1"/>
  <c r="Q91" i="4" s="1"/>
  <c r="Q93" i="4" s="1"/>
  <c r="L88" i="4"/>
  <c r="P88" i="4" s="1"/>
  <c r="P89" i="4" s="1"/>
  <c r="P90" i="4" s="1"/>
  <c r="J88" i="4"/>
  <c r="M43" i="4"/>
  <c r="Q43" i="4" s="1"/>
  <c r="Q44" i="4" s="1"/>
  <c r="Q45" i="4" s="1"/>
  <c r="Q46" i="4" s="1"/>
  <c r="Q48" i="4" s="1"/>
  <c r="L43" i="4"/>
  <c r="P43" i="4" s="1"/>
  <c r="P44" i="4" s="1"/>
  <c r="P45" i="4" s="1"/>
  <c r="K43" i="4"/>
  <c r="J43" i="4"/>
  <c r="P118" i="4"/>
  <c r="P117" i="4"/>
  <c r="R117" i="4" s="1"/>
  <c r="M68" i="2"/>
  <c r="BE75" i="2"/>
  <c r="BG75" i="2" s="1"/>
  <c r="BE74" i="2"/>
  <c r="BG74" i="2" s="1"/>
  <c r="I68" i="2"/>
  <c r="Y68" i="2"/>
  <c r="BM75" i="2"/>
  <c r="BO75" i="2" s="1"/>
  <c r="BM74" i="2"/>
  <c r="BO74" i="2" s="1"/>
  <c r="E68" i="2"/>
  <c r="BI75" i="2"/>
  <c r="BK75" i="2" s="1"/>
  <c r="BI74" i="2"/>
  <c r="BK74" i="2" s="1"/>
  <c r="AG68" i="2"/>
  <c r="BA75" i="2"/>
  <c r="BC75" i="2" s="1"/>
  <c r="BA74" i="2"/>
  <c r="BC74" i="2" s="1"/>
  <c r="W68" i="2"/>
  <c r="U69" i="2"/>
  <c r="W69" i="2" s="1"/>
  <c r="AO75" i="2"/>
  <c r="AQ75" i="2" s="1"/>
  <c r="AO74" i="2"/>
  <c r="AQ74" i="2" s="1"/>
  <c r="AK68" i="2"/>
  <c r="AW75" i="2"/>
  <c r="AY75" i="2" s="1"/>
  <c r="AW74" i="2"/>
  <c r="AY74" i="2" s="1"/>
  <c r="AC68" i="2"/>
  <c r="Q68" i="2"/>
  <c r="AS75" i="2"/>
  <c r="AU75" i="2" s="1"/>
  <c r="AS74" i="2"/>
  <c r="AU74" i="2" s="1"/>
  <c r="A45" i="10" l="1"/>
  <c r="F43" i="10"/>
  <c r="N88" i="4"/>
  <c r="N89" i="4" s="1"/>
  <c r="N90" i="4" s="1"/>
  <c r="N91" i="4" s="1"/>
  <c r="J89" i="4"/>
  <c r="O43" i="4"/>
  <c r="O44" i="4" s="1"/>
  <c r="O45" i="4" s="1"/>
  <c r="O46" i="4" s="1"/>
  <c r="O48" i="4" s="1"/>
  <c r="K44" i="4"/>
  <c r="P92" i="4"/>
  <c r="R92" i="4" s="1"/>
  <c r="P93" i="4"/>
  <c r="G142" i="4"/>
  <c r="I141" i="4"/>
  <c r="P47" i="4"/>
  <c r="R47" i="4" s="1"/>
  <c r="P48" i="4"/>
  <c r="F141" i="4"/>
  <c r="J140" i="4"/>
  <c r="N43" i="4"/>
  <c r="N44" i="4" s="1"/>
  <c r="N45" i="4" s="1"/>
  <c r="J44" i="4"/>
  <c r="O88" i="4"/>
  <c r="O89" i="4" s="1"/>
  <c r="O90" i="4" s="1"/>
  <c r="O91" i="4" s="1"/>
  <c r="O93" i="4" s="1"/>
  <c r="K89" i="4"/>
  <c r="N118" i="4"/>
  <c r="R116" i="4"/>
  <c r="AM68" i="2"/>
  <c r="AK69" i="2"/>
  <c r="AM69" i="2" s="1"/>
  <c r="AA68" i="2"/>
  <c r="Y69" i="2"/>
  <c r="AA69" i="2" s="1"/>
  <c r="S68" i="2"/>
  <c r="Q69" i="2"/>
  <c r="S69" i="2" s="1"/>
  <c r="U70" i="2"/>
  <c r="AE68" i="2"/>
  <c r="AC69" i="2"/>
  <c r="AE69" i="2" s="1"/>
  <c r="AI68" i="2"/>
  <c r="AG69" i="2"/>
  <c r="AI69" i="2" s="1"/>
  <c r="K68" i="2"/>
  <c r="I69" i="2"/>
  <c r="K69" i="2" s="1"/>
  <c r="G68" i="2"/>
  <c r="E69" i="2"/>
  <c r="G69" i="2" s="1"/>
  <c r="O68" i="2"/>
  <c r="M69" i="2"/>
  <c r="O69" i="2" s="1"/>
  <c r="A46" i="10" l="1"/>
  <c r="J141" i="4"/>
  <c r="F142" i="4"/>
  <c r="I142" i="4" s="1"/>
  <c r="G146" i="4"/>
  <c r="D50" i="4"/>
  <c r="N46" i="4"/>
  <c r="N93" i="4"/>
  <c r="R91" i="4"/>
  <c r="AG70" i="2"/>
  <c r="Y70" i="2"/>
  <c r="M70" i="2"/>
  <c r="I70" i="2"/>
  <c r="U71" i="2"/>
  <c r="W71" i="2" s="1"/>
  <c r="W70" i="2"/>
  <c r="AC70" i="2"/>
  <c r="Q70" i="2"/>
  <c r="AK70" i="2"/>
  <c r="E70" i="2"/>
  <c r="F20" i="10" l="1"/>
  <c r="A47" i="10"/>
  <c r="F47" i="10"/>
  <c r="G147" i="4"/>
  <c r="G148" i="4" s="1"/>
  <c r="G149" i="4" s="1"/>
  <c r="G150" i="4" s="1"/>
  <c r="G151" i="4" s="1"/>
  <c r="G152" i="4" s="1"/>
  <c r="G153" i="4" s="1"/>
  <c r="G154" i="4" s="1"/>
  <c r="G155" i="4" s="1"/>
  <c r="G156" i="4" s="1"/>
  <c r="G157" i="4" s="1"/>
  <c r="R46" i="4"/>
  <c r="N48" i="4"/>
  <c r="J142" i="4"/>
  <c r="J143" i="4" s="1"/>
  <c r="F146" i="4" s="1"/>
  <c r="F143" i="4"/>
  <c r="AK71" i="2"/>
  <c r="AM71" i="2" s="1"/>
  <c r="AM70" i="2"/>
  <c r="AC71" i="2"/>
  <c r="AE71" i="2" s="1"/>
  <c r="AE70" i="2"/>
  <c r="I71" i="2"/>
  <c r="K71" i="2" s="1"/>
  <c r="K70" i="2"/>
  <c r="Y71" i="2"/>
  <c r="AA71" i="2" s="1"/>
  <c r="AA70" i="2"/>
  <c r="E71" i="2"/>
  <c r="G71" i="2" s="1"/>
  <c r="G70" i="2"/>
  <c r="Q71" i="2"/>
  <c r="S71" i="2" s="1"/>
  <c r="S70" i="2"/>
  <c r="U72" i="2"/>
  <c r="M71" i="2"/>
  <c r="O71" i="2" s="1"/>
  <c r="O70" i="2"/>
  <c r="AG71" i="2"/>
  <c r="AI71" i="2" s="1"/>
  <c r="AI70" i="2"/>
  <c r="A48" i="10" l="1"/>
  <c r="A49" i="10" s="1"/>
  <c r="F49" i="10"/>
  <c r="H146" i="4"/>
  <c r="M72" i="2"/>
  <c r="Y72" i="2"/>
  <c r="AC72" i="2"/>
  <c r="Q72" i="2"/>
  <c r="AG72" i="2"/>
  <c r="E72" i="2"/>
  <c r="W72" i="2"/>
  <c r="U73" i="2"/>
  <c r="W73" i="2" s="1"/>
  <c r="I72" i="2"/>
  <c r="AK72" i="2"/>
  <c r="A51" i="10" l="1"/>
  <c r="A53" i="10" s="1"/>
  <c r="F53" i="10"/>
  <c r="H147" i="4"/>
  <c r="H148" i="4" s="1"/>
  <c r="H149" i="4" s="1"/>
  <c r="H150" i="4" s="1"/>
  <c r="H151" i="4" s="1"/>
  <c r="H152" i="4" s="1"/>
  <c r="H153" i="4" s="1"/>
  <c r="H154" i="4" s="1"/>
  <c r="H155" i="4" s="1"/>
  <c r="H156" i="4" s="1"/>
  <c r="H157" i="4" s="1"/>
  <c r="I146" i="4"/>
  <c r="F147" i="4" s="1"/>
  <c r="I147" i="4" s="1"/>
  <c r="F148" i="4" s="1"/>
  <c r="I148" i="4" s="1"/>
  <c r="F149" i="4" s="1"/>
  <c r="I149" i="4" s="1"/>
  <c r="F150" i="4" s="1"/>
  <c r="I150" i="4" s="1"/>
  <c r="F151" i="4" s="1"/>
  <c r="I151" i="4" s="1"/>
  <c r="F152" i="4" s="1"/>
  <c r="I152" i="4" s="1"/>
  <c r="F153" i="4" s="1"/>
  <c r="I153" i="4" s="1"/>
  <c r="F154" i="4" s="1"/>
  <c r="I154" i="4" s="1"/>
  <c r="F155" i="4" s="1"/>
  <c r="I155" i="4" s="1"/>
  <c r="F156" i="4" s="1"/>
  <c r="I156" i="4" s="1"/>
  <c r="F157" i="4" s="1"/>
  <c r="I157" i="4" s="1"/>
  <c r="G72" i="2"/>
  <c r="E73" i="2"/>
  <c r="G73" i="2" s="1"/>
  <c r="S72" i="2"/>
  <c r="Q73" i="2"/>
  <c r="S73" i="2" s="1"/>
  <c r="AI72" i="2"/>
  <c r="AG73" i="2"/>
  <c r="AI73" i="2" s="1"/>
  <c r="K72" i="2"/>
  <c r="I73" i="2"/>
  <c r="K73" i="2" s="1"/>
  <c r="AA72" i="2"/>
  <c r="Y73" i="2"/>
  <c r="AA73" i="2" s="1"/>
  <c r="U74" i="2"/>
  <c r="AM72" i="2"/>
  <c r="AK73" i="2"/>
  <c r="AM73" i="2" s="1"/>
  <c r="AE72" i="2"/>
  <c r="AC73" i="2"/>
  <c r="AE73" i="2" s="1"/>
  <c r="O72" i="2"/>
  <c r="M73" i="2"/>
  <c r="O73" i="2" s="1"/>
  <c r="F31" i="10" l="1"/>
  <c r="A57" i="10"/>
  <c r="H158" i="4"/>
  <c r="H160" i="4" s="1"/>
  <c r="Q74" i="2"/>
  <c r="M74" i="2"/>
  <c r="U75" i="2"/>
  <c r="W75" i="2" s="1"/>
  <c r="W74" i="2"/>
  <c r="AC74" i="2"/>
  <c r="AK74" i="2"/>
  <c r="Y74" i="2"/>
  <c r="AG74" i="2"/>
  <c r="E74" i="2"/>
  <c r="I74" i="2"/>
  <c r="H163" i="4" l="1"/>
  <c r="D167" i="4" s="1"/>
  <c r="D171" i="4" s="1"/>
  <c r="H285" i="10"/>
  <c r="A59" i="10"/>
  <c r="F280" i="10"/>
  <c r="F270" i="10"/>
  <c r="E75" i="2"/>
  <c r="G75" i="2" s="1"/>
  <c r="G74" i="2"/>
  <c r="Y75" i="2"/>
  <c r="AA75" i="2" s="1"/>
  <c r="AA74" i="2"/>
  <c r="AC75" i="2"/>
  <c r="AE75" i="2" s="1"/>
  <c r="AE74" i="2"/>
  <c r="M75" i="2"/>
  <c r="O75" i="2" s="1"/>
  <c r="O74" i="2"/>
  <c r="I75" i="2"/>
  <c r="K75" i="2" s="1"/>
  <c r="K74" i="2"/>
  <c r="AG75" i="2"/>
  <c r="AI75" i="2" s="1"/>
  <c r="AI74" i="2"/>
  <c r="AK75" i="2"/>
  <c r="AM75" i="2" s="1"/>
  <c r="AM74" i="2"/>
  <c r="Q75" i="2"/>
  <c r="S75" i="2" s="1"/>
  <c r="S74" i="2"/>
  <c r="A60" i="10" l="1"/>
  <c r="A61" i="10" s="1"/>
  <c r="A62" i="10" s="1"/>
  <c r="A63" i="10" s="1"/>
  <c r="F63" i="10" l="1"/>
  <c r="A64" i="10"/>
  <c r="A65" i="10" s="1"/>
  <c r="F65" i="10"/>
  <c r="A67" i="10" l="1"/>
  <c r="F67" i="10"/>
  <c r="A69" i="10" l="1"/>
  <c r="F69" i="10"/>
  <c r="F34" i="10" l="1"/>
  <c r="F242" i="10"/>
  <c r="A74" i="10"/>
  <c r="A75" i="10" s="1"/>
  <c r="A76" i="10" l="1"/>
  <c r="A77" i="10" s="1"/>
  <c r="A84" i="10" l="1"/>
  <c r="A87" i="10" s="1"/>
  <c r="F77" i="10"/>
  <c r="F88" i="10" l="1"/>
  <c r="A88" i="10"/>
  <c r="A92" i="10" l="1"/>
  <c r="A93" i="10" l="1"/>
  <c r="A94" i="10" s="1"/>
  <c r="A95" i="10" l="1"/>
  <c r="A96" i="10" s="1"/>
  <c r="F96" i="10"/>
  <c r="F94" i="10"/>
  <c r="A99" i="10" l="1"/>
  <c r="A100" i="10" l="1"/>
  <c r="A101" i="10" s="1"/>
  <c r="A104" i="10" l="1"/>
  <c r="F101" i="10"/>
  <c r="A105" i="10" l="1"/>
  <c r="A106" i="10" s="1"/>
  <c r="A108" i="10" l="1"/>
  <c r="F108" i="10"/>
  <c r="F106" i="10"/>
  <c r="F243" i="10" l="1"/>
  <c r="A110" i="10"/>
  <c r="F110" i="10"/>
  <c r="F244" i="10" l="1"/>
  <c r="A115" i="10"/>
  <c r="A116" i="10" l="1"/>
  <c r="A117" i="10" s="1"/>
  <c r="A118" i="10" s="1"/>
  <c r="A119" i="10" s="1"/>
  <c r="C323" i="10" l="1"/>
  <c r="A120" i="10"/>
  <c r="A121" i="10" l="1"/>
  <c r="F121" i="10"/>
  <c r="A124" i="10" l="1"/>
  <c r="A125" i="10" l="1"/>
  <c r="A127" i="10" s="1"/>
  <c r="A128" i="10" s="1"/>
  <c r="A129" i="10" s="1"/>
  <c r="A130" i="10" s="1"/>
  <c r="A131" i="10" s="1"/>
  <c r="A132" i="10" s="1"/>
  <c r="A133" i="10" l="1"/>
  <c r="A134" i="10" s="1"/>
  <c r="F132" i="10"/>
  <c r="A137" i="10" l="1"/>
  <c r="F134" i="10"/>
  <c r="A138" i="10" l="1"/>
  <c r="A139" i="10" s="1"/>
  <c r="A141" i="10" l="1"/>
  <c r="F139" i="10"/>
  <c r="A142" i="10" l="1"/>
  <c r="A143" i="10" s="1"/>
  <c r="F143" i="10"/>
  <c r="A144" i="10" l="1"/>
  <c r="A145" i="10" s="1"/>
  <c r="A147" i="10" l="1"/>
  <c r="F147" i="10"/>
  <c r="F145" i="10"/>
  <c r="A152" i="10" l="1"/>
  <c r="F99" i="10"/>
  <c r="F246" i="10"/>
  <c r="A156" i="10" l="1"/>
  <c r="A157" i="10" l="1"/>
  <c r="A158" i="10" s="1"/>
  <c r="A159" i="10" l="1"/>
  <c r="A160" i="10" s="1"/>
  <c r="F158" i="10"/>
  <c r="A162" i="10" l="1"/>
  <c r="F160" i="10"/>
  <c r="A163" i="10" l="1"/>
  <c r="A164" i="10" s="1"/>
  <c r="A165" i="10" l="1"/>
  <c r="A166" i="10" s="1"/>
  <c r="F164" i="10"/>
  <c r="A169" i="10" l="1"/>
  <c r="F169" i="10"/>
  <c r="F166" i="10"/>
  <c r="A173" i="10" l="1"/>
  <c r="F247" i="10"/>
  <c r="A175" i="10" l="1"/>
  <c r="F175" i="10"/>
  <c r="F248" i="10" l="1"/>
  <c r="A180" i="10"/>
  <c r="A181" i="10" s="1"/>
  <c r="A182" i="10" s="1"/>
  <c r="A184" i="10" l="1"/>
  <c r="A187" i="10" l="1"/>
  <c r="A188" i="10" l="1"/>
  <c r="A189" i="10" s="1"/>
  <c r="A190" i="10" s="1"/>
  <c r="F190" i="10"/>
  <c r="F200" i="10" l="1"/>
  <c r="A193" i="10"/>
  <c r="A194" i="10" l="1"/>
  <c r="A195" i="10" s="1"/>
  <c r="A196" i="10" s="1"/>
  <c r="A197" i="10" s="1"/>
  <c r="A198" i="10" s="1"/>
  <c r="A199" i="10" l="1"/>
  <c r="F207" i="10"/>
  <c r="F198" i="10"/>
  <c r="A200" i="10" l="1"/>
  <c r="F188" i="10"/>
  <c r="F208" i="10"/>
  <c r="A201" i="10" l="1"/>
  <c r="F201" i="10"/>
  <c r="A203" i="10" l="1"/>
  <c r="F203" i="10"/>
  <c r="F204" i="10"/>
  <c r="F205" i="10"/>
  <c r="A204" i="10" l="1"/>
  <c r="A205" i="10" l="1"/>
  <c r="A207" i="10" l="1"/>
  <c r="A208" i="10" l="1"/>
  <c r="F211" i="10"/>
  <c r="A209" i="10" l="1"/>
  <c r="F212" i="10"/>
  <c r="A211" i="10" l="1"/>
  <c r="F213" i="10"/>
  <c r="A212" i="10" l="1"/>
  <c r="A213" i="10" s="1"/>
  <c r="A214" i="10" s="1"/>
  <c r="A216" i="10" l="1"/>
  <c r="F216" i="10"/>
  <c r="F214" i="10"/>
  <c r="F249" i="10" l="1"/>
  <c r="A221" i="10"/>
  <c r="A222" i="10" s="1"/>
  <c r="A223" i="10" s="1"/>
  <c r="A224" i="10" s="1"/>
  <c r="A225" i="10" s="1"/>
  <c r="F235" i="10" l="1"/>
  <c r="A228" i="10"/>
  <c r="F229" i="10"/>
  <c r="A229" i="10" l="1"/>
  <c r="A230" i="10" s="1"/>
  <c r="A231" i="10" s="1"/>
  <c r="A235" i="10" l="1"/>
  <c r="A237" i="10" s="1"/>
  <c r="F231" i="10"/>
  <c r="A242" i="10" l="1"/>
  <c r="A243" i="10" s="1"/>
  <c r="A244" i="10" s="1"/>
  <c r="A246" i="10" s="1"/>
  <c r="F250" i="10"/>
  <c r="F237" i="10"/>
  <c r="A247" i="10" l="1"/>
  <c r="A248" i="10" s="1"/>
  <c r="A249" i="10" s="1"/>
  <c r="A250" i="10" s="1"/>
  <c r="A252" i="10" s="1"/>
  <c r="F252" i="10"/>
  <c r="A255" i="10" l="1"/>
  <c r="F259" i="10"/>
  <c r="A256" i="10" l="1"/>
  <c r="A257" i="10" s="1"/>
  <c r="F258" i="10" l="1"/>
  <c r="A258" i="10"/>
  <c r="F257" i="10"/>
  <c r="A259" i="10" l="1"/>
  <c r="A260" i="10" s="1"/>
  <c r="A263" i="10" l="1"/>
  <c r="A264" i="10" s="1"/>
  <c r="F260" i="10"/>
  <c r="A266" i="10" l="1"/>
  <c r="C321" i="10"/>
  <c r="F266" i="10"/>
  <c r="F269" i="10" l="1"/>
  <c r="F277" i="10"/>
  <c r="A269" i="10"/>
  <c r="F284" i="10"/>
  <c r="F271" i="10" l="1"/>
  <c r="A270" i="10"/>
  <c r="A271" i="10" s="1"/>
  <c r="A272" i="10" s="1"/>
  <c r="A273" i="10" s="1"/>
  <c r="A277" i="10" s="1"/>
  <c r="F272" i="10"/>
  <c r="A278" i="10" l="1"/>
  <c r="F273" i="10"/>
  <c r="A279" i="10" l="1"/>
  <c r="F279" i="10"/>
  <c r="A280" i="10" l="1"/>
  <c r="A281" i="10" l="1"/>
  <c r="A282" i="10" s="1"/>
  <c r="A284" i="10" s="1"/>
  <c r="F282" i="10"/>
  <c r="F281" i="10"/>
  <c r="A285" i="10" l="1"/>
  <c r="A286" i="10" s="1"/>
  <c r="A287" i="10" s="1"/>
  <c r="A289" i="10" l="1"/>
  <c r="GF287" i="10"/>
  <c r="F289" i="10"/>
  <c r="A292" i="10" l="1"/>
  <c r="A293" i="10" s="1"/>
  <c r="F293" i="10"/>
  <c r="F295" i="10" l="1"/>
  <c r="A295" i="10"/>
  <c r="E253" i="3" l="1"/>
  <c r="E254" i="3" s="1"/>
  <c r="E246" i="3" s="1"/>
  <c r="D32" i="6" s="1"/>
  <c r="D33" i="6" s="1"/>
  <c r="D34" i="6" s="1"/>
  <c r="D36" i="6" s="1"/>
  <c r="D37" i="6" s="1"/>
  <c r="D22" i="6" s="1"/>
  <c r="D23" i="6" s="1"/>
  <c r="H263" i="10" s="1"/>
  <c r="I103" i="3" l="1"/>
  <c r="I105" i="3" s="1"/>
  <c r="H84" i="10" s="1"/>
  <c r="H108" i="10" s="1"/>
  <c r="H243" i="10" l="1"/>
  <c r="H110" i="10"/>
  <c r="I16" i="5" l="1"/>
  <c r="I56" i="5" s="1"/>
  <c r="H244" i="10"/>
  <c r="H216" i="10"/>
  <c r="H249" i="10" l="1"/>
  <c r="H235" i="10"/>
  <c r="H237" i="10" s="1"/>
  <c r="H250" i="10" s="1"/>
  <c r="H252" i="10" s="1"/>
  <c r="H259" i="10" s="1"/>
  <c r="H260" i="10" s="1"/>
  <c r="H266" i="10" s="1"/>
  <c r="I75" i="5"/>
  <c r="I77" i="5" s="1"/>
  <c r="I9" i="5" s="1"/>
  <c r="H278" i="10" s="1"/>
  <c r="H277" i="10" l="1"/>
  <c r="H279" i="10" s="1"/>
  <c r="H284" i="10"/>
  <c r="H269" i="10"/>
  <c r="H273" i="10" l="1"/>
  <c r="I18" i="2" s="1"/>
  <c r="H271" i="10"/>
  <c r="H272" i="10"/>
  <c r="I12" i="2" s="1"/>
  <c r="H281" i="10"/>
  <c r="H282" i="10"/>
  <c r="I13" i="2" s="1"/>
  <c r="I14" i="2" l="1"/>
  <c r="AO29" i="2"/>
  <c r="AG29" i="2"/>
  <c r="E29" i="2"/>
  <c r="M29" i="2"/>
  <c r="M30" i="2" s="1"/>
  <c r="I29" i="2"/>
  <c r="Y29" i="2"/>
  <c r="AK29" i="2"/>
  <c r="Q29" i="2"/>
  <c r="Q30" i="2" s="1"/>
  <c r="AC29" i="2"/>
  <c r="BA29" i="2"/>
  <c r="BE29" i="2"/>
  <c r="BI29" i="2"/>
  <c r="BI30" i="2" s="1"/>
  <c r="AW29" i="2"/>
  <c r="BM29" i="2"/>
  <c r="AS29" i="2"/>
  <c r="U29" i="2"/>
  <c r="U30" i="2" s="1"/>
  <c r="AC30" i="2" l="1"/>
  <c r="AF69" i="2" s="1"/>
  <c r="AO30" i="2"/>
  <c r="AR67" i="2" s="1"/>
  <c r="E30" i="2"/>
  <c r="H61" i="2" s="1"/>
  <c r="AS30" i="2"/>
  <c r="AV63" i="2" s="1"/>
  <c r="BE30" i="2"/>
  <c r="BH67" i="2" s="1"/>
  <c r="AK30" i="2"/>
  <c r="AN57" i="2" s="1"/>
  <c r="I30" i="2"/>
  <c r="L73" i="2" s="1"/>
  <c r="BM30" i="2"/>
  <c r="BP37" i="2" s="1"/>
  <c r="BA30" i="2"/>
  <c r="BD75" i="2" s="1"/>
  <c r="Y30" i="2"/>
  <c r="AB73" i="2" s="1"/>
  <c r="AG30" i="2"/>
  <c r="AJ75" i="2" s="1"/>
  <c r="AW30" i="2"/>
  <c r="AZ67" i="2" s="1"/>
  <c r="AF61" i="2"/>
  <c r="AF59" i="2"/>
  <c r="AF71" i="2"/>
  <c r="AF57" i="2"/>
  <c r="AF75" i="2"/>
  <c r="X58" i="2"/>
  <c r="X66" i="2"/>
  <c r="X74" i="2"/>
  <c r="X60" i="2"/>
  <c r="X68" i="2"/>
  <c r="X56" i="2"/>
  <c r="X62" i="2"/>
  <c r="X70" i="2"/>
  <c r="X36" i="2"/>
  <c r="X64" i="2"/>
  <c r="X72" i="2"/>
  <c r="BL56" i="2"/>
  <c r="BL62" i="2"/>
  <c r="BL70" i="2"/>
  <c r="BL36" i="2"/>
  <c r="BL64" i="2"/>
  <c r="BL72" i="2"/>
  <c r="BL58" i="2"/>
  <c r="BL66" i="2"/>
  <c r="BL74" i="2"/>
  <c r="BL60" i="2"/>
  <c r="BL68" i="2"/>
  <c r="T56" i="2"/>
  <c r="T64" i="2"/>
  <c r="T72" i="2"/>
  <c r="T58" i="2"/>
  <c r="T66" i="2"/>
  <c r="T74" i="2"/>
  <c r="T60" i="2"/>
  <c r="T68" i="2"/>
  <c r="T36" i="2"/>
  <c r="T62" i="2"/>
  <c r="T70" i="2"/>
  <c r="P56" i="2"/>
  <c r="P66" i="2"/>
  <c r="P74" i="2"/>
  <c r="P60" i="2"/>
  <c r="P68" i="2"/>
  <c r="P62" i="2"/>
  <c r="P70" i="2"/>
  <c r="P58" i="2"/>
  <c r="P64" i="2"/>
  <c r="P72" i="2"/>
  <c r="AN37" i="2"/>
  <c r="AN63" i="2"/>
  <c r="AN75" i="2"/>
  <c r="AN61" i="2"/>
  <c r="BL59" i="2"/>
  <c r="BL63" i="2"/>
  <c r="BL71" i="2"/>
  <c r="BL37" i="2"/>
  <c r="BL65" i="2"/>
  <c r="BL73" i="2"/>
  <c r="BL57" i="2"/>
  <c r="BL67" i="2"/>
  <c r="BL75" i="2"/>
  <c r="BL61" i="2"/>
  <c r="BL69" i="2"/>
  <c r="X57" i="2"/>
  <c r="X65" i="2"/>
  <c r="X73" i="2"/>
  <c r="X59" i="2"/>
  <c r="X67" i="2"/>
  <c r="X75" i="2"/>
  <c r="X61" i="2"/>
  <c r="X69" i="2"/>
  <c r="X37" i="2"/>
  <c r="X63" i="2"/>
  <c r="X71" i="2"/>
  <c r="AV56" i="2"/>
  <c r="AV66" i="2"/>
  <c r="AV74" i="2"/>
  <c r="AV60" i="2"/>
  <c r="AV68" i="2"/>
  <c r="AV58" i="2"/>
  <c r="AV62" i="2"/>
  <c r="AV70" i="2"/>
  <c r="AV36" i="2"/>
  <c r="AV64" i="2"/>
  <c r="AV72" i="2"/>
  <c r="BH56" i="2"/>
  <c r="BH66" i="2"/>
  <c r="BH74" i="2"/>
  <c r="BH60" i="2"/>
  <c r="BH68" i="2"/>
  <c r="BH36" i="2"/>
  <c r="BH62" i="2"/>
  <c r="BH70" i="2"/>
  <c r="BH58" i="2"/>
  <c r="BH64" i="2"/>
  <c r="BH72" i="2"/>
  <c r="AN56" i="2"/>
  <c r="AN62" i="2"/>
  <c r="AN70" i="2"/>
  <c r="AN36" i="2"/>
  <c r="AN64" i="2"/>
  <c r="AN72" i="2"/>
  <c r="AN58" i="2"/>
  <c r="AN66" i="2"/>
  <c r="AN74" i="2"/>
  <c r="AN60" i="2"/>
  <c r="AN68" i="2"/>
  <c r="H62" i="2"/>
  <c r="H70" i="2"/>
  <c r="H58" i="2"/>
  <c r="H64" i="2"/>
  <c r="H72" i="2"/>
  <c r="H56" i="2"/>
  <c r="H66" i="2"/>
  <c r="H74" i="2"/>
  <c r="H60" i="2"/>
  <c r="H68" i="2"/>
  <c r="T61" i="2"/>
  <c r="T69" i="2"/>
  <c r="T59" i="2"/>
  <c r="T63" i="2"/>
  <c r="T71" i="2"/>
  <c r="T57" i="2"/>
  <c r="T65" i="2"/>
  <c r="T73" i="2"/>
  <c r="T37" i="2"/>
  <c r="T67" i="2"/>
  <c r="T75" i="2"/>
  <c r="AB67" i="2"/>
  <c r="AB69" i="2"/>
  <c r="AR61" i="2"/>
  <c r="AR69" i="2"/>
  <c r="BP60" i="2"/>
  <c r="BP68" i="2"/>
  <c r="BP56" i="2"/>
  <c r="BP62" i="2"/>
  <c r="BP70" i="2"/>
  <c r="BP36" i="2"/>
  <c r="BP64" i="2"/>
  <c r="BP72" i="2"/>
  <c r="BP58" i="2"/>
  <c r="BP66" i="2"/>
  <c r="BP74" i="2"/>
  <c r="BD60" i="2"/>
  <c r="BD68" i="2"/>
  <c r="BD36" i="2"/>
  <c r="BD62" i="2"/>
  <c r="BD70" i="2"/>
  <c r="BD58" i="2"/>
  <c r="BD64" i="2"/>
  <c r="BD72" i="2"/>
  <c r="BD56" i="2"/>
  <c r="BD66" i="2"/>
  <c r="BD74" i="2"/>
  <c r="AB56" i="2"/>
  <c r="AB64" i="2"/>
  <c r="AB72" i="2"/>
  <c r="AB58" i="2"/>
  <c r="AB66" i="2"/>
  <c r="AB74" i="2"/>
  <c r="AB60" i="2"/>
  <c r="AB68" i="2"/>
  <c r="AB36" i="2"/>
  <c r="AB62" i="2"/>
  <c r="AB70" i="2"/>
  <c r="AJ60" i="2"/>
  <c r="AJ68" i="2"/>
  <c r="AJ36" i="2"/>
  <c r="AJ62" i="2"/>
  <c r="AJ70" i="2"/>
  <c r="AJ58" i="2"/>
  <c r="AJ64" i="2"/>
  <c r="AJ72" i="2"/>
  <c r="AJ56" i="2"/>
  <c r="AJ66" i="2"/>
  <c r="AJ74" i="2"/>
  <c r="BH37" i="2"/>
  <c r="BH69" i="2"/>
  <c r="BD67" i="2"/>
  <c r="BD57" i="2"/>
  <c r="BD65" i="2"/>
  <c r="P63" i="2"/>
  <c r="P71" i="2"/>
  <c r="P57" i="2"/>
  <c r="P65" i="2"/>
  <c r="P73" i="2"/>
  <c r="P59" i="2"/>
  <c r="P67" i="2"/>
  <c r="P75" i="2"/>
  <c r="P61" i="2"/>
  <c r="P69" i="2"/>
  <c r="AZ36" i="2"/>
  <c r="AZ62" i="2"/>
  <c r="AZ70" i="2"/>
  <c r="AZ58" i="2"/>
  <c r="AZ64" i="2"/>
  <c r="AZ72" i="2"/>
  <c r="AZ56" i="2"/>
  <c r="AZ66" i="2"/>
  <c r="AZ74" i="2"/>
  <c r="AZ60" i="2"/>
  <c r="AZ68" i="2"/>
  <c r="AF58" i="2"/>
  <c r="AF62" i="2"/>
  <c r="AF70" i="2"/>
  <c r="AF36" i="2"/>
  <c r="AF64" i="2"/>
  <c r="AF72" i="2"/>
  <c r="AF56" i="2"/>
  <c r="AF66" i="2"/>
  <c r="AF74" i="2"/>
  <c r="AF60" i="2"/>
  <c r="AF68" i="2"/>
  <c r="L60" i="2"/>
  <c r="L68" i="2"/>
  <c r="L62" i="2"/>
  <c r="L70" i="2"/>
  <c r="L56" i="2"/>
  <c r="L64" i="2"/>
  <c r="L72" i="2"/>
  <c r="L58" i="2"/>
  <c r="L66" i="2"/>
  <c r="L74" i="2"/>
  <c r="AR56" i="2"/>
  <c r="AR64" i="2"/>
  <c r="AR72" i="2"/>
  <c r="AR58" i="2"/>
  <c r="AR66" i="2"/>
  <c r="AR74" i="2"/>
  <c r="AR60" i="2"/>
  <c r="AR68" i="2"/>
  <c r="AR36" i="2"/>
  <c r="AR62" i="2"/>
  <c r="AR70" i="2"/>
  <c r="AR57" i="2" l="1"/>
  <c r="AR37" i="2"/>
  <c r="AB59" i="2"/>
  <c r="AN73" i="2"/>
  <c r="AJ73" i="2"/>
  <c r="BH59" i="2"/>
  <c r="AR71" i="2"/>
  <c r="AB57" i="2"/>
  <c r="AB37" i="2"/>
  <c r="AN65" i="2"/>
  <c r="AF65" i="2"/>
  <c r="AV61" i="2"/>
  <c r="L57" i="2"/>
  <c r="AF73" i="2"/>
  <c r="AF63" i="2"/>
  <c r="AF67" i="2"/>
  <c r="AF37" i="2"/>
  <c r="AJ63" i="2"/>
  <c r="AZ57" i="2"/>
  <c r="L63" i="2"/>
  <c r="L67" i="2"/>
  <c r="BP69" i="2"/>
  <c r="AZ37" i="2"/>
  <c r="BP59" i="2"/>
  <c r="AZ69" i="2"/>
  <c r="H73" i="2"/>
  <c r="H63" i="2"/>
  <c r="AJ37" i="2"/>
  <c r="L69" i="2"/>
  <c r="H75" i="2"/>
  <c r="H65" i="2"/>
  <c r="H69" i="2"/>
  <c r="AJ67" i="2"/>
  <c r="AJ59" i="2"/>
  <c r="AJ69" i="2"/>
  <c r="AR73" i="2"/>
  <c r="AR63" i="2"/>
  <c r="AR75" i="2"/>
  <c r="AJ57" i="2"/>
  <c r="AJ71" i="2"/>
  <c r="AJ61" i="2"/>
  <c r="AR65" i="2"/>
  <c r="AR59" i="2"/>
  <c r="AB63" i="2"/>
  <c r="AB75" i="2"/>
  <c r="AB65" i="2"/>
  <c r="L71" i="2"/>
  <c r="L75" i="2"/>
  <c r="L65" i="2"/>
  <c r="AN69" i="2"/>
  <c r="AN59" i="2"/>
  <c r="AN71" i="2"/>
  <c r="H59" i="2"/>
  <c r="H71" i="2"/>
  <c r="AJ65" i="2"/>
  <c r="L59" i="2"/>
  <c r="AB71" i="2"/>
  <c r="AB61" i="2"/>
  <c r="L61" i="2"/>
  <c r="AN67" i="2"/>
  <c r="H67" i="2"/>
  <c r="H57" i="2"/>
  <c r="AZ71" i="2"/>
  <c r="AZ61" i="2"/>
  <c r="BP71" i="2"/>
  <c r="BP61" i="2"/>
  <c r="BP73" i="2"/>
  <c r="AV75" i="2"/>
  <c r="AZ73" i="2"/>
  <c r="AZ63" i="2"/>
  <c r="AZ75" i="2"/>
  <c r="BP63" i="2"/>
  <c r="BP75" i="2"/>
  <c r="BP65" i="2"/>
  <c r="AV59" i="2"/>
  <c r="AZ65" i="2"/>
  <c r="AZ59" i="2"/>
  <c r="BP57" i="2"/>
  <c r="BP67" i="2"/>
  <c r="AV71" i="2"/>
  <c r="AV57" i="2"/>
  <c r="AV65" i="2"/>
  <c r="AV67" i="2"/>
  <c r="AV37" i="2"/>
  <c r="AV69" i="2"/>
  <c r="AV73" i="2"/>
  <c r="BD37" i="2"/>
  <c r="BD69" i="2"/>
  <c r="BD59" i="2"/>
  <c r="BH71" i="2"/>
  <c r="BH61" i="2"/>
  <c r="BH63" i="2"/>
  <c r="BD71" i="2"/>
  <c r="BD61" i="2"/>
  <c r="BH73" i="2"/>
  <c r="BH75" i="2"/>
  <c r="BD73" i="2"/>
  <c r="BD63" i="2"/>
  <c r="BH65" i="2"/>
  <c r="BH57" i="2"/>
  <c r="BQ60" i="2"/>
  <c r="BS60" i="2" s="1"/>
  <c r="BQ72" i="2"/>
  <c r="BS72" i="2" s="1"/>
  <c r="BQ62" i="2"/>
  <c r="BS62" i="2" s="1"/>
  <c r="BQ74" i="2"/>
  <c r="BS74" i="2" s="1"/>
  <c r="BQ64" i="2"/>
  <c r="BS64" i="2" s="1"/>
  <c r="BQ36" i="2"/>
  <c r="BS36" i="2" s="1"/>
  <c r="BQ66" i="2"/>
  <c r="BS66" i="2" s="1"/>
  <c r="BQ58" i="2"/>
  <c r="BS58" i="2" s="1"/>
  <c r="BQ68" i="2"/>
  <c r="BS68" i="2" s="1"/>
  <c r="BQ56" i="2"/>
  <c r="BS56" i="2" s="1"/>
  <c r="BQ70" i="2"/>
  <c r="BS70" i="2" s="1"/>
  <c r="BQ37" i="2" l="1"/>
  <c r="BR37" i="2" s="1"/>
  <c r="BQ63" i="2"/>
  <c r="BR63" i="2" s="1"/>
  <c r="BQ59" i="2"/>
  <c r="BR59" i="2" s="1"/>
  <c r="BQ75" i="2"/>
  <c r="BR75" i="2" s="1"/>
  <c r="BQ67" i="2"/>
  <c r="BR67" i="2" s="1"/>
  <c r="BQ73" i="2"/>
  <c r="BR73" i="2" s="1"/>
  <c r="BQ65" i="2"/>
  <c r="BR65" i="2" s="1"/>
  <c r="BQ57" i="2"/>
  <c r="BR57" i="2" s="1"/>
  <c r="H286" i="10" s="1"/>
  <c r="H289" i="10" s="1"/>
  <c r="BQ69" i="2"/>
  <c r="BR69" i="2" s="1"/>
  <c r="BQ61" i="2"/>
  <c r="BR61" i="2" s="1"/>
  <c r="BQ71" i="2"/>
  <c r="BR71" i="2" s="1"/>
  <c r="BS78" i="2"/>
  <c r="BR78" i="2" l="1"/>
  <c r="H293" i="10"/>
  <c r="H295" i="10" s="1"/>
</calcChain>
</file>

<file path=xl/sharedStrings.xml><?xml version="1.0" encoding="utf-8"?>
<sst xmlns="http://schemas.openxmlformats.org/spreadsheetml/2006/main" count="1418" uniqueCount="867">
  <si>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</si>
  <si>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</si>
  <si>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</si>
  <si>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</si>
  <si>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</si>
  <si>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</si>
  <si>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</si>
  <si>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</si>
  <si>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</si>
  <si>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</si>
  <si>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</si>
  <si>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</si>
  <si>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</si>
  <si>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</si>
  <si>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</si>
  <si>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</si>
  <si>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</si>
  <si>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</si>
  <si>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</si>
  <si>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B0288 Brighton Sub</t>
  </si>
  <si>
    <t>B0251 Bells Mill 230kV Capacitors</t>
  </si>
  <si>
    <t>B0252 Northern System Rel -3 230 Caps</t>
  </si>
  <si>
    <t>BO319 Burches Hill 500/230 kV transformer - second 1000 MVA</t>
  </si>
  <si>
    <t>BO367.1/BO367.2 Reconductor Dickerson-Quince Orchard 230 kV</t>
  </si>
  <si>
    <t>BO512.7  Chalk Point 230 kV Breaker 1A</t>
  </si>
  <si>
    <t>BO512.8  Chalk Point 230 kV Breaker 1B</t>
  </si>
  <si>
    <t>BO512.9  Chalk Point 230 kV Breaker 2A</t>
  </si>
  <si>
    <t>B0512.12 Chalk Point 230 kV Breaker 3A</t>
  </si>
  <si>
    <t>BO478 Burches Hill-Palmer Cr Upgrade 23090, 91, 92, 93</t>
  </si>
  <si>
    <t>BO499 Burches Hill Sub:  Add 3rd 500/230kV</t>
  </si>
  <si>
    <t>BO526 Ritchie-Benning:  Install (2) 230kV Lines</t>
  </si>
  <si>
    <t>BO701.1 Benning Sub:  Add 3rd 230/69kV, 250MVA</t>
  </si>
  <si>
    <t>BO496 Brighton Sub: Upgrade T1 500/230kv Transormer</t>
  </si>
  <si>
    <t>B1125 Convert Buzzard to Ritchie Line - 138kV to 230kV</t>
  </si>
  <si>
    <t>b2008 Reconductor feeder Dickerson to Quince Orchard</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</si>
  <si>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</si>
  <si>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</si>
  <si>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</si>
  <si>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</si>
  <si>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</si>
  <si>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</si>
  <si>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</si>
  <si>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</si>
  <si>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</si>
  <si>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</si>
  <si>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</si>
  <si>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</si>
  <si>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</si>
  <si>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</si>
  <si>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</si>
  <si>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</si>
  <si>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</si>
  <si>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</si>
  <si>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Annual Depreciation/ Amortization Exp</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</si>
  <si>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</si>
  <si>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</si>
  <si>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</si>
  <si>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</si>
  <si>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</si>
  <si>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</si>
  <si>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</si>
  <si>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</si>
  <si>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</si>
  <si>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</si>
  <si>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</si>
  <si>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</si>
  <si>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</si>
  <si>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</si>
  <si>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</si>
  <si>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</si>
  <si>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</si>
  <si>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</si>
  <si>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Respondent is Electric Utility only.</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</si>
  <si>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</si>
  <si>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</si>
  <si>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</si>
  <si>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</si>
  <si>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</si>
  <si>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</si>
  <si>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</si>
  <si>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</si>
  <si>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</si>
  <si>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</si>
  <si>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</si>
  <si>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</si>
  <si>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</si>
  <si>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enter</t>
  </si>
  <si>
    <t>enter details</t>
  </si>
  <si>
    <t>CWIP &amp; Expensed Lease Worksheet</t>
  </si>
  <si>
    <t>CWIP In Form 1 Amount</t>
  </si>
  <si>
    <t>Expensed Lease in Form 1 Amount</t>
  </si>
  <si>
    <t>p207.104g</t>
  </si>
  <si>
    <t>See ARO Exclusion - Cost Support section below for Electric Plant in Servie without AROs</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</si>
  <si>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</si>
  <si>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</si>
  <si>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</si>
  <si>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</si>
  <si>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</si>
  <si>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</si>
  <si>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</si>
  <si>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</si>
  <si>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</si>
  <si>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MultiState Workpaper</t>
  </si>
  <si>
    <t>State 1</t>
  </si>
  <si>
    <t>State 2</t>
  </si>
  <si>
    <t>State 3</t>
  </si>
  <si>
    <t>State 4</t>
  </si>
  <si>
    <t>State 5</t>
  </si>
  <si>
    <t xml:space="preserve"> </t>
  </si>
  <si>
    <t>Income Tax Rates</t>
  </si>
  <si>
    <t>Maryland</t>
  </si>
  <si>
    <t>DC</t>
  </si>
  <si>
    <t>Enter State</t>
  </si>
  <si>
    <t>Enter Calculation</t>
  </si>
  <si>
    <t>Enter %</t>
  </si>
  <si>
    <t>Apportioned: MD 4.50%, DC 3.10%</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</si>
  <si>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</si>
  <si>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</si>
  <si>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</si>
  <si>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</si>
  <si>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</si>
  <si>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</si>
  <si>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</si>
  <si>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</si>
  <si>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</si>
  <si>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</si>
  <si>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</si>
  <si>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</si>
  <si>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</si>
  <si>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</si>
  <si>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</si>
  <si>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</si>
  <si>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</si>
  <si>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</si>
  <si>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</si>
  <si>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</si>
  <si>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Transmission Related Account 242 Reserves</t>
  </si>
  <si>
    <t>Allocation</t>
  </si>
  <si>
    <t>Transmission Related Account 242 Reserves (exclude current year environmental site related reserves)</t>
  </si>
  <si>
    <t>Amount</t>
  </si>
  <si>
    <t>Directly Assignable to Transmission</t>
  </si>
  <si>
    <t>Labor Related, General plant related or Common Plant related</t>
  </si>
  <si>
    <t>Plant Related</t>
  </si>
  <si>
    <t>Total Transmission Related Reserves</t>
  </si>
  <si>
    <t>Prepayments</t>
  </si>
  <si>
    <t>Description of the Prepayments</t>
  </si>
  <si>
    <t>To Line 45</t>
  </si>
  <si>
    <t xml:space="preserve">Pension Liabilities, if any, in Account 242 </t>
  </si>
  <si>
    <t>Prepayments  - DC ROW</t>
  </si>
  <si>
    <t xml:space="preserve">  Prepayments related to DC ROW</t>
  </si>
  <si>
    <t xml:space="preserve">Prepayments </t>
  </si>
  <si>
    <t xml:space="preserve">  Prepayments related to Transmission Personal Proerty Tax.  See "Prop taxes to function" worksheet for total Transmission assessible plant factor (total transmission property taxes/total property taxes).</t>
  </si>
  <si>
    <t>Prepayments - Transmission Personal Property Tax</t>
  </si>
  <si>
    <t xml:space="preserve">  Remaining balance of Prepayments</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</si>
  <si>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</si>
  <si>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</si>
  <si>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</si>
  <si>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</si>
  <si>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</si>
  <si>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</si>
  <si>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</si>
  <si>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</si>
  <si>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</si>
  <si>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</si>
  <si>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</si>
  <si>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</si>
  <si>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</si>
  <si>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</si>
  <si>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</si>
  <si>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</si>
  <si>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</si>
  <si>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</si>
  <si>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</si>
  <si>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</si>
  <si>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</si>
  <si>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</si>
  <si>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</si>
  <si>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</si>
  <si>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Pepco zone</t>
  </si>
  <si>
    <t>Abandoned Tranmission Plant</t>
  </si>
  <si>
    <t>Beginning Balance of Unamortized Transmission Plant</t>
  </si>
  <si>
    <t>Per FERC Order</t>
  </si>
  <si>
    <t>Months Remaining in Amortization Period</t>
  </si>
  <si>
    <t>Monthly Ammortization</t>
  </si>
  <si>
    <t>A/B</t>
  </si>
  <si>
    <t>Months in Year to be Amortized</t>
  </si>
  <si>
    <t>E</t>
  </si>
  <si>
    <t>Amortization in Rate Year</t>
  </si>
  <si>
    <t>C*D</t>
  </si>
  <si>
    <t>Line 86a</t>
  </si>
  <si>
    <t>F</t>
  </si>
  <si>
    <t>Deductions</t>
  </si>
  <si>
    <t>G</t>
  </si>
  <si>
    <t>End of Year Balance in Unamortized Transmission Plant</t>
  </si>
  <si>
    <t>A-E-F</t>
  </si>
  <si>
    <t>Line 43b</t>
  </si>
  <si>
    <t>MAPP Abandonment recovery pursuant to ER13-607</t>
  </si>
  <si>
    <t>DPL</t>
  </si>
  <si>
    <t>Pepco</t>
  </si>
  <si>
    <t>171a</t>
  </si>
  <si>
    <t>2013-14 rate period</t>
  </si>
  <si>
    <t>2014-15 rate period</t>
  </si>
  <si>
    <t>2015-16 rate period</t>
  </si>
  <si>
    <t>Brandywine Fly Ash Landfill Environmental Expenses</t>
  </si>
  <si>
    <t>Step 9    Attachment 6 - Estimate and Reconciliation Worksheet  -  Footnote 1</t>
  </si>
  <si>
    <t xml:space="preserve">Pepco shall make a negative adjustment to its transmission revenue requirement in its 2015 Annual Update in the amount of $2,617,572, to offset the $2,617,572 of Brandywine fly ash landfill environmental expenses included in Pepco’s 2014 Annual Update (“2013 Brandywine Fly Ash Expenses”).  Pepco shall not include the 2013 Brandywine Fly Ash Expenses in a future Annual Update while recovery of such expenses is being pursued from a party outside of the PJM Tariff, but once Pepco is no longer pursuing recovery of such expenses outside of the PJM Tariff, Pepco may include such costs in a future Annual Update to the extent such expenses have not been recovered outside of the PJM Tariff, subject to SMECO’s right to challenge such inclusion at that time on any grounds permitted pursuant to Attachment H-9, including the Formula Rate Implementation Protocols, as though the costs had been included in the 2014 Annual Update.  Any payments to Pepco for its 2013 Brandywine Fly Ash Expenses shall not be included in any Pepco Annual Update. </t>
  </si>
  <si>
    <t>Supporting documentation for FERC Form 1 reconciliation</t>
  </si>
  <si>
    <t>Compliance with FERC Order on the Exelon Merger</t>
  </si>
  <si>
    <t>Merger Costs</t>
  </si>
  <si>
    <t>Non Merger Related</t>
  </si>
  <si>
    <t>Electric Plant in Service</t>
  </si>
  <si>
    <t>Accumulated Depreciation (Total Electric Plant)</t>
  </si>
  <si>
    <t>p219.29c</t>
  </si>
  <si>
    <t>Accumulated Intangible Amortization</t>
  </si>
  <si>
    <t>p200.21c</t>
  </si>
  <si>
    <t>General &amp; Intangible</t>
  </si>
  <si>
    <t>p205.5.g &amp; p207.99.g</t>
  </si>
  <si>
    <t>Transmission O&amp;M</t>
  </si>
  <si>
    <t>p321.112.b</t>
  </si>
  <si>
    <t>Total A&amp;G</t>
  </si>
  <si>
    <t>p323.197.b</t>
  </si>
  <si>
    <t>General Depreciation</t>
  </si>
  <si>
    <t>p336.10b&amp;c</t>
  </si>
  <si>
    <t xml:space="preserve">p336.1d&amp;e </t>
  </si>
  <si>
    <t>ARO Exclusion - Cost Support</t>
  </si>
  <si>
    <t>ARO's</t>
  </si>
  <si>
    <t>Non-ARO's</t>
  </si>
  <si>
    <t>Distribution ARO-$3,291,403 and General &amp; Intangible ARO-$258,942</t>
  </si>
  <si>
    <t>Distribution ARO-$236,867 and General ARO-$171,339</t>
  </si>
  <si>
    <t>General &amp; Intangible ARO-$258,942</t>
  </si>
  <si>
    <t>Accumulated General Depreciation</t>
  </si>
  <si>
    <t xml:space="preserve">p219.28.c </t>
  </si>
  <si>
    <t>General ARO-$171,339</t>
  </si>
  <si>
    <t>ARO &amp; Merger Related Exclusion- Cost Support</t>
  </si>
  <si>
    <t>Attachment A Line #s, Descriptions, Notes, Form 1 Pages #s and Instructions</t>
  </si>
  <si>
    <t>Form 1 Amounts</t>
  </si>
  <si>
    <t>Non-ARO's &amp; Non Merger Related</t>
  </si>
  <si>
    <t xml:space="preserve">Distribution ARO-$3,291,403 and General &amp; Intangible ARO-$258,942 and Intangible Merger Cost $301,285 </t>
  </si>
  <si>
    <t>Distribution ARO-$236,867 and General ARO-$171,339 and Intangible Merger Cost $965</t>
  </si>
  <si>
    <t xml:space="preserve">General &amp; Intangible ARO-$258,942 and Intangible Merger Cost $301,285 </t>
  </si>
  <si>
    <t xml:space="preserve">Accumulated General Depreciation </t>
  </si>
  <si>
    <t>p219.28c</t>
  </si>
  <si>
    <t>General ARO-$171,339 and General Merger Cost $965</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</si>
  <si>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</si>
  <si>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</si>
  <si>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</si>
  <si>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</si>
  <si>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</si>
  <si>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</si>
  <si>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</si>
  <si>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</si>
  <si>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</si>
  <si>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</si>
  <si>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</si>
  <si>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</si>
  <si>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</si>
  <si>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</si>
  <si>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</si>
  <si>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</si>
  <si>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</si>
  <si>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Attachment 6 - Estimate and Reconciliation Worksheet</t>
  </si>
  <si>
    <t>Step</t>
  </si>
  <si>
    <t>Month</t>
  </si>
  <si>
    <t>Year</t>
  </si>
  <si>
    <t>Action</t>
  </si>
  <si>
    <t>Exec Summary</t>
  </si>
  <si>
    <t>April</t>
  </si>
  <si>
    <t>Year 2</t>
  </si>
  <si>
    <t>TO populates the formula with Year 1 data from FERC Form 1 data for Year 1 (e.g., 2004)</t>
  </si>
  <si>
    <t>TO estimates all transmission Cap Adds and CWIP for Year 2 weighted based on Months expected to be in service in Year 2 (e.g., 2005)</t>
  </si>
  <si>
    <t>TO adds weighted Cap Adds to plant in service in Formula</t>
  </si>
  <si>
    <t>May</t>
  </si>
  <si>
    <t>Post results of Step 3 on PJM web site</t>
  </si>
  <si>
    <t>June</t>
  </si>
  <si>
    <t>Results of Step 3 go into effect for the Rate Year 1 (e.g., June 1, 2005 - May 31, 2006)</t>
  </si>
  <si>
    <t>Year 3</t>
  </si>
  <si>
    <t>TO populates the formula with Year 2 data from FERC Form 1 for Year 2 (e.g., 2005)</t>
  </si>
  <si>
    <t>Reconciliation - TO calculates Reconciliation by removing from Year 2 data - the total Cap Adds placed in service in Year 2 and adding weighted average in Year 2 actual Cap Adds and CWIP in Reconciliation</t>
  </si>
  <si>
    <t>(adjusted to include any Reconciliation amount from prior year)</t>
  </si>
  <si>
    <t>TO estimates Cap Adds and CWIP during Year 3 weighted based on Months expected to be in service in Year 3 (e.g., 2006)</t>
  </si>
  <si>
    <t>Reconciliation - TO adds the difference between the Reconciliation in Step 7 and the forecast in Line 5 with interest to the result of Step 7 (this difference is also added to Step 8 in the subsequent year)</t>
  </si>
  <si>
    <t>Post results of Step 9 on PJM web site</t>
  </si>
  <si>
    <t>Results of Step 9 go into effect for the Rate Year 2 (e.g., June 1, 2006 - May 31, 2007)</t>
  </si>
  <si>
    <t>Rev Req based on Year 1 data</t>
  </si>
  <si>
    <t>Must run Appendix A to get this number (without inputs in lines 20, 21 or 43a of Appendix A )</t>
  </si>
  <si>
    <t>(A)</t>
  </si>
  <si>
    <t>(B)</t>
  </si>
  <si>
    <t>(C )</t>
  </si>
  <si>
    <t>(D)</t>
  </si>
  <si>
    <t>(E)</t>
  </si>
  <si>
    <t>(F)</t>
  </si>
  <si>
    <t>(G)</t>
  </si>
  <si>
    <t>(H)</t>
  </si>
  <si>
    <t>(I)</t>
  </si>
  <si>
    <t>(J)</t>
  </si>
  <si>
    <t>(K)</t>
  </si>
  <si>
    <t>(L)</t>
  </si>
  <si>
    <t>(M)</t>
  </si>
  <si>
    <t>Monthly Additions</t>
  </si>
  <si>
    <t>Other Plant In Service</t>
  </si>
  <si>
    <t>MAPP CWIP</t>
  </si>
  <si>
    <t>MAPP In Service</t>
  </si>
  <si>
    <t>Weighting</t>
  </si>
  <si>
    <t>Amount (A x E)</t>
  </si>
  <si>
    <t>Amount (B x E)</t>
  </si>
  <si>
    <t>Amount (C x E)</t>
  </si>
  <si>
    <t>Amount (D x E)</t>
  </si>
  <si>
    <t>(F / 12)</t>
  </si>
  <si>
    <t>(G / 12)</t>
  </si>
  <si>
    <t>(H / 12)</t>
  </si>
  <si>
    <t>(I / 12)</t>
  </si>
  <si>
    <t>Jan</t>
  </si>
  <si>
    <t>Feb</t>
  </si>
  <si>
    <t>Mar</t>
  </si>
  <si>
    <t>Apr</t>
  </si>
  <si>
    <t>Jun</t>
  </si>
  <si>
    <t>Jul</t>
  </si>
  <si>
    <t>Aug</t>
  </si>
  <si>
    <t>Sep</t>
  </si>
  <si>
    <t>Oct</t>
  </si>
  <si>
    <t>Nov</t>
  </si>
  <si>
    <t>Dec</t>
  </si>
  <si>
    <t>New Transmission Plant Additions  and CWIP (weighted by months in service)</t>
  </si>
  <si>
    <t>Input to Line 21 of Appendix A</t>
  </si>
  <si>
    <t>Input to Line 43a of Appendix A</t>
  </si>
  <si>
    <t>Input to Formula Line 21</t>
  </si>
  <si>
    <t>Must run Appendix A to get this number (with inputs on lines 21 and 43a of Attachment A)</t>
  </si>
  <si>
    <t>Rev Req based on Prior Year data</t>
  </si>
  <si>
    <t>Remove all Cap Adds placed in service in Year 2</t>
  </si>
  <si>
    <t xml:space="preserve">For Reconciliation only - remove actual New Transmission Plant Additions for Year 2  </t>
  </si>
  <si>
    <t>Input to Formula Line 20</t>
  </si>
  <si>
    <t>Add weighted Cap Adds actually placed in service in Year 2</t>
  </si>
  <si>
    <t>Result of Formula for Reconciliation</t>
  </si>
  <si>
    <t xml:space="preserve">Must run Appendix A with cap adds in line 21 &amp; line 20 </t>
  </si>
  <si>
    <t>(Year 2 data with total of Year 2 Cap Adds removed and monthly weighted average of Year 2 actual Cap Adds added in)</t>
  </si>
  <si>
    <t>Footnote 1:  See Attachment 5 - Cost Support in regards to Brandywine Fly Ash Environmental Expenses</t>
  </si>
  <si>
    <t>The Reconciliation in Step 7</t>
  </si>
  <si>
    <t>The forecast in Prior Year</t>
  </si>
  <si>
    <t>-</t>
  </si>
  <si>
    <t xml:space="preserve">  See footnote 1 Attachment 5 - Cost Support 1</t>
  </si>
  <si>
    <t>Interest on Amount of Refunds or Surcharges</t>
  </si>
  <si>
    <t>Interest rate pursuant to 35.19a for March of the Current Yr</t>
  </si>
  <si>
    <t>Yr</t>
  </si>
  <si>
    <t>1/12 of Step 9</t>
  </si>
  <si>
    <t>Interest rate for</t>
  </si>
  <si>
    <t>Interest</t>
  </si>
  <si>
    <t>Surcharge (Refund) Owed</t>
  </si>
  <si>
    <t>March of the Current Yr</t>
  </si>
  <si>
    <t>Months</t>
  </si>
  <si>
    <t>Year 1</t>
  </si>
  <si>
    <t>Balance</t>
  </si>
  <si>
    <t>Interest rate from above</t>
  </si>
  <si>
    <t>Amortization over Rate Year</t>
  </si>
  <si>
    <t>Total with interest</t>
  </si>
  <si>
    <t>The difference between the Reconciliation in Step 7 and the forecast in Prior Year with interest</t>
  </si>
  <si>
    <t>Rev Req based on Year 2 data with estimated Cap Adds and CWIP for Year 3 (Step 8)</t>
  </si>
  <si>
    <t>Revenue Requirement for Year 3</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</si>
  <si>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</si>
  <si>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</si>
  <si>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</si>
  <si>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</si>
  <si>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</si>
  <si>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</si>
  <si>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</si>
  <si>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</si>
  <si>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</si>
  <si>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</si>
  <si>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p = percent of federal income tax deductible for state purposes</t>
  </si>
  <si>
    <t>T</t>
  </si>
  <si>
    <t xml:space="preserve">     T=1 - {[(1 - SIT) * (1 - FIT)] / (1 - SIT * FIT * p)} =</t>
  </si>
  <si>
    <t>T/ (1-T)</t>
  </si>
  <si>
    <t>ITC Adjustment</t>
  </si>
  <si>
    <t>Amortized Investment Tax Credit</t>
  </si>
  <si>
    <t>enter negative</t>
  </si>
  <si>
    <t>T/(1-T)</t>
  </si>
  <si>
    <t>Net Plant Allocation Factor</t>
  </si>
  <si>
    <t>ITC Adjustment Allocated to Transmission</t>
  </si>
  <si>
    <t>(Note I from Appendix A)</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</si>
  <si>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</si>
  <si>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</si>
  <si>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</si>
  <si>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</si>
  <si>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</si>
  <si>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</si>
  <si>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</si>
  <si>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</si>
  <si>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</si>
  <si>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</si>
  <si>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</si>
  <si>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</si>
  <si>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</si>
  <si>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</si>
  <si>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</si>
  <si>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</si>
  <si>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</si>
  <si>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(Sum Lines 2-10)</t>
  </si>
  <si>
    <t>Less line 17g</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</si>
  <si>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</si>
  <si>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</si>
  <si>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</si>
  <si>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</si>
  <si>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17a - 17g, the utility must track in separate subaccounts the revenues and costs associated with each secondary use (except for the cost of the associated income taxes).</t>
  </si>
  <si>
    <t>17a</t>
  </si>
  <si>
    <t>Revenues included in lines 1-11 which are subject to 50/50 sharing.</t>
  </si>
  <si>
    <t>17c</t>
  </si>
  <si>
    <t>Net Revenues  (17a - 17b)</t>
  </si>
  <si>
    <t>17d</t>
  </si>
  <si>
    <t>50% Share of Net Revenues  (17c / 2)</t>
  </si>
  <si>
    <t>17e</t>
  </si>
  <si>
    <t>Costs associated with revenues in line 17a that are included in FERC accounts recovered through the formula times the allocator used to functionalize the amounts in the FERC account to the transmission service at issue.</t>
  </si>
  <si>
    <t>17f</t>
  </si>
  <si>
    <t>Net Revenue Credit (17d + 17e)</t>
  </si>
  <si>
    <t>17g</t>
  </si>
  <si>
    <t>Line 17f less line 17a</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</si>
  <si>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</si>
  <si>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Amount offset in line 4 above</t>
  </si>
  <si>
    <t>Total Account 454, 456 and 456.1</t>
  </si>
  <si>
    <t>Note 4: SECA revenues booked in Account 447.</t>
  </si>
  <si>
    <t>The ROE is 11.30%, which includes a 50 basis point RTO membership adder as authorized by FERC to become effective on December 1, 2007.</t>
  </si>
  <si>
    <t>Allocation of Property taxes to Transmission Function</t>
  </si>
  <si>
    <t>Year Ended December 31, 2017</t>
  </si>
  <si>
    <t xml:space="preserve">Assessable Plant </t>
  </si>
  <si>
    <t xml:space="preserve">Maryland/Form 1  </t>
  </si>
  <si>
    <t>Transmission</t>
  </si>
  <si>
    <t>Distribution</t>
  </si>
  <si>
    <t>General</t>
  </si>
  <si>
    <t xml:space="preserve">  Total T,D&amp;Genl</t>
  </si>
  <si>
    <t>Plant ratios by Jurisdiction</t>
  </si>
  <si>
    <t>Transmission Ratio</t>
  </si>
  <si>
    <t>Distribution ratio</t>
  </si>
  <si>
    <t>General Ratio</t>
  </si>
  <si>
    <t xml:space="preserve">Property Taxes </t>
  </si>
  <si>
    <t>Transmission  Property Tax</t>
  </si>
  <si>
    <t>Distribution Property tax</t>
  </si>
  <si>
    <t>General Property Tax</t>
  </si>
  <si>
    <t xml:space="preserve">  Total check</t>
  </si>
  <si>
    <t xml:space="preserve">    Trans Labor Ratio </t>
  </si>
  <si>
    <t>Trans General</t>
  </si>
  <si>
    <t>Total Transmission Property Taxes</t>
  </si>
  <si>
    <t xml:space="preserve">General </t>
  </si>
  <si>
    <t>Attachment 2 - Taxes Other Than Income Worksheet</t>
  </si>
  <si>
    <t>Page 263</t>
  </si>
  <si>
    <t>Allocated</t>
  </si>
  <si>
    <t>Other Taxes</t>
  </si>
  <si>
    <t>Col (i)</t>
  </si>
  <si>
    <t>Allocator</t>
  </si>
  <si>
    <t>Gross Plant Allocator</t>
  </si>
  <si>
    <t>Transmission Personal Property Tax  (directly assigned to Transmission)</t>
  </si>
  <si>
    <t>1a</t>
  </si>
  <si>
    <t>Other Personal Property Tax (excluded)</t>
  </si>
  <si>
    <t>Capital Stock Tax</t>
  </si>
  <si>
    <t>Gross Premium (insurance) Tax</t>
  </si>
  <si>
    <t>PURTA</t>
  </si>
  <si>
    <t>Corp License</t>
  </si>
  <si>
    <t>Total Plant Related</t>
  </si>
  <si>
    <t>Labor Related</t>
  </si>
  <si>
    <t xml:space="preserve">Wages &amp; Salary Allocator </t>
  </si>
  <si>
    <t>Federal FICA &amp; Unemployment &amp; state unemployment</t>
  </si>
  <si>
    <t>Total Labor Related</t>
  </si>
  <si>
    <t>Other Included</t>
  </si>
  <si>
    <t>Miscellaneous</t>
  </si>
  <si>
    <t>Total Other Included</t>
  </si>
  <si>
    <t>Total Included</t>
  </si>
  <si>
    <t>Currently Excluded</t>
  </si>
  <si>
    <t>MD Franchise Tax</t>
  </si>
  <si>
    <t>MD Environmental Surcharge</t>
  </si>
  <si>
    <t>MD Universal Surcharge</t>
  </si>
  <si>
    <t>MD Montgomery County Fuel</t>
  </si>
  <si>
    <t>MD PSC Assessment</t>
  </si>
  <si>
    <t>MD Sales &amp; Use Tax</t>
  </si>
  <si>
    <t>MD Real Property Taxes</t>
  </si>
  <si>
    <t>DC PSC Assessment</t>
  </si>
  <si>
    <t>DC Delivery Tax</t>
  </si>
  <si>
    <t>DC Real Property Tax</t>
  </si>
  <si>
    <t>DC Business Improvement Tax</t>
  </si>
  <si>
    <t>DC Ballpark</t>
  </si>
  <si>
    <t>DC Right-of-Way</t>
  </si>
  <si>
    <t>DC RETF, SETF and EATF Funds</t>
  </si>
  <si>
    <t>VA Property Taxes</t>
  </si>
  <si>
    <t xml:space="preserve">Misc. Other-Sales and Use DC </t>
  </si>
  <si>
    <t>Excluded merger costs in line 6</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</si>
  <si>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</si>
  <si>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</si>
  <si>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</si>
  <si>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</si>
  <si>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</si>
  <si>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</si>
  <si>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</si>
  <si>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</si>
  <si>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</si>
  <si>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</si>
  <si>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</si>
  <si>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</si>
  <si>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Potomac Electric Power Company</t>
  </si>
  <si>
    <t>Attachment 1 - Accumulated Deferred Income Taxes (ADIT) Worksheet</t>
  </si>
  <si>
    <t>Only</t>
  </si>
  <si>
    <t xml:space="preserve">Plant </t>
  </si>
  <si>
    <t>Labor</t>
  </si>
  <si>
    <t>Related</t>
  </si>
  <si>
    <t>ADIT</t>
  </si>
  <si>
    <t>ADIT- 282</t>
  </si>
  <si>
    <t>ADIT-283</t>
  </si>
  <si>
    <t>ADIT-190</t>
  </si>
  <si>
    <t>Subtotal</t>
  </si>
  <si>
    <t>Wages &amp; Salary Allocator</t>
  </si>
  <si>
    <t>Note: ADIT associated with Gain or Loss on Reacquired Debt is included in Column A here and included in Cost of Debt on Appendix A, Line 111</t>
  </si>
  <si>
    <t>In filling out this attachment, a full and complete description of each item and justification for the allocation to Columns B-E and each separate ADIT item will be listed, dissimilar items</t>
  </si>
  <si>
    <t>with amounts exceeding $100,000 will be listed separately.</t>
  </si>
  <si>
    <t>Gas, Prod</t>
  </si>
  <si>
    <t>Or Other</t>
  </si>
  <si>
    <t>Justification</t>
  </si>
  <si>
    <t>Per Close 1B</t>
  </si>
  <si>
    <t>Deferred Compensation</t>
  </si>
  <si>
    <t xml:space="preserve">For book purposes, deferred compensation and deferred payments are expensed when accrued.  For tax purposes, they are deducted when paid. Affects Company personnel across all functions. </t>
  </si>
  <si>
    <t>Allowance for Doubtful Accounts</t>
  </si>
  <si>
    <t>Under the Tax Reform Act of 1986, taxpayers are required to account for bad debts using the specific write-off method.  The reserve method is used for book purposes.  This amount represents the deferred tax asset related to the add-back of book reserves for tax purposes.  This deferred tax asset is retail related.</t>
  </si>
  <si>
    <t>Accrued Liabilities</t>
  </si>
  <si>
    <t>Environmental Expense</t>
  </si>
  <si>
    <t>For book purposes an environmental reserve is established with an offset to book expense for future environmental costs to be paid for clean-up.  For tax purposes, no deduction is allowed until the environmental liability is paid.  Relates to the retail function.</t>
  </si>
  <si>
    <t>Charitable Contribution Carryfoward</t>
  </si>
  <si>
    <t>Pepco is in a net operating loss carryforward position, therefore, Pepco's charitable contributions are carried forward until such time as Pepco or its Parent company can use them in its consolidated federal income tax return.  For book purposes, the contributions are expensed when incurred.  Charitable contributions are not included in Operating Income  and any related deferred income taxes are excluded from Rate Base.</t>
  </si>
  <si>
    <t>Capital Loss Limitation</t>
  </si>
  <si>
    <t>Tax capital losses are limited to the amount of tax capital gains.</t>
  </si>
  <si>
    <t>FAS 106 OPEB Adjustment</t>
  </si>
  <si>
    <t>FAS No. 106 requires accrual basis instead of cash basis accounting for post retirement health care and life insurance benefits for book purposes.  Amounts paid to participants or funded through the VEBA or 401(h) accounts are currently deductible for tax purposes. Affects company personnel across all functions.</t>
  </si>
  <si>
    <t>Regulatory Liabilities</t>
  </si>
  <si>
    <t>When a regulatory asset/liability is established, books credits/debits income, which for tax purposes needs to be reversed along with the associated amortization</t>
  </si>
  <si>
    <t>FAS 109 - Deferred Taxes on ITC</t>
  </si>
  <si>
    <t>Pursuant to the requirements of FAS 109, Pepco’s accumulated deferred taxes must encompass all timing differences regardless of whether the difference is normalized or flowed-through.  These balances primarily represent the deferred taxes on prior flow-through items, including the amount of the required gross-up necessary for full recovery of the prior flow-through amount. Related to all plant.</t>
  </si>
  <si>
    <t>FAS 109 - Regulatory Liability</t>
  </si>
  <si>
    <t>Federal &amp; State NOL</t>
  </si>
  <si>
    <t xml:space="preserve">PHI's consolidated return is in an NOL situation, therefore, they are carried forward until such time as PHI is in a taxable income position.  </t>
  </si>
  <si>
    <t>Other 190 Deferred Taxes</t>
  </si>
  <si>
    <t>Miscellaneous temporary differences including DC Gross Receipts Tax and Sales and Use Tax</t>
  </si>
  <si>
    <t>Merger Commitment Deferrals</t>
  </si>
  <si>
    <t>Deferral of Merger Commitment expenses that are non-deductible until paid.</t>
  </si>
  <si>
    <t>Interest on Contingent Taxes</t>
  </si>
  <si>
    <t>Estimated book interest expense on prior year taxes not deductible for tax purposes until paid</t>
  </si>
  <si>
    <t>Subtotal - p234</t>
  </si>
  <si>
    <t>Less FASB 109 Above if not separately removed</t>
  </si>
  <si>
    <t>Less FASB 106 Above if not separately removed</t>
  </si>
  <si>
    <t>Instructions for Account 190:</t>
  </si>
  <si>
    <t>1.  ADIT items related only to Non-Electric Operations (e.g., Gas, Water, Sewer) or Production are directly assigned to Column C</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</si>
  <si>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</si>
  <si>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</si>
  <si>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</si>
  <si>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</si>
  <si>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6.  Re:  Form 1-F filer:  Sum of subtotals for Accounts 282 and 283 should tie to Form No. 1-F, p.113.57.c</t>
  </si>
  <si>
    <t>Plant Related Deferred Taxes</t>
  </si>
  <si>
    <t>This deferred tax balance relates to the life and method differences on property related items for book and tax.</t>
  </si>
  <si>
    <t>FAS109 AFUDC Equity</t>
  </si>
  <si>
    <t>Under SFAS 109, deferred income taxes must be provided on all book/tax temporary differences, including AFUDC-Equity.  Deferred income taxes on AFUDC-Equity are not recognized for Regulatory purposes and are excluded from Rate Base.</t>
  </si>
  <si>
    <t>CIAC - Non Rate Base</t>
  </si>
  <si>
    <t>Contributions in Aid of Construction (CIAC) are a reduction to Plant for book accounting purposes, but are included in taxable income and depeciated for income tax purposes.  This different book/tax treatment results in deferred income taxes which must be recorded in accordance with SFAS 109.  The company collects an income tax gross-up from the customer which is reimbursement for the time value of money on the additional tax liability inccurred until such time as the amounts are fully depreciated for tax purposes.  The deferred income tax asset on CIAC's is excluded from Rate Base because the underlying plant is not included in Rate Base.</t>
  </si>
  <si>
    <t>Leased Vehicles - Non Rate Base</t>
  </si>
  <si>
    <t>The Company leases its vehicles under arrangements that are treated as Operating Leases for book purposes, but financing leases for tax purposes.  The differing income tax treatment between Rent Expense deducted for book purposes and tax depreciation expense deducted for income tax purposes, results in deferred income taxes being recorded on the books.  Since Leased Vehicles are not included in Rate Base, the deferred income taxes are being excluded as well.</t>
  </si>
  <si>
    <t>Plant Related - FAS109 Deferred Taxes</t>
  </si>
  <si>
    <t>Subtotal - p275  (Form 1-F filer:  see note 6 below)</t>
  </si>
  <si>
    <t>Instructions for Account 282:</t>
  </si>
  <si>
    <t xml:space="preserve">Reacquired Debt </t>
  </si>
  <si>
    <t>The cost of bond redemption is deductible currently for tax purposes and is amortized over the life of the new bond issue for book purposes.    Related to all functions. Excluded here since it is included in Cost of Debt.</t>
  </si>
  <si>
    <t>Maryland Property Taxes</t>
  </si>
  <si>
    <t>For book purposes, the MD property taxes are accrued over the fiscal year.  For tax purposes payments are deducted when paid based on the lien date.</t>
  </si>
  <si>
    <t>Prepaid Interest</t>
  </si>
  <si>
    <t>For book purposes, prepaid expenses, which related to a future period but are paid in the current period, must be capitalzied and amortized to the balance sheet as an assset.  For tax purposes, there is "12-month rule" which allows taxpayers that meet the 12-month rule to currently deduct the amount, as long as the benefits does not extend beyond 12 months.  The prepaid interest relates to the Life Insurance plans, that is why this is labor related.</t>
  </si>
  <si>
    <t xml:space="preserve">For book purposes, prepaid expenses, which related to a future period but are paid in the current period, must be capitalzied and amortized to the balance sheet as an assset.  For tax purposes, there is "12-month rule" which allows taxpayers that meet the 12-month rule to currently deduct the amount, as long as the benefits does not extend beyond 12 months.  </t>
  </si>
  <si>
    <t>Regulatory Asset - DSM</t>
  </si>
  <si>
    <t>For books, Demand Side Management Costs are deferred.   For tax these costs are expensed when paid.  These deferred taxes are the result of this book/tax difference which is retail in nature.</t>
  </si>
  <si>
    <t>Regulatory Asset - FERC Formula Rate True-up</t>
  </si>
  <si>
    <t>For book purposes, a regulatory asset has been established for the FERC Formula Rate Filing true-up and book income has been increased.  For tax purposes, this regulatory asset is not recognized and the book income must be reversed.</t>
  </si>
  <si>
    <t>Regulatory Assets</t>
  </si>
  <si>
    <t>For book purposes, regulatory assets are established with an increase to book income.  For tax purposes the regulatory assets are not recognized and book income is reversed.</t>
  </si>
  <si>
    <t>Pension Plan Contribution</t>
  </si>
  <si>
    <t>The company is allowed to deduct for tax purposes all payments made to fund the General Retirement Plan per ERISA. For book purposes pension plan contributions are governed by FAS 106.  This timing difference represents the excess tax payment over book. Affects company personnel across all functions.</t>
  </si>
  <si>
    <t>Subtotal - p277  (Form 1-F filer:  see note 6, below)</t>
  </si>
  <si>
    <t>Instructions for Account 283:</t>
  </si>
  <si>
    <t>Attachment 1- Accumulated Deferred Income Taxes (ADIT) Worksheet</t>
  </si>
  <si>
    <t>ADITC-255</t>
  </si>
  <si>
    <t>Item</t>
  </si>
  <si>
    <t>Rate Base Treatment</t>
  </si>
  <si>
    <t>Balance to line 41 of Appendix A</t>
  </si>
  <si>
    <t>Amortization to line 133 of Appendix A</t>
  </si>
  <si>
    <t>Total Form No. 1 (p 266 &amp; 267)</t>
  </si>
  <si>
    <t>Form No. 1 balance (p.266) for amortization</t>
  </si>
  <si>
    <t>Difference  /1</t>
  </si>
  <si>
    <t>/1 Difference must be zero</t>
  </si>
  <si>
    <t>ATTACHMENT H-9A</t>
  </si>
  <si>
    <t>Formula Rate -- Appendix A</t>
  </si>
  <si>
    <t>Notes</t>
  </si>
  <si>
    <t>FERC Form 1  Page # or Instruction</t>
  </si>
  <si>
    <t>Shaded cells are input cells</t>
  </si>
  <si>
    <t>Allocators</t>
  </si>
  <si>
    <t>Wages &amp; Salary Allocation Factor</t>
  </si>
  <si>
    <t>Transmission Wages Expense</t>
  </si>
  <si>
    <t>p354.21b</t>
  </si>
  <si>
    <t>Total Wages Expense</t>
  </si>
  <si>
    <t>p354.28b</t>
  </si>
  <si>
    <t>Less A&amp;G Wages Expense</t>
  </si>
  <si>
    <t>p354.27b</t>
  </si>
  <si>
    <t>p207.104g (See attachment 5)</t>
  </si>
  <si>
    <t>Common Plant In Service - Electric</t>
  </si>
  <si>
    <t>Total Plant In Service</t>
  </si>
  <si>
    <t>p219.29c See attachment 5)</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</si>
  <si>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</si>
  <si>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</si>
  <si>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</si>
  <si>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</si>
  <si>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</si>
  <si>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</si>
  <si>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</si>
  <si>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</si>
  <si>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</si>
  <si>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</si>
  <si>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p207.58.g</t>
  </si>
  <si>
    <t xml:space="preserve">For Reconciliation only - remove New Transmission Plant Additions for Current Calendar Year  </t>
  </si>
  <si>
    <t>For Reconciliation Only</t>
  </si>
  <si>
    <t>Attachment 6 - Enter Negative</t>
  </si>
  <si>
    <t>New Transmission Plant Additions for Current Calendar Year  (weighted by months in service)</t>
  </si>
  <si>
    <t>Attachment 6</t>
  </si>
  <si>
    <t>Total Transmission Plant In Service</t>
  </si>
  <si>
    <t>p205.5.g &amp; p207.99.g (see attachment 5)</t>
  </si>
  <si>
    <t>Common Plant (Electric Only)</t>
  </si>
  <si>
    <t>Total General &amp; Common</t>
  </si>
  <si>
    <t>Wage &amp; Salary Allocation Factor</t>
  </si>
  <si>
    <t>General &amp; Common Plant Allocated to Transmission</t>
  </si>
  <si>
    <t>Plant Held for Future Use (Including Land)</t>
  </si>
  <si>
    <t>p214</t>
  </si>
  <si>
    <t>TOTAL Plant In Service</t>
  </si>
  <si>
    <t>Transmission Accumulated Depreciation</t>
  </si>
  <si>
    <t>p219.25.c</t>
  </si>
  <si>
    <t>p219.28.c (see attachment 5)</t>
  </si>
  <si>
    <t>Common Plant Accumulated Depreciation (Electric Only)</t>
  </si>
  <si>
    <t>General &amp; Common Allocated to Transmission</t>
  </si>
  <si>
    <t>TOTAL Accumulated Depreciation</t>
  </si>
  <si>
    <t>TOTAL Net Property, Plant &amp; Equipment</t>
  </si>
  <si>
    <t>Adjustment To Rate Base</t>
  </si>
  <si>
    <t>ADIT net of FASB 106 and 109</t>
  </si>
  <si>
    <t>Attachment 1</t>
  </si>
  <si>
    <t>Accumulated Investment Tax Credit Account No. 255</t>
  </si>
  <si>
    <t>Enter Negative</t>
  </si>
  <si>
    <t>p266.h</t>
  </si>
  <si>
    <t>Accumulated Deferred Income Taxes Allocated To Transmission</t>
  </si>
  <si>
    <t>43a</t>
  </si>
  <si>
    <t>Transmission Related CWIP (Current Year 12 Month weighted average balances)</t>
  </si>
  <si>
    <t>(Note B)</t>
  </si>
  <si>
    <t>p216.43.b as Shown on Attachment 6</t>
  </si>
  <si>
    <t>43b</t>
  </si>
  <si>
    <t>Unamortized Abandoned Transmission Plant</t>
  </si>
  <si>
    <t>Attachment 5</t>
  </si>
  <si>
    <t>Transmission O&amp;M Reserves</t>
  </si>
  <si>
    <t>Total Balance Transmission Related Account 242 Reserves</t>
  </si>
  <si>
    <t>Total Prepayments Allocated to Transmission</t>
  </si>
  <si>
    <t>Undistributed Stores Exp</t>
  </si>
  <si>
    <t>p227.6c &amp; 16.c</t>
  </si>
  <si>
    <t>Total Transmission Allocated</t>
  </si>
  <si>
    <t>Transmission Materials &amp; Supplies</t>
  </si>
  <si>
    <t>p227.8c</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</si>
  <si>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</si>
  <si>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</si>
  <si>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</si>
  <si>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</si>
  <si>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</si>
  <si>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</si>
  <si>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</si>
  <si>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</si>
  <si>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</si>
  <si>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</si>
  <si>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</si>
  <si>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</si>
  <si>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</si>
  <si>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p321.112.b (see attachment 5)</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</si>
  <si>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</si>
  <si>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</si>
  <si>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</si>
  <si>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</si>
  <si>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</si>
  <si>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</si>
  <si>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</si>
  <si>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</si>
  <si>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</si>
  <si>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p323.197.b (see attachment 5)</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</si>
  <si>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</si>
  <si>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</si>
  <si>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</si>
  <si>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</si>
  <si>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</si>
  <si>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</si>
  <si>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</si>
  <si>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</si>
  <si>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</si>
  <si>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</si>
  <si>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</si>
  <si>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</si>
  <si>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</si>
  <si>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</si>
  <si>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</si>
  <si>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</si>
  <si>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</si>
  <si>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</si>
  <si>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</si>
  <si>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</si>
  <si>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</si>
  <si>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p336.7b&amp;c</t>
  </si>
  <si>
    <t>86a</t>
  </si>
  <si>
    <t>Amortization of Abandoned Transmission Plant</t>
  </si>
  <si>
    <t>p336.10b&amp;c  (see attachment 5)</t>
  </si>
  <si>
    <t>Intangible Amortization</t>
  </si>
  <si>
    <t>p336.1d&amp;e (see attachment 5)</t>
  </si>
  <si>
    <t>General Depreciation Allocated to Transmission</t>
  </si>
  <si>
    <t>Common Depreciation - Electric Only</t>
  </si>
  <si>
    <t>p336.11.b</t>
  </si>
  <si>
    <t>Common Amortization - Electric Only</t>
  </si>
  <si>
    <t>p356 or p336.11d</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</si>
  <si>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</si>
  <si>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</si>
  <si>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</si>
  <si>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</si>
  <si>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</si>
  <si>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</si>
  <si>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</si>
  <si>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</si>
  <si>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</si>
  <si>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</si>
  <si>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</si>
  <si>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</si>
  <si>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</si>
  <si>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</si>
  <si>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</si>
  <si>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</si>
  <si>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</si>
  <si>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</si>
  <si>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</si>
  <si>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</si>
  <si>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</si>
  <si>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</si>
  <si>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</si>
  <si>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</si>
  <si>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</si>
  <si>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</si>
  <si>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</si>
  <si>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</si>
  <si>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</si>
  <si>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</si>
  <si>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</si>
  <si>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</si>
  <si>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</si>
  <si>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</si>
  <si>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</si>
  <si>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</si>
  <si>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</si>
  <si>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</si>
  <si>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</si>
  <si>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</si>
  <si>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</si>
  <si>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</si>
  <si>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</si>
  <si>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</si>
  <si>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</si>
  <si>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</si>
  <si>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</si>
  <si>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p</t>
  </si>
  <si>
    <t>(percent of federal income tax deductible for state purposes)</t>
  </si>
  <si>
    <t>Per State Tax Code</t>
  </si>
  <si>
    <t xml:space="preserve">p266.8f </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</si>
  <si>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</si>
  <si>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</si>
  <si>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</si>
  <si>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</si>
  <si>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</si>
  <si>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</si>
  <si>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</si>
  <si>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</si>
  <si>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</si>
  <si>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</si>
  <si>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</si>
  <si>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</si>
  <si>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</si>
  <si>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</si>
  <si>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</si>
  <si>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</si>
  <si>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</si>
  <si>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</si>
  <si>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</si>
  <si>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</si>
  <si>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</si>
  <si>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</si>
  <si>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</si>
  <si>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</si>
  <si>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</si>
  <si>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</si>
  <si>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</si>
  <si>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</si>
  <si>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</si>
  <si>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</si>
  <si>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</si>
  <si>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Attachment 7</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</si>
  <si>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</si>
  <si>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</si>
  <si>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</si>
  <si>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</si>
  <si>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</si>
  <si>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</si>
  <si>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</si>
  <si>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</si>
  <si>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</si>
  <si>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to be placed in service in the current calendar year that is not included in the PJM Regional Transmission Plan (RTEP) must be separately detailed on Attachment 5.</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</si>
  <si>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</si>
  <si>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</si>
  <si>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</si>
  <si>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</si>
  <si>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</si>
  <si>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</si>
  <si>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</si>
  <si>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</si>
  <si>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The currently effective income tax rate,  where FIT is the Federal income tax rate; SIT is the State income tax rate, and p =</t>
  </si>
  <si>
    <t xml:space="preserve">  "the percentage of federal income tax deductible for state income taxes".  If the utility includes taxes in more than one state, it must explain in</t>
  </si>
  <si>
    <t xml:space="preserve">  Attachment 5 the name of each state and how the blended or composite SIT was developed.  Furthermore, a utility that</t>
  </si>
  <si>
    <t xml:space="preserve">  elected to use amortization of tax credits against taxable income, rather than book tax credits to Account No. 255 and reduce </t>
  </si>
  <si>
    <t xml:space="preserve">  rate base, must reduce its income tax expense by the amount of the Amortized Investment Tax Credit (Form 1, 266.8.f)</t>
  </si>
  <si>
    <t xml:space="preserve">  multiplied by (1/1-T).  A utility must not include tax credits as a reduction to rate base and as an amortization against taxable income.</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</si>
  <si>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</si>
  <si>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</si>
  <si>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</si>
  <si>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</si>
  <si>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</si>
  <si>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</si>
  <si>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</si>
  <si>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</si>
  <si>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</si>
  <si>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</si>
  <si>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</si>
  <si>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</si>
  <si>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</si>
  <si>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</si>
  <si>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ACE capital structure is initially fixed at 50% common equity and 50% debt per settlement in ER05-515 subject to moratorium provisions in the settlement.</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</si>
  <si>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</si>
  <si>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</si>
  <si>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</si>
  <si>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</si>
  <si>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</si>
  <si>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</si>
  <si>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 xml:space="preserve">  FERC Form 1 page 351.1 line 13 (h) and 15 (h), transmission related only.</t>
  </si>
  <si>
    <t>Attachment 5a - Allocations of Costs to Affiliate</t>
  </si>
  <si>
    <t>Delmarva</t>
  </si>
  <si>
    <t>Atlantic</t>
  </si>
  <si>
    <t>Power</t>
  </si>
  <si>
    <t>City</t>
  </si>
  <si>
    <t>Non - Regulated</t>
  </si>
  <si>
    <t>Executive Management</t>
  </si>
  <si>
    <t>Procurement &amp; Administrative Services</t>
  </si>
  <si>
    <t>Financial Services &amp; Corporate Expenses</t>
  </si>
  <si>
    <t>Insurance Coverage and Services</t>
  </si>
  <si>
    <t>Human Resources</t>
  </si>
  <si>
    <t>Legal Services</t>
  </si>
  <si>
    <t>Customer Services</t>
  </si>
  <si>
    <t>Information Technology</t>
  </si>
  <si>
    <t>External Affairs</t>
  </si>
  <si>
    <t>Environmental Services</t>
  </si>
  <si>
    <t>Safety Services</t>
  </si>
  <si>
    <t>Regulated Electric &amp; Gas T&amp;D</t>
  </si>
  <si>
    <t>Internal Consulting Services</t>
  </si>
  <si>
    <t>Interns</t>
  </si>
  <si>
    <t>Cost of Benefits</t>
  </si>
  <si>
    <t>Building Services</t>
  </si>
  <si>
    <t xml:space="preserve">The actuarially determined amount of OPEB expense in FERC 926 decreased $.1 million from the prior year; the decrease primarily represents a ($0.2 million) decrease in service cost primarily due to (i) change in the discount rate from 3.80% in 2016 to 4.0% in 2017 and (ii) updated census data, ($0.3 million) increase in expected return on plan assets due to year over year assets growth, ($0.1 million) decrease in interest, offset by $0.2 million increase in amortization of unregonized gain/loss.  This decrease was offset by a $0.323 million decrease in OPEB costs directly charged to capital or other income deduction accounts (i.e. below the line).
</t>
  </si>
  <si>
    <t>Removal of $8,841,909 of 2017 merger related costs, offset by establishment of regulatory asset of $11,491,273 in A&amp;G accounts.</t>
  </si>
  <si>
    <t xml:space="preserve">For book purposes the liabilities are accrued with an offset to book expense.  For tax purposes, a deduction is not allowed  until the liability is paid.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</si>
</sst>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quot;$&quot;* #,##0.000_);_(&quot;$&quot;* \(#,##0.000\);_(&quot;$&quot;* &quot;-&quot;???_);_(@_)"/>
    <numFmt numFmtId="170" formatCode="_(* #,##0.0_);_(* \(#,##0.0\);_(* &quot;-&quot;??_);_(@_)"/>
    <numFmt numFmtId="171" formatCode="General_)"/>
    <numFmt numFmtId="172" formatCode="0.0000"/>
    <numFmt numFmtId="173" formatCode="_(* #,##0.0000_);_(* \(#,##0.0000\);_(* &quot;-&quot;??_);_(@_)"/>
    <numFmt numFmtId="174" formatCode="0.00000"/>
    <numFmt numFmtId="175" formatCode="0.00000%"/>
    <numFmt numFmtId="176" formatCode="0.0%"/>
    <numFmt numFmtId="177" formatCode="0.00000000"/>
    <numFmt numFmtId="178" formatCode="0.0000000000"/>
    <numFmt numFmtId="179" formatCode="_(* #,##0.00000000000_);_(* \(#,##0.00000000000\);_(* &quot;-&quot;??_);_(@_)"/>
    <numFmt numFmtId="180" formatCode="0.000000%"/>
    <numFmt numFmtId="181" formatCode="#,##0_);\(#,##0\);&quot; &quot;"/>
  </numFmts>
  <fonts count="88">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i/>
      <sz val="14"/>
      <name val="Arial Narrow"/>
      <family val="2"/>
    </font>
    <font>
      <b/>
      <sz val="16"/>
      <color indexed="10"/>
      <name val="Arial"/>
      <family val="2"/>
    </font>
    <font>
      <b/>
      <sz val="14"/>
      <color indexed="10"/>
      <name val="Arial"/>
      <family val="2"/>
    </font>
    <font>
      <b/>
      <sz val="10"/>
      <color indexed="10"/>
      <name val="Arial Narrow"/>
      <family val="2"/>
    </font>
    <font>
      <b/>
      <sz val="12"/>
      <name val="Arial Narrow"/>
      <family val="2"/>
    </font>
    <font>
      <sz val="12"/>
      <color indexed="12"/>
      <name val="Arial Narrow"/>
      <family val="2"/>
    </font>
    <font>
      <sz val="10"/>
      <color indexed="10"/>
      <name val="Arial Narrow"/>
      <family val="2"/>
    </font>
    <font>
      <sz val="10"/>
      <color rgb="FFFF0000"/>
      <name val="Arial"/>
      <family val="2"/>
    </font>
    <font>
      <sz val="12"/>
      <name val="Arial"/>
      <family val="2"/>
    </font>
    <font>
      <b/>
      <sz val="16"/>
      <color rgb="FFFF0000"/>
      <name val="Arial"/>
      <family val="2"/>
    </font>
    <font>
      <b/>
      <sz val="16"/>
      <name val="Arial"/>
      <family val="2"/>
    </font>
    <font>
      <sz val="11"/>
      <name val="Arial Narrow"/>
      <family val="2"/>
    </font>
    <font>
      <i/>
      <sz val="10"/>
      <name val="Arial"/>
      <family val="2"/>
    </font>
    <font>
      <b/>
      <i/>
      <sz val="11"/>
      <name val="Arial Narrow"/>
      <family val="2"/>
    </font>
    <font>
      <sz val="9"/>
      <name val="Arial"/>
      <family val="2"/>
    </font>
    <font>
      <b/>
      <sz val="9"/>
      <name val="Arial Narrow"/>
      <family val="2"/>
    </font>
    <font>
      <sz val="9"/>
      <color indexed="10"/>
      <name val="Arial Narrow"/>
      <family val="2"/>
    </font>
    <font>
      <b/>
      <i/>
      <sz val="12"/>
      <name val="Arial Narrow"/>
      <family val="2"/>
    </font>
    <font>
      <sz val="10"/>
      <color indexed="12"/>
      <name val="Arial"/>
      <family val="2"/>
    </font>
    <font>
      <sz val="9"/>
      <color rgb="FFFF0000"/>
      <name val="Arial Narrow"/>
      <family val="2"/>
    </font>
    <font>
      <b/>
      <sz val="12"/>
      <color indexed="13"/>
      <name val="Helvetica"/>
      <family val="2"/>
    </font>
    <font>
      <sz val="10"/>
      <name val="Courier"/>
      <family val="3"/>
    </font>
    <font>
      <b/>
      <sz val="12"/>
      <color indexed="13"/>
      <name val="Helv"/>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u/>
      <sz val="11"/>
      <name val="Arial"/>
      <family val="2"/>
    </font>
    <font>
      <u/>
      <sz val="10"/>
      <name val="Arial"/>
      <family val="2"/>
    </font>
    <font>
      <b/>
      <i/>
      <u/>
      <sz val="10"/>
      <name val="Arial"/>
      <family val="2"/>
    </font>
    <font>
      <b/>
      <i/>
      <sz val="10"/>
      <name val="Arial"/>
      <family val="2"/>
    </font>
    <font>
      <b/>
      <i/>
      <sz val="10"/>
      <color indexed="10"/>
      <name val="Arial"/>
      <family val="2"/>
    </font>
    <font>
      <b/>
      <sz val="14"/>
      <name val="Calibri"/>
      <family val="2"/>
      <scheme val="minor"/>
    </font>
    <font>
      <sz val="14"/>
      <name val="Calibri"/>
      <family val="2"/>
      <scheme val="minor"/>
    </font>
    <font>
      <sz val="10"/>
      <name val="Calibri"/>
      <family val="2"/>
      <scheme val="minor"/>
    </font>
    <font>
      <sz val="10"/>
      <color theme="1"/>
      <name val="Arial"/>
      <family val="2"/>
    </font>
    <font>
      <b/>
      <i/>
      <sz val="12"/>
      <name val="Calibri"/>
      <family val="2"/>
      <scheme val="minor"/>
    </font>
    <font>
      <b/>
      <i/>
      <sz val="10"/>
      <name val="Calibri"/>
      <family val="2"/>
      <scheme val="minor"/>
    </font>
    <font>
      <b/>
      <sz val="10"/>
      <name val="Calibri"/>
      <family val="2"/>
      <scheme val="minor"/>
    </font>
    <font>
      <b/>
      <sz val="10"/>
      <color indexed="10"/>
      <name val="Calibri"/>
      <family val="2"/>
      <scheme val="minor"/>
    </font>
    <font>
      <sz val="10"/>
      <color indexed="12"/>
      <name val="Calibri"/>
      <family val="2"/>
      <scheme val="minor"/>
    </font>
    <font>
      <sz val="10"/>
      <color indexed="10"/>
      <name val="Calibri"/>
      <family val="2"/>
      <scheme val="minor"/>
    </font>
    <font>
      <b/>
      <sz val="11"/>
      <name val="Calibri"/>
      <family val="2"/>
      <scheme val="minor"/>
    </font>
    <font>
      <sz val="12"/>
      <name val="Calibri"/>
      <family val="2"/>
      <scheme val="minor"/>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sz val="12"/>
      <color rgb="FFFF0000"/>
      <name val="Arial"/>
      <family val="2"/>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name val="Calibri"/>
      <family val="2"/>
      <scheme val="minor"/>
    </font>
  </fonts>
  <fills count="10">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42"/>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s>
  <borders count="34">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27">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1" fontId="3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59" fillId="0" borderId="0"/>
    <xf numFmtId="43" fontId="59" fillId="0" borderId="0" applyFont="0" applyFill="0" applyBorder="0" applyAlignment="0" applyProtection="0"/>
    <xf numFmtId="168" fontId="42" fillId="0" borderId="0" applyProtection="0"/>
    <xf numFmtId="0" fontId="84" fillId="0" borderId="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cellStyleXfs>
  <cellXfs count="1236">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0" fillId="2" borderId="0" xfId="0" applyFill="1"/>
    <xf numFmtId="0" fontId="6" fillId="0" borderId="0" xfId="0" applyNumberFormat="1" applyFont="1" applyFill="1"/>
    <xf numFmtId="0" fontId="1" fillId="0" borderId="0" xfId="0" applyFont="1" applyAlignment="1">
      <alignment horizontal="center"/>
    </xf>
    <xf numFmtId="0" fontId="1" fillId="0" borderId="0" xfId="0" applyFont="1" applyAlignment="1"/>
    <xf numFmtId="0" fontId="0" fillId="0" borderId="0" xfId="0" applyAlignment="1"/>
    <xf numFmtId="0" fontId="7" fillId="0" borderId="0" xfId="0" applyFont="1" applyAlignment="1">
      <alignment horizontal="center"/>
    </xf>
    <xf numFmtId="164" fontId="8" fillId="0" borderId="0" xfId="1" applyNumberFormat="1"/>
    <xf numFmtId="0" fontId="9" fillId="0" borderId="0" xfId="0" applyFont="1" applyAlignment="1">
      <alignment horizontal="left"/>
    </xf>
    <xf numFmtId="0" fontId="0" fillId="0" borderId="0" xfId="0" applyAlignment="1">
      <alignment horizontal="left"/>
    </xf>
    <xf numFmtId="164" fontId="8" fillId="0" borderId="0" xfId="1" applyNumberFormat="1" applyFill="1"/>
    <xf numFmtId="165" fontId="8" fillId="0" borderId="0" xfId="2" applyNumberFormat="1"/>
    <xf numFmtId="165" fontId="0" fillId="0" borderId="0" xfId="2" applyNumberFormat="1" applyFont="1"/>
    <xf numFmtId="0" fontId="10" fillId="0" borderId="0" xfId="0" applyNumberFormat="1" applyFont="1" applyFill="1"/>
    <xf numFmtId="0" fontId="11" fillId="0" borderId="0" xfId="0" applyFont="1"/>
    <xf numFmtId="49" fontId="2" fillId="0" borderId="1" xfId="0" applyNumberFormat="1" applyFont="1" applyFill="1" applyBorder="1" applyAlignment="1"/>
    <xf numFmtId="0" fontId="2" fillId="0" borderId="1" xfId="0" applyFont="1" applyFill="1" applyBorder="1" applyAlignment="1">
      <alignment wrapText="1"/>
    </xf>
    <xf numFmtId="0" fontId="12" fillId="0" borderId="2" xfId="0" applyFont="1" applyFill="1" applyBorder="1"/>
    <xf numFmtId="0" fontId="12" fillId="0" borderId="3" xfId="0" applyFont="1" applyBorder="1" applyAlignment="1">
      <alignment horizontal="center"/>
    </xf>
    <xf numFmtId="0" fontId="12" fillId="0" borderId="4" xfId="0" applyFont="1" applyBorder="1"/>
    <xf numFmtId="0" fontId="12" fillId="0" borderId="2"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12" fillId="0" borderId="6" xfId="0" applyFont="1" applyBorder="1" applyAlignment="1">
      <alignment horizontal="center"/>
    </xf>
    <xf numFmtId="0" fontId="12" fillId="2" borderId="5" xfId="0" applyFont="1" applyFill="1" applyBorder="1" applyAlignment="1">
      <alignment horizontal="center"/>
    </xf>
    <xf numFmtId="0" fontId="8" fillId="0" borderId="0" xfId="0" applyFont="1" applyBorder="1" applyAlignment="1">
      <alignment horizontal="center"/>
    </xf>
    <xf numFmtId="0" fontId="8" fillId="0" borderId="6" xfId="0" applyFont="1"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0" fontId="12" fillId="0" borderId="0" xfId="0" applyFont="1" applyBorder="1" applyAlignment="1">
      <alignment horizontal="center"/>
    </xf>
    <xf numFmtId="164" fontId="12" fillId="0" borderId="6" xfId="4" applyNumberFormat="1" applyFont="1" applyBorder="1" applyAlignment="1">
      <alignment horizontal="center"/>
    </xf>
    <xf numFmtId="0" fontId="8" fillId="0" borderId="0" xfId="3" applyFill="1" applyAlignment="1">
      <alignment horizontal="left" vertical="center" wrapText="1"/>
    </xf>
    <xf numFmtId="165" fontId="12" fillId="0" borderId="5" xfId="0" applyNumberFormat="1" applyFont="1" applyBorder="1"/>
    <xf numFmtId="164" fontId="12" fillId="0" borderId="6" xfId="4" applyNumberFormat="1" applyFont="1" applyBorder="1"/>
    <xf numFmtId="0" fontId="8" fillId="0" borderId="0" xfId="3" applyFont="1" applyFill="1" applyAlignment="1">
      <alignment horizontal="left" vertical="center" wrapText="1"/>
    </xf>
    <xf numFmtId="0" fontId="12" fillId="0" borderId="6" xfId="0" applyFont="1" applyBorder="1" applyAlignment="1">
      <alignment horizontal="center" wrapText="1"/>
    </xf>
    <xf numFmtId="165" fontId="12" fillId="0" borderId="5" xfId="2" applyNumberFormat="1" applyFont="1" applyBorder="1"/>
    <xf numFmtId="165" fontId="12" fillId="0" borderId="0" xfId="2" applyNumberFormat="1" applyFont="1" applyBorder="1"/>
    <xf numFmtId="165" fontId="12" fillId="0" borderId="6" xfId="2" applyNumberFormat="1" applyFont="1" applyBorder="1"/>
    <xf numFmtId="0" fontId="8" fillId="0" borderId="0" xfId="3" applyFont="1" applyFill="1" applyAlignment="1">
      <alignment wrapText="1"/>
    </xf>
    <xf numFmtId="164" fontId="12" fillId="2" borderId="5" xfId="4" applyNumberFormat="1" applyFont="1" applyFill="1" applyBorder="1"/>
    <xf numFmtId="164" fontId="12" fillId="0" borderId="0" xfId="4" applyNumberFormat="1" applyFont="1" applyBorder="1"/>
    <xf numFmtId="164" fontId="12" fillId="2" borderId="5" xfId="1" applyNumberFormat="1" applyFont="1" applyFill="1" applyBorder="1"/>
    <xf numFmtId="164" fontId="12" fillId="0" borderId="0" xfId="1" applyNumberFormat="1" applyFont="1" applyBorder="1"/>
    <xf numFmtId="164" fontId="12" fillId="0" borderId="6" xfId="1" applyNumberFormat="1" applyFont="1" applyBorder="1"/>
    <xf numFmtId="0" fontId="12" fillId="0" borderId="0" xfId="3" applyFont="1" applyFill="1" applyBorder="1" applyAlignment="1">
      <alignment wrapText="1"/>
    </xf>
    <xf numFmtId="164" fontId="12" fillId="0" borderId="5" xfId="4" applyNumberFormat="1" applyFont="1" applyBorder="1"/>
    <xf numFmtId="164" fontId="12" fillId="0" borderId="5" xfId="1" applyNumberFormat="1" applyFont="1" applyBorder="1"/>
    <xf numFmtId="43" fontId="12" fillId="2" borderId="5" xfId="4" applyNumberFormat="1" applyFont="1" applyFill="1" applyBorder="1"/>
    <xf numFmtId="43" fontId="12" fillId="0" borderId="0" xfId="4" applyNumberFormat="1" applyFont="1" applyFill="1" applyBorder="1"/>
    <xf numFmtId="43" fontId="12" fillId="0" borderId="6" xfId="4" applyNumberFormat="1" applyFont="1" applyFill="1" applyBorder="1"/>
    <xf numFmtId="43" fontId="12" fillId="2" borderId="5" xfId="1" applyNumberFormat="1" applyFont="1" applyFill="1" applyBorder="1"/>
    <xf numFmtId="43" fontId="12" fillId="0" borderId="0" xfId="1" applyNumberFormat="1" applyFont="1" applyFill="1" applyBorder="1"/>
    <xf numFmtId="43" fontId="12" fillId="0" borderId="6" xfId="1" applyNumberFormat="1" applyFont="1" applyFill="1" applyBorder="1"/>
    <xf numFmtId="164" fontId="12" fillId="0" borderId="0" xfId="1" applyNumberFormat="1" applyFont="1" applyFill="1" applyBorder="1"/>
    <xf numFmtId="164" fontId="12" fillId="0" borderId="6"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0" fontId="12" fillId="0" borderId="8" xfId="0" applyFont="1" applyBorder="1" applyAlignment="1">
      <alignment horizontal="center"/>
    </xf>
    <xf numFmtId="164" fontId="12" fillId="0" borderId="7" xfId="4" applyNumberFormat="1" applyFont="1" applyBorder="1"/>
    <xf numFmtId="164" fontId="12" fillId="0" borderId="1" xfId="4" applyNumberFormat="1" applyFont="1" applyBorder="1"/>
    <xf numFmtId="164" fontId="12" fillId="0" borderId="8" xfId="4" applyNumberFormat="1" applyFont="1" applyBorder="1"/>
    <xf numFmtId="164" fontId="12" fillId="0" borderId="7" xfId="1" applyNumberFormat="1" applyFont="1" applyBorder="1"/>
    <xf numFmtId="164" fontId="12" fillId="0" borderId="1" xfId="1" applyNumberFormat="1" applyFont="1" applyBorder="1"/>
    <xf numFmtId="164" fontId="12" fillId="0" borderId="8" xfId="1" applyNumberFormat="1" applyFont="1" applyBorder="1"/>
    <xf numFmtId="0" fontId="12" fillId="0" borderId="1" xfId="0" applyFont="1" applyBorder="1"/>
    <xf numFmtId="0" fontId="12" fillId="0" borderId="8" xfId="0" applyFont="1" applyBorder="1"/>
    <xf numFmtId="0" fontId="13" fillId="0" borderId="9"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13" fillId="0" borderId="2" xfId="0" applyFont="1" applyBorder="1" applyAlignment="1">
      <alignment horizontal="center"/>
    </xf>
    <xf numFmtId="0" fontId="13" fillId="0" borderId="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12" fillId="0" borderId="10" xfId="0" applyFont="1" applyBorder="1" applyAlignment="1">
      <alignment horizontal="center"/>
    </xf>
    <xf numFmtId="164" fontId="12" fillId="0" borderId="0" xfId="0" applyNumberFormat="1" applyFont="1" applyBorder="1"/>
    <xf numFmtId="166" fontId="12" fillId="0" borderId="10" xfId="6" applyNumberFormat="1" applyFont="1" applyBorder="1"/>
    <xf numFmtId="166" fontId="12" fillId="0" borderId="6" xfId="0" applyNumberFormat="1" applyFont="1" applyBorder="1"/>
    <xf numFmtId="166" fontId="0" fillId="0" borderId="0" xfId="0" applyNumberFormat="1"/>
    <xf numFmtId="166" fontId="12" fillId="0" borderId="0" xfId="0" applyNumberFormat="1" applyFont="1" applyBorder="1"/>
    <xf numFmtId="43" fontId="0" fillId="0" borderId="0" xfId="1" applyFont="1"/>
    <xf numFmtId="44" fontId="0" fillId="0" borderId="0" xfId="0" applyNumberFormat="1"/>
    <xf numFmtId="164" fontId="12" fillId="0" borderId="5" xfId="0" applyNumberFormat="1" applyFont="1" applyBorder="1"/>
    <xf numFmtId="164" fontId="0" fillId="0" borderId="0" xfId="0" applyNumberFormat="1"/>
    <xf numFmtId="164" fontId="13" fillId="0" borderId="10" xfId="0" applyNumberFormat="1" applyFont="1" applyBorder="1"/>
    <xf numFmtId="164" fontId="13" fillId="0" borderId="0" xfId="1" applyNumberFormat="1" applyFont="1" applyBorder="1"/>
    <xf numFmtId="164" fontId="13" fillId="0" borderId="6" xfId="1" applyNumberFormat="1" applyFont="1" applyBorder="1"/>
    <xf numFmtId="164" fontId="13" fillId="0" borderId="0" xfId="0" applyNumberFormat="1" applyFont="1" applyBorder="1"/>
    <xf numFmtId="164" fontId="13" fillId="0" borderId="11" xfId="0" applyNumberFormat="1" applyFont="1" applyBorder="1"/>
    <xf numFmtId="164" fontId="13" fillId="0" borderId="1" xfId="1" applyNumberFormat="1" applyFont="1" applyBorder="1"/>
    <xf numFmtId="164" fontId="13" fillId="0" borderId="8" xfId="1" applyNumberFormat="1" applyFont="1" applyBorder="1"/>
    <xf numFmtId="164" fontId="13" fillId="0" borderId="1" xfId="0" applyNumberFormat="1" applyFont="1" applyBorder="1"/>
    <xf numFmtId="166" fontId="12" fillId="0" borderId="11" xfId="6" applyNumberFormat="1" applyFont="1" applyBorder="1"/>
    <xf numFmtId="166" fontId="12" fillId="0" borderId="1" xfId="0" applyNumberFormat="1" applyFont="1" applyBorder="1"/>
    <xf numFmtId="0" fontId="12" fillId="0" borderId="0" xfId="0" applyFont="1"/>
    <xf numFmtId="0" fontId="12" fillId="0" borderId="0" xfId="0" applyFont="1" applyAlignment="1">
      <alignment horizontal="center"/>
    </xf>
    <xf numFmtId="164" fontId="12" fillId="0" borderId="0" xfId="1" applyNumberFormat="1" applyFont="1"/>
    <xf numFmtId="166" fontId="12" fillId="0" borderId="0" xfId="6" applyNumberFormat="1" applyFont="1"/>
    <xf numFmtId="0" fontId="8" fillId="0" borderId="0" xfId="0" applyFont="1"/>
    <xf numFmtId="43" fontId="0" fillId="0" borderId="0" xfId="0" applyNumberFormat="1"/>
    <xf numFmtId="0" fontId="0" fillId="0" borderId="0" xfId="0" applyFill="1" applyBorder="1"/>
    <xf numFmtId="0" fontId="0" fillId="0" borderId="0" xfId="0" applyFill="1" applyBorder="1" applyAlignment="1">
      <alignment horizontal="center"/>
    </xf>
    <xf numFmtId="164" fontId="8" fillId="0" borderId="0" xfId="1" applyNumberFormat="1" applyFill="1" applyBorder="1"/>
    <xf numFmtId="0" fontId="15" fillId="0" borderId="0" xfId="0" applyNumberFormat="1" applyFont="1" applyBorder="1" applyAlignment="1">
      <alignment horizontal="center"/>
    </xf>
    <xf numFmtId="0" fontId="6" fillId="0" borderId="0" xfId="0" applyNumberFormat="1" applyFont="1" applyBorder="1" applyAlignment="1">
      <alignment horizontal="center"/>
    </xf>
    <xf numFmtId="0" fontId="6" fillId="0" borderId="0" xfId="0" applyFont="1" applyBorder="1" applyAlignment="1"/>
    <xf numFmtId="0" fontId="10" fillId="0" borderId="0" xfId="0" applyFont="1" applyBorder="1" applyAlignment="1">
      <alignment horizontal="center"/>
    </xf>
    <xf numFmtId="37" fontId="6" fillId="0" borderId="0" xfId="0" applyNumberFormat="1" applyFont="1" applyBorder="1" applyAlignment="1">
      <alignment horizontal="left"/>
    </xf>
    <xf numFmtId="0" fontId="15" fillId="0" borderId="0" xfId="0" applyFont="1" applyAlignment="1">
      <alignment horizontal="center"/>
    </xf>
    <xf numFmtId="0" fontId="16" fillId="0" borderId="0" xfId="0" applyFont="1"/>
    <xf numFmtId="0" fontId="12" fillId="0" borderId="0" xfId="0" applyFont="1" applyAlignment="1">
      <alignment horizontal="right"/>
    </xf>
    <xf numFmtId="0" fontId="17" fillId="0" borderId="0" xfId="0" applyFont="1" applyAlignment="1">
      <alignment horizontal="center"/>
    </xf>
    <xf numFmtId="0" fontId="18" fillId="0" borderId="0" xfId="0" applyFont="1" applyFill="1" applyBorder="1" applyAlignment="1">
      <alignment horizontal="left"/>
    </xf>
    <xf numFmtId="0" fontId="20" fillId="3" borderId="2" xfId="0" applyFont="1" applyFill="1" applyBorder="1" applyAlignment="1">
      <alignment horizontal="center" wrapText="1"/>
    </xf>
    <xf numFmtId="0" fontId="20" fillId="3" borderId="4" xfId="0" applyFont="1" applyFill="1" applyBorder="1" applyAlignment="1">
      <alignment horizontal="center" wrapText="1"/>
    </xf>
    <xf numFmtId="0" fontId="6" fillId="0" borderId="5" xfId="0" applyFont="1" applyBorder="1" applyAlignment="1">
      <alignment horizontal="center"/>
    </xf>
    <xf numFmtId="0" fontId="21" fillId="0" borderId="0" xfId="0" applyNumberFormat="1" applyFont="1" applyFill="1" applyBorder="1" applyAlignment="1"/>
    <xf numFmtId="0" fontId="6" fillId="0" borderId="0" xfId="0" applyFont="1" applyBorder="1"/>
    <xf numFmtId="0" fontId="6" fillId="0" borderId="0" xfId="0" applyFont="1" applyBorder="1" applyAlignment="1">
      <alignment horizontal="center"/>
    </xf>
    <xf numFmtId="0" fontId="6" fillId="0" borderId="6" xfId="0" applyFont="1" applyBorder="1"/>
    <xf numFmtId="0" fontId="6" fillId="0" borderId="5" xfId="0" applyNumberFormat="1" applyFont="1" applyFill="1" applyBorder="1" applyAlignment="1">
      <alignment horizontal="center"/>
    </xf>
    <xf numFmtId="0" fontId="6" fillId="0" borderId="0" xfId="0" applyNumberFormat="1" applyFont="1" applyFill="1" applyBorder="1" applyAlignment="1">
      <alignment horizontal="left"/>
    </xf>
    <xf numFmtId="0" fontId="22" fillId="0" borderId="0" xfId="0" applyNumberFormat="1" applyFont="1" applyFill="1" applyBorder="1" applyAlignment="1">
      <alignment horizontal="center"/>
    </xf>
    <xf numFmtId="166" fontId="0" fillId="0" borderId="0" xfId="6" applyNumberFormat="1" applyFont="1"/>
    <xf numFmtId="3" fontId="8" fillId="0" borderId="0" xfId="0" applyNumberFormat="1" applyFont="1" applyBorder="1" applyAlignment="1">
      <alignment horizontal="center"/>
    </xf>
    <xf numFmtId="3" fontId="12" fillId="0" borderId="0" xfId="0" applyNumberFormat="1" applyFont="1" applyBorder="1" applyAlignment="1">
      <alignment horizontal="center"/>
    </xf>
    <xf numFmtId="3" fontId="12" fillId="0" borderId="5" xfId="0" applyNumberFormat="1" applyFont="1" applyBorder="1" applyAlignment="1">
      <alignment horizontal="center"/>
    </xf>
    <xf numFmtId="3" fontId="22" fillId="0" borderId="0" xfId="0" applyNumberFormat="1" applyFont="1" applyFill="1" applyBorder="1" applyAlignment="1">
      <alignment horizontal="center"/>
    </xf>
    <xf numFmtId="3" fontId="6" fillId="0" borderId="6" xfId="0" applyNumberFormat="1" applyFont="1" applyFill="1" applyBorder="1" applyAlignment="1"/>
    <xf numFmtId="0" fontId="12" fillId="0" borderId="0" xfId="0" applyFont="1" applyBorder="1" applyAlignment="1">
      <alignment horizontal="left" wrapText="1"/>
    </xf>
    <xf numFmtId="0" fontId="12" fillId="0" borderId="0" xfId="0" applyFont="1" applyBorder="1" applyAlignment="1">
      <alignment wrapText="1"/>
    </xf>
    <xf numFmtId="0" fontId="12" fillId="0" borderId="6" xfId="0" applyFont="1" applyBorder="1" applyAlignment="1">
      <alignment wrapText="1"/>
    </xf>
    <xf numFmtId="0" fontId="6" fillId="0" borderId="5" xfId="0" applyFont="1" applyFill="1" applyBorder="1" applyAlignment="1">
      <alignment horizontal="center"/>
    </xf>
    <xf numFmtId="0" fontId="21" fillId="0" borderId="0" xfId="0" applyNumberFormat="1" applyFont="1" applyFill="1" applyBorder="1" applyAlignment="1">
      <alignment horizontal="left"/>
    </xf>
    <xf numFmtId="0" fontId="6" fillId="0" borderId="0" xfId="0" applyFont="1" applyBorder="1" applyAlignment="1">
      <alignment horizontal="left"/>
    </xf>
    <xf numFmtId="0" fontId="6" fillId="0" borderId="0" xfId="0" applyFont="1" applyFill="1" applyBorder="1"/>
    <xf numFmtId="0" fontId="22" fillId="0" borderId="0" xfId="0" applyFont="1" applyFill="1" applyBorder="1" applyAlignment="1">
      <alignment horizontal="right"/>
    </xf>
    <xf numFmtId="0" fontId="6" fillId="0" borderId="6" xfId="0" applyFont="1" applyBorder="1" applyAlignment="1"/>
    <xf numFmtId="0" fontId="22" fillId="0" borderId="0" xfId="0" applyFont="1" applyFill="1" applyBorder="1"/>
    <xf numFmtId="166" fontId="8" fillId="0" borderId="5" xfId="6" applyNumberFormat="1" applyFont="1" applyBorder="1" applyAlignment="1">
      <alignment horizontal="center"/>
    </xf>
    <xf numFmtId="0" fontId="6" fillId="0" borderId="0" xfId="0" applyFont="1" applyFill="1" applyBorder="1" applyAlignment="1">
      <alignment horizontal="left"/>
    </xf>
    <xf numFmtId="0" fontId="22" fillId="0" borderId="0" xfId="0" applyFont="1" applyFill="1" applyBorder="1" applyAlignment="1">
      <alignment horizontal="center"/>
    </xf>
    <xf numFmtId="3" fontId="22" fillId="0" borderId="6" xfId="0" applyNumberFormat="1" applyFont="1" applyFill="1" applyBorder="1" applyAlignment="1"/>
    <xf numFmtId="0" fontId="6" fillId="0" borderId="0" xfId="0" applyFont="1" applyFill="1" applyBorder="1" applyAlignment="1"/>
    <xf numFmtId="0" fontId="6" fillId="0" borderId="6" xfId="0" applyFont="1" applyFill="1" applyBorder="1" applyAlignment="1"/>
    <xf numFmtId="0" fontId="6" fillId="0" borderId="0" xfId="0" applyNumberFormat="1" applyFont="1" applyFill="1" applyBorder="1" applyAlignment="1">
      <alignment horizontal="center"/>
    </xf>
    <xf numFmtId="0" fontId="21" fillId="0" borderId="0" xfId="0" applyNumberFormat="1" applyFont="1" applyBorder="1" applyAlignment="1">
      <alignment horizontal="left"/>
    </xf>
    <xf numFmtId="0" fontId="22" fillId="0" borderId="0" xfId="0" applyFont="1" applyBorder="1" applyAlignment="1">
      <alignment horizontal="center"/>
    </xf>
    <xf numFmtId="0" fontId="6" fillId="0" borderId="5" xfId="0" applyNumberFormat="1" applyFont="1" applyBorder="1" applyAlignment="1">
      <alignment horizontal="center"/>
    </xf>
    <xf numFmtId="0" fontId="6" fillId="0" borderId="0" xfId="0" applyNumberFormat="1" applyFont="1" applyBorder="1" applyAlignment="1">
      <alignment horizontal="right"/>
    </xf>
    <xf numFmtId="0" fontId="6" fillId="0" borderId="0" xfId="0" applyNumberFormat="1" applyFont="1" applyBorder="1" applyAlignment="1">
      <alignment horizontal="left"/>
    </xf>
    <xf numFmtId="0" fontId="22" fillId="0" borderId="0" xfId="0" applyNumberFormat="1" applyFont="1" applyBorder="1" applyAlignment="1">
      <alignment horizontal="center"/>
    </xf>
    <xf numFmtId="0" fontId="6" fillId="0" borderId="6" xfId="0" applyNumberFormat="1" applyFont="1" applyBorder="1" applyAlignment="1"/>
    <xf numFmtId="3" fontId="8" fillId="0" borderId="0" xfId="0" applyNumberFormat="1" applyFont="1" applyFill="1" applyBorder="1" applyAlignment="1">
      <alignment horizontal="center"/>
    </xf>
    <xf numFmtId="0" fontId="6" fillId="0" borderId="0" xfId="0" applyNumberFormat="1" applyFont="1" applyFill="1" applyBorder="1" applyAlignment="1">
      <alignment horizontal="right"/>
    </xf>
    <xf numFmtId="3" fontId="12" fillId="0" borderId="0" xfId="0" applyNumberFormat="1" applyFont="1" applyFill="1" applyBorder="1" applyAlignment="1">
      <alignment horizontal="center"/>
    </xf>
    <xf numFmtId="0" fontId="6" fillId="0" borderId="7" xfId="0" applyNumberFormat="1" applyFont="1" applyFill="1" applyBorder="1" applyAlignment="1">
      <alignment horizontal="center"/>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left"/>
    </xf>
    <xf numFmtId="0" fontId="6" fillId="0" borderId="1" xfId="0" applyFont="1" applyFill="1" applyBorder="1" applyAlignment="1"/>
    <xf numFmtId="0" fontId="22" fillId="0" borderId="1" xfId="0" applyNumberFormat="1" applyFont="1" applyFill="1" applyBorder="1" applyAlignment="1">
      <alignment horizontal="center"/>
    </xf>
    <xf numFmtId="0" fontId="6" fillId="0" borderId="8" xfId="0" applyNumberFormat="1" applyFont="1" applyFill="1" applyBorder="1" applyAlignment="1"/>
    <xf numFmtId="3" fontId="12" fillId="0" borderId="7" xfId="0" applyNumberFormat="1" applyFont="1" applyBorder="1" applyAlignment="1">
      <alignment horizontal="center"/>
    </xf>
    <xf numFmtId="3" fontId="12" fillId="0" borderId="1" xfId="0" applyNumberFormat="1" applyFont="1" applyFill="1" applyBorder="1" applyAlignment="1">
      <alignment horizontal="center"/>
    </xf>
    <xf numFmtId="3" fontId="12" fillId="0" borderId="1" xfId="0" applyNumberFormat="1" applyFont="1" applyBorder="1" applyAlignment="1">
      <alignment horizontal="center"/>
    </xf>
    <xf numFmtId="0" fontId="22" fillId="0" borderId="0" xfId="0" applyFont="1" applyFill="1" applyBorder="1" applyAlignment="1"/>
    <xf numFmtId="0" fontId="6" fillId="0" borderId="6" xfId="0" applyNumberFormat="1" applyFont="1" applyFill="1" applyBorder="1" applyAlignment="1">
      <alignment horizontal="left"/>
    </xf>
    <xf numFmtId="166" fontId="8" fillId="0" borderId="0" xfId="6" applyNumberFormat="1" applyFont="1" applyFill="1" applyBorder="1" applyAlignment="1">
      <alignment horizontal="center"/>
    </xf>
    <xf numFmtId="3" fontId="6" fillId="0" borderId="0" xfId="0" applyNumberFormat="1" applyFont="1" applyBorder="1" applyAlignment="1">
      <alignment horizontal="center"/>
    </xf>
    <xf numFmtId="0" fontId="13" fillId="0" borderId="0" xfId="0" applyFont="1" applyBorder="1" applyAlignment="1">
      <alignment horizontal="center"/>
    </xf>
    <xf numFmtId="0" fontId="0" fillId="0" borderId="7" xfId="0" applyBorder="1"/>
    <xf numFmtId="0" fontId="0" fillId="0" borderId="1" xfId="0" applyBorder="1"/>
    <xf numFmtId="0" fontId="0" fillId="0" borderId="1" xfId="0" applyFill="1" applyBorder="1"/>
    <xf numFmtId="0" fontId="0" fillId="0" borderId="8" xfId="0" applyBorder="1"/>
    <xf numFmtId="0" fontId="12" fillId="0" borderId="1" xfId="0" applyFont="1" applyFill="1" applyBorder="1"/>
    <xf numFmtId="3" fontId="6" fillId="0" borderId="6" xfId="0" applyNumberFormat="1" applyFont="1" applyFill="1" applyBorder="1" applyAlignment="1">
      <alignment horizontal="left"/>
    </xf>
    <xf numFmtId="0" fontId="12" fillId="0" borderId="0" xfId="0" applyFont="1" applyBorder="1" applyAlignment="1">
      <alignment horizontal="right"/>
    </xf>
    <xf numFmtId="0" fontId="6" fillId="0" borderId="6" xfId="0" applyFont="1" applyBorder="1" applyAlignment="1">
      <alignment horizontal="left"/>
    </xf>
    <xf numFmtId="3" fontId="6" fillId="0" borderId="0" xfId="0" applyNumberFormat="1" applyFont="1" applyFill="1" applyBorder="1" applyAlignment="1"/>
    <xf numFmtId="3" fontId="22" fillId="0" borderId="0" xfId="0" applyNumberFormat="1" applyFont="1" applyBorder="1" applyAlignment="1">
      <alignment horizontal="center"/>
    </xf>
    <xf numFmtId="3" fontId="6" fillId="0" borderId="6" xfId="0" applyNumberFormat="1" applyFont="1" applyBorder="1" applyAlignment="1">
      <alignment horizontal="left"/>
    </xf>
    <xf numFmtId="0" fontId="6" fillId="0" borderId="1" xfId="0" applyNumberFormat="1" applyFont="1" applyBorder="1" applyAlignment="1">
      <alignment horizontal="center"/>
    </xf>
    <xf numFmtId="0" fontId="6" fillId="0" borderId="1" xfId="0" applyFont="1" applyBorder="1" applyAlignment="1"/>
    <xf numFmtId="0" fontId="6" fillId="0" borderId="8" xfId="0" applyNumberFormat="1" applyFont="1" applyFill="1" applyBorder="1" applyAlignment="1">
      <alignment horizontal="left"/>
    </xf>
    <xf numFmtId="166" fontId="8" fillId="0" borderId="1" xfId="6" applyNumberFormat="1" applyFont="1" applyFill="1" applyBorder="1" applyAlignment="1">
      <alignment horizontal="right"/>
    </xf>
    <xf numFmtId="0" fontId="12" fillId="0" borderId="1" xfId="0" applyFont="1" applyBorder="1" applyAlignment="1">
      <alignment horizontal="center"/>
    </xf>
    <xf numFmtId="3" fontId="6" fillId="0" borderId="0" xfId="0" applyNumberFormat="1" applyFont="1" applyFill="1" applyBorder="1" applyAlignment="1">
      <alignment horizontal="center"/>
    </xf>
    <xf numFmtId="0" fontId="6" fillId="0" borderId="1" xfId="0" applyNumberFormat="1" applyFont="1" applyFill="1" applyBorder="1" applyAlignment="1">
      <alignment horizontal="center"/>
    </xf>
    <xf numFmtId="0" fontId="6" fillId="0" borderId="1" xfId="0" applyFont="1" applyBorder="1"/>
    <xf numFmtId="166" fontId="8" fillId="0" borderId="1" xfId="6" applyNumberFormat="1" applyFont="1" applyBorder="1" applyAlignment="1">
      <alignment horizontal="center"/>
    </xf>
    <xf numFmtId="164" fontId="8" fillId="0" borderId="1" xfId="1" applyNumberFormat="1" applyFont="1" applyFill="1" applyBorder="1" applyAlignment="1">
      <alignment horizontal="center"/>
    </xf>
    <xf numFmtId="164" fontId="8" fillId="0" borderId="0" xfId="1" applyNumberFormat="1"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Continuous"/>
    </xf>
    <xf numFmtId="0" fontId="12" fillId="0" borderId="6" xfId="0" applyFont="1" applyFill="1" applyBorder="1" applyAlignment="1">
      <alignment horizontal="centerContinuous"/>
    </xf>
    <xf numFmtId="0" fontId="22" fillId="0" borderId="1" xfId="0" applyFont="1" applyFill="1" applyBorder="1" applyAlignment="1">
      <alignment horizontal="center"/>
    </xf>
    <xf numFmtId="164" fontId="8" fillId="0" borderId="1" xfId="1" applyNumberFormat="1" applyFont="1" applyBorder="1" applyAlignment="1">
      <alignment horizontal="center"/>
    </xf>
    <xf numFmtId="3" fontId="8" fillId="0" borderId="1" xfId="0" applyNumberFormat="1" applyFont="1" applyBorder="1" applyAlignment="1">
      <alignment horizontal="center"/>
    </xf>
    <xf numFmtId="0" fontId="6" fillId="0" borderId="7" xfId="0" applyNumberFormat="1" applyFont="1" applyBorder="1" applyAlignment="1">
      <alignment horizontal="center"/>
    </xf>
    <xf numFmtId="0" fontId="6" fillId="0" borderId="1" xfId="0" applyNumberFormat="1" applyFont="1" applyBorder="1" applyAlignment="1">
      <alignment horizontal="left"/>
    </xf>
    <xf numFmtId="0" fontId="22" fillId="0" borderId="1" xfId="0" applyNumberFormat="1" applyFont="1" applyBorder="1" applyAlignment="1">
      <alignment horizontal="center"/>
    </xf>
    <xf numFmtId="0" fontId="6" fillId="0" borderId="8" xfId="0" applyNumberFormat="1" applyFont="1" applyBorder="1" applyAlignment="1">
      <alignment horizontal="left"/>
    </xf>
    <xf numFmtId="164" fontId="12" fillId="0" borderId="1" xfId="1" applyNumberFormat="1" applyFont="1" applyBorder="1" applyAlignment="1">
      <alignment horizontal="center"/>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167" fontId="21" fillId="0" borderId="0" xfId="0" applyNumberFormat="1" applyFont="1" applyBorder="1" applyAlignment="1">
      <alignment horizontal="left"/>
    </xf>
    <xf numFmtId="3" fontId="6" fillId="0" borderId="6" xfId="0" applyNumberFormat="1" applyFont="1" applyBorder="1" applyAlignment="1"/>
    <xf numFmtId="168" fontId="6" fillId="0" borderId="1" xfId="0" applyNumberFormat="1" applyFont="1" applyBorder="1" applyAlignment="1"/>
    <xf numFmtId="10" fontId="6" fillId="0" borderId="8" xfId="2" applyNumberFormat="1" applyFont="1" applyBorder="1" applyAlignment="1">
      <alignment horizontal="left"/>
    </xf>
    <xf numFmtId="10" fontId="12" fillId="0" borderId="1" xfId="2" applyNumberFormat="1" applyFont="1" applyFill="1" applyBorder="1" applyAlignment="1">
      <alignment horizontal="center"/>
    </xf>
    <xf numFmtId="0" fontId="22" fillId="0" borderId="1" xfId="0" applyFont="1" applyFill="1" applyBorder="1" applyAlignment="1"/>
    <xf numFmtId="164" fontId="8" fillId="0" borderId="1" xfId="0" applyNumberFormat="1" applyFont="1" applyBorder="1" applyAlignment="1">
      <alignment horizontal="center"/>
    </xf>
    <xf numFmtId="0" fontId="24" fillId="0" borderId="0" xfId="0" applyFont="1"/>
    <xf numFmtId="0" fontId="15" fillId="0" borderId="5" xfId="0" applyNumberFormat="1" applyFont="1" applyBorder="1" applyAlignment="1">
      <alignment horizontal="center"/>
    </xf>
    <xf numFmtId="0" fontId="13" fillId="0" borderId="0" xfId="0" applyNumberFormat="1" applyFont="1" applyBorder="1" applyAlignment="1">
      <alignment horizontal="left"/>
    </xf>
    <xf numFmtId="0" fontId="15" fillId="0" borderId="0" xfId="0" applyNumberFormat="1" applyFont="1" applyFill="1" applyBorder="1" applyAlignment="1"/>
    <xf numFmtId="0" fontId="15" fillId="0" borderId="0" xfId="0" applyFont="1" applyFill="1" applyBorder="1" applyAlignment="1"/>
    <xf numFmtId="3" fontId="15" fillId="0" borderId="0" xfId="0" applyNumberFormat="1" applyFont="1" applyBorder="1" applyAlignment="1">
      <alignment horizontal="center"/>
    </xf>
    <xf numFmtId="3" fontId="21" fillId="0" borderId="0" xfId="0" applyNumberFormat="1" applyFont="1" applyBorder="1" applyAlignment="1"/>
    <xf numFmtId="0" fontId="13" fillId="0" borderId="5" xfId="0" applyFont="1" applyBorder="1"/>
    <xf numFmtId="0" fontId="6" fillId="0" borderId="0" xfId="0" applyNumberFormat="1" applyFont="1" applyFill="1" applyBorder="1" applyAlignment="1"/>
    <xf numFmtId="0" fontId="13" fillId="0" borderId="5" xfId="0" applyFont="1" applyBorder="1" applyAlignment="1">
      <alignment horizontal="center"/>
    </xf>
    <xf numFmtId="0" fontId="13" fillId="2" borderId="5" xfId="0" applyFont="1" applyFill="1" applyBorder="1" applyAlignment="1">
      <alignment horizontal="center"/>
    </xf>
    <xf numFmtId="0" fontId="12" fillId="0" borderId="6" xfId="0" applyFont="1" applyFill="1" applyBorder="1" applyAlignment="1">
      <alignment horizontal="center" wrapText="1"/>
    </xf>
    <xf numFmtId="0" fontId="15" fillId="0" borderId="0" xfId="0" applyFont="1" applyFill="1" applyBorder="1" applyAlignment="1">
      <alignment horizontal="center"/>
    </xf>
    <xf numFmtId="0" fontId="0" fillId="0" borderId="5" xfId="0" applyFill="1" applyBorder="1"/>
    <xf numFmtId="0" fontId="0" fillId="0" borderId="0" xfId="0" applyFill="1" applyBorder="1" applyAlignment="1">
      <alignment horizontal="right"/>
    </xf>
    <xf numFmtId="164" fontId="0" fillId="0" borderId="0" xfId="1" applyNumberFormat="1" applyFont="1" applyFill="1" applyBorder="1"/>
    <xf numFmtId="0" fontId="20" fillId="0" borderId="1" xfId="0" applyFont="1" applyBorder="1"/>
    <xf numFmtId="0" fontId="0" fillId="0" borderId="0" xfId="0" applyBorder="1"/>
    <xf numFmtId="0" fontId="20" fillId="0" borderId="0" xfId="0" applyFont="1" applyBorder="1"/>
    <xf numFmtId="164" fontId="12" fillId="0" borderId="5" xfId="0" applyNumberFormat="1" applyFont="1" applyBorder="1" applyAlignment="1">
      <alignment horizontal="center"/>
    </xf>
    <xf numFmtId="164" fontId="12" fillId="0" borderId="0" xfId="0" applyNumberFormat="1" applyFont="1" applyBorder="1" applyAlignment="1">
      <alignment horizontal="center"/>
    </xf>
    <xf numFmtId="164" fontId="12" fillId="2" borderId="5" xfId="0" applyNumberFormat="1" applyFont="1" applyFill="1" applyBorder="1" applyAlignment="1">
      <alignment horizontal="center"/>
    </xf>
    <xf numFmtId="9" fontId="12" fillId="0" borderId="0" xfId="2" applyFont="1" applyBorder="1" applyAlignment="1">
      <alignment horizontal="center"/>
    </xf>
    <xf numFmtId="10" fontId="12" fillId="0" borderId="0" xfId="2" applyNumberFormat="1" applyFont="1" applyBorder="1" applyAlignment="1">
      <alignment horizontal="center"/>
    </xf>
    <xf numFmtId="164" fontId="12" fillId="2" borderId="7" xfId="0" applyNumberFormat="1" applyFont="1" applyFill="1" applyBorder="1" applyAlignment="1">
      <alignment horizontal="center"/>
    </xf>
    <xf numFmtId="0" fontId="0" fillId="0" borderId="7" xfId="0" applyFill="1" applyBorder="1"/>
    <xf numFmtId="164" fontId="12" fillId="0" borderId="7" xfId="0" applyNumberFormat="1" applyFont="1" applyFill="1" applyBorder="1" applyAlignment="1">
      <alignment horizontal="center"/>
    </xf>
    <xf numFmtId="167" fontId="12" fillId="0" borderId="1" xfId="2" applyNumberFormat="1" applyFont="1" applyBorder="1" applyAlignment="1">
      <alignment horizontal="center"/>
    </xf>
    <xf numFmtId="164" fontId="12" fillId="0" borderId="1" xfId="0" applyNumberFormat="1" applyFont="1" applyBorder="1" applyAlignment="1">
      <alignment horizontal="center"/>
    </xf>
    <xf numFmtId="0" fontId="21" fillId="0" borderId="5" xfId="0" applyFont="1" applyFill="1" applyBorder="1"/>
    <xf numFmtId="0" fontId="21" fillId="0" borderId="0" xfId="0" applyFont="1" applyBorder="1"/>
    <xf numFmtId="0" fontId="21" fillId="0" borderId="0" xfId="0" applyFont="1" applyBorder="1" applyAlignment="1">
      <alignment horizontal="left"/>
    </xf>
    <xf numFmtId="3" fontId="21" fillId="0" borderId="6" xfId="0" applyNumberFormat="1" applyFont="1" applyBorder="1" applyAlignment="1">
      <alignment horizontal="center"/>
    </xf>
    <xf numFmtId="167" fontId="6" fillId="0" borderId="0" xfId="0" applyNumberFormat="1" applyFont="1" applyBorder="1"/>
    <xf numFmtId="0" fontId="13" fillId="0" borderId="0" xfId="0" applyFont="1" applyBorder="1"/>
    <xf numFmtId="164" fontId="6" fillId="0" borderId="0" xfId="1" applyNumberFormat="1" applyFont="1" applyBorder="1"/>
    <xf numFmtId="167" fontId="6" fillId="0" borderId="0" xfId="0" applyNumberFormat="1" applyFont="1"/>
    <xf numFmtId="164" fontId="6" fillId="0" borderId="6" xfId="1" applyNumberFormat="1" applyFont="1" applyFill="1" applyBorder="1" applyAlignment="1">
      <alignment horizontal="left"/>
    </xf>
    <xf numFmtId="9" fontId="13" fillId="0" borderId="0" xfId="0" applyNumberFormat="1" applyFont="1" applyBorder="1"/>
    <xf numFmtId="164" fontId="13" fillId="0" borderId="0" xfId="1" applyNumberFormat="1" applyFont="1" applyFill="1" applyBorder="1" applyAlignment="1">
      <alignment horizontal="center" wrapText="1"/>
    </xf>
    <xf numFmtId="0" fontId="8" fillId="0" borderId="0" xfId="0" applyFont="1" applyBorder="1"/>
    <xf numFmtId="167" fontId="6" fillId="0" borderId="0" xfId="2" applyNumberFormat="1" applyFont="1" applyBorder="1"/>
    <xf numFmtId="169" fontId="6" fillId="0" borderId="6" xfId="0" applyNumberFormat="1" applyFont="1" applyFill="1" applyBorder="1" applyAlignment="1">
      <alignment horizontal="left"/>
    </xf>
    <xf numFmtId="166" fontId="0" fillId="2" borderId="0" xfId="6" applyNumberFormat="1" applyFont="1" applyFill="1"/>
    <xf numFmtId="167" fontId="6" fillId="0" borderId="0" xfId="2" applyNumberFormat="1" applyFont="1"/>
    <xf numFmtId="9" fontId="12" fillId="0" borderId="0" xfId="2" applyFont="1" applyBorder="1" applyAlignment="1">
      <alignment horizontal="left"/>
    </xf>
    <xf numFmtId="164" fontId="12" fillId="0" borderId="0" xfId="1" applyNumberFormat="1" applyFont="1" applyFill="1" applyBorder="1" applyAlignment="1">
      <alignment horizontal="center" wrapText="1"/>
    </xf>
    <xf numFmtId="164" fontId="21" fillId="0" borderId="0" xfId="1" applyNumberFormat="1" applyFont="1" applyBorder="1"/>
    <xf numFmtId="10" fontId="21" fillId="0" borderId="0" xfId="1" applyNumberFormat="1" applyFont="1" applyBorder="1"/>
    <xf numFmtId="164" fontId="21" fillId="0" borderId="6" xfId="1" applyNumberFormat="1" applyFont="1" applyBorder="1"/>
    <xf numFmtId="9" fontId="13" fillId="0" borderId="0" xfId="2" applyFont="1" applyBorder="1" applyAlignment="1">
      <alignment horizontal="center"/>
    </xf>
    <xf numFmtId="0" fontId="6" fillId="0" borderId="8" xfId="0" applyNumberFormat="1" applyFont="1" applyFill="1" applyBorder="1" applyAlignment="1">
      <alignment horizontal="center"/>
    </xf>
    <xf numFmtId="0" fontId="21" fillId="0" borderId="5" xfId="0" applyFont="1" applyBorder="1"/>
    <xf numFmtId="0" fontId="6" fillId="0" borderId="6" xfId="0" applyNumberFormat="1" applyFont="1" applyFill="1" applyBorder="1" applyAlignment="1">
      <alignment horizontal="center"/>
    </xf>
    <xf numFmtId="0" fontId="18" fillId="0" borderId="0" xfId="0" applyNumberFormat="1" applyFont="1" applyFill="1" applyBorder="1" applyAlignment="1">
      <alignment horizontal="left"/>
    </xf>
    <xf numFmtId="0" fontId="0" fillId="0" borderId="2" xfId="0" applyBorder="1"/>
    <xf numFmtId="0" fontId="20" fillId="0" borderId="4" xfId="0" applyFont="1" applyBorder="1"/>
    <xf numFmtId="166" fontId="12" fillId="0" borderId="5" xfId="6" applyNumberFormat="1" applyFont="1" applyBorder="1"/>
    <xf numFmtId="0" fontId="25" fillId="0" borderId="0" xfId="0" applyFont="1"/>
    <xf numFmtId="44" fontId="12" fillId="0" borderId="7" xfId="6" applyFont="1" applyBorder="1"/>
    <xf numFmtId="166" fontId="12" fillId="0" borderId="1" xfId="6" applyNumberFormat="1" applyFont="1" applyBorder="1"/>
    <xf numFmtId="164" fontId="13" fillId="0" borderId="7" xfId="1" applyNumberFormat="1" applyFont="1" applyBorder="1" applyAlignment="1">
      <alignment horizontal="center"/>
    </xf>
    <xf numFmtId="170" fontId="13" fillId="0" borderId="1" xfId="1" applyNumberFormat="1" applyFont="1" applyBorder="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6" fillId="3" borderId="4" xfId="0" applyFont="1" applyFill="1" applyBorder="1" applyAlignment="1">
      <alignment horizontal="center"/>
    </xf>
    <xf numFmtId="0" fontId="23" fillId="3" borderId="4" xfId="0" applyFont="1" applyFill="1" applyBorder="1" applyAlignment="1">
      <alignment horizontal="center"/>
    </xf>
    <xf numFmtId="0" fontId="23" fillId="3" borderId="3" xfId="0" applyFont="1" applyFill="1" applyBorder="1" applyAlignment="1">
      <alignment horizontal="center"/>
    </xf>
    <xf numFmtId="2" fontId="6" fillId="0" borderId="0" xfId="0" applyNumberFormat="1" applyFont="1" applyFill="1" applyBorder="1" applyAlignment="1">
      <alignment horizontal="center"/>
    </xf>
    <xf numFmtId="0" fontId="12" fillId="0" borderId="0" xfId="0" applyFont="1" applyBorder="1" applyAlignment="1"/>
    <xf numFmtId="0" fontId="12" fillId="0" borderId="6" xfId="0" applyFont="1" applyBorder="1" applyAlignment="1"/>
    <xf numFmtId="0" fontId="12" fillId="0" borderId="0" xfId="0" applyFont="1" applyFill="1" applyBorder="1" applyAlignment="1">
      <alignment horizontal="center"/>
    </xf>
    <xf numFmtId="0" fontId="12" fillId="0" borderId="6" xfId="0"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0" fontId="21" fillId="0" borderId="0" xfId="0" applyFont="1" applyFill="1" applyBorder="1" applyAlignment="1">
      <alignment horizontal="center"/>
    </xf>
    <xf numFmtId="0" fontId="8" fillId="0" borderId="0" xfId="0" applyFont="1" applyFill="1" applyBorder="1" applyAlignment="1">
      <alignment horizontal="center"/>
    </xf>
    <xf numFmtId="0" fontId="12" fillId="0" borderId="1" xfId="0" applyFont="1" applyBorder="1" applyAlignment="1"/>
    <xf numFmtId="0" fontId="12" fillId="0" borderId="8" xfId="0" applyFont="1" applyBorder="1" applyAlignment="1"/>
    <xf numFmtId="0" fontId="26" fillId="0" borderId="0" xfId="0" applyFont="1"/>
    <xf numFmtId="0" fontId="27" fillId="0" borderId="0" xfId="0" applyFont="1"/>
    <xf numFmtId="0" fontId="28" fillId="0" borderId="0" xfId="0" applyFont="1"/>
    <xf numFmtId="0" fontId="8" fillId="0" borderId="5" xfId="0" applyFont="1" applyBorder="1"/>
    <xf numFmtId="166" fontId="8" fillId="0" borderId="0" xfId="6" applyNumberFormat="1" applyFont="1" applyBorder="1"/>
    <xf numFmtId="0" fontId="8" fillId="0" borderId="6" xfId="0" applyFont="1" applyBorder="1"/>
    <xf numFmtId="0" fontId="8" fillId="0" borderId="6" xfId="0" applyFont="1" applyFill="1" applyBorder="1"/>
    <xf numFmtId="0" fontId="8" fillId="0" borderId="7" xfId="0" applyFont="1" applyFill="1" applyBorder="1"/>
    <xf numFmtId="0" fontId="8" fillId="0" borderId="1" xfId="0" applyFont="1" applyFill="1" applyBorder="1"/>
    <xf numFmtId="0" fontId="8" fillId="0" borderId="1" xfId="0" applyFont="1" applyBorder="1"/>
    <xf numFmtId="166" fontId="8" fillId="0" borderId="1" xfId="0" applyNumberFormat="1" applyFont="1" applyBorder="1"/>
    <xf numFmtId="0" fontId="8" fillId="0" borderId="8" xfId="0" applyFont="1" applyFill="1" applyBorder="1"/>
    <xf numFmtId="0" fontId="24" fillId="0" borderId="5" xfId="0" applyFont="1" applyBorder="1"/>
    <xf numFmtId="0" fontId="24" fillId="0" borderId="0" xfId="0" applyFont="1" applyBorder="1"/>
    <xf numFmtId="0" fontId="24" fillId="0" borderId="0" xfId="0" applyFont="1" applyBorder="1" applyAlignment="1">
      <alignment horizontal="center"/>
    </xf>
    <xf numFmtId="166" fontId="24" fillId="0" borderId="0" xfId="6" applyNumberFormat="1" applyFont="1" applyBorder="1" applyAlignment="1">
      <alignment horizontal="center"/>
    </xf>
    <xf numFmtId="0" fontId="24" fillId="0" borderId="6" xfId="0" applyFont="1" applyBorder="1" applyAlignment="1">
      <alignment horizontal="center"/>
    </xf>
    <xf numFmtId="166" fontId="24" fillId="0" borderId="0" xfId="0" applyNumberFormat="1" applyFont="1" applyBorder="1"/>
    <xf numFmtId="166" fontId="24" fillId="0" borderId="6" xfId="0" applyNumberFormat="1" applyFont="1" applyBorder="1"/>
    <xf numFmtId="166" fontId="24" fillId="0" borderId="0" xfId="6" applyNumberFormat="1" applyFont="1" applyBorder="1"/>
    <xf numFmtId="164" fontId="24" fillId="0" borderId="0" xfId="6" applyNumberFormat="1" applyFont="1" applyBorder="1"/>
    <xf numFmtId="0" fontId="24" fillId="0" borderId="12" xfId="0" applyFont="1" applyBorder="1"/>
    <xf numFmtId="166" fontId="24" fillId="0" borderId="12" xfId="6" applyNumberFormat="1" applyFont="1" applyBorder="1"/>
    <xf numFmtId="164" fontId="24" fillId="0" borderId="12" xfId="0" applyNumberFormat="1" applyFont="1" applyBorder="1"/>
    <xf numFmtId="166" fontId="24" fillId="0" borderId="13" xfId="0" applyNumberFormat="1" applyFont="1" applyBorder="1"/>
    <xf numFmtId="0" fontId="24" fillId="0" borderId="7" xfId="0" applyFont="1" applyBorder="1"/>
    <xf numFmtId="0" fontId="24" fillId="0" borderId="1" xfId="0" applyFont="1" applyBorder="1"/>
    <xf numFmtId="0" fontId="24" fillId="0" borderId="1" xfId="0" applyFont="1" applyFill="1" applyBorder="1"/>
    <xf numFmtId="166" fontId="24" fillId="0" borderId="1" xfId="0" applyNumberFormat="1" applyFont="1" applyBorder="1"/>
    <xf numFmtId="166" fontId="24" fillId="0" borderId="1" xfId="6" applyNumberFormat="1" applyFont="1" applyBorder="1"/>
    <xf numFmtId="166" fontId="24" fillId="0" borderId="8" xfId="0" applyNumberFormat="1" applyFont="1" applyFill="1" applyBorder="1"/>
    <xf numFmtId="0" fontId="26" fillId="0" borderId="0" xfId="0" applyFont="1" applyFill="1" applyBorder="1"/>
    <xf numFmtId="0" fontId="27" fillId="0" borderId="0" xfId="0" applyFont="1" applyFill="1" applyBorder="1"/>
    <xf numFmtId="0" fontId="28" fillId="0" borderId="0" xfId="0" applyFont="1" applyFill="1" applyBorder="1"/>
    <xf numFmtId="0" fontId="28" fillId="4" borderId="4" xfId="0" applyFont="1" applyFill="1" applyBorder="1"/>
    <xf numFmtId="0" fontId="28" fillId="4" borderId="3" xfId="0" applyFont="1" applyFill="1" applyBorder="1"/>
    <xf numFmtId="0" fontId="24" fillId="0" borderId="5" xfId="0" applyFont="1" applyFill="1" applyBorder="1"/>
    <xf numFmtId="0" fontId="24" fillId="0" borderId="0" xfId="0" applyFont="1" applyFill="1" applyBorder="1"/>
    <xf numFmtId="166" fontId="24" fillId="0" borderId="0" xfId="6" applyNumberFormat="1" applyFont="1" applyFill="1" applyBorder="1"/>
    <xf numFmtId="0" fontId="0" fillId="0" borderId="0" xfId="0" applyFill="1" applyBorder="1" applyAlignment="1"/>
    <xf numFmtId="0" fontId="27" fillId="0" borderId="0" xfId="0" applyFont="1" applyFill="1" applyBorder="1" applyAlignment="1">
      <alignment horizontal="left"/>
    </xf>
    <xf numFmtId="0" fontId="23" fillId="3" borderId="4" xfId="0" applyFont="1" applyFill="1" applyBorder="1" applyAlignment="1">
      <alignment wrapText="1"/>
    </xf>
    <xf numFmtId="0" fontId="23" fillId="3" borderId="3" xfId="0" applyFont="1" applyFill="1" applyBorder="1" applyAlignment="1">
      <alignment wrapText="1"/>
    </xf>
    <xf numFmtId="0" fontId="19" fillId="0" borderId="5" xfId="0" applyFont="1" applyFill="1" applyBorder="1" applyAlignment="1">
      <alignment horizontal="center"/>
    </xf>
    <xf numFmtId="0" fontId="19" fillId="0" borderId="0" xfId="0" applyFont="1" applyFill="1" applyBorder="1" applyAlignment="1">
      <alignment horizontal="center"/>
    </xf>
    <xf numFmtId="0" fontId="19" fillId="0" borderId="6" xfId="0" applyFont="1" applyFill="1" applyBorder="1" applyAlignment="1">
      <alignment horizontal="center"/>
    </xf>
    <xf numFmtId="0" fontId="20" fillId="0" borderId="0" xfId="0" applyFont="1" applyFill="1" applyBorder="1" applyAlignment="1">
      <alignment horizontal="center" wrapText="1"/>
    </xf>
    <xf numFmtId="0" fontId="23" fillId="0" borderId="0" xfId="0" applyFont="1" applyFill="1" applyBorder="1" applyAlignment="1">
      <alignment horizontal="center" wrapText="1"/>
    </xf>
    <xf numFmtId="0" fontId="23" fillId="0" borderId="6" xfId="0" applyFont="1" applyFill="1" applyBorder="1" applyAlignment="1">
      <alignment horizontal="center" wrapText="1"/>
    </xf>
    <xf numFmtId="164" fontId="12" fillId="0" borderId="1" xfId="0" applyNumberFormat="1" applyFont="1" applyBorder="1"/>
    <xf numFmtId="0" fontId="12" fillId="0" borderId="6" xfId="0" applyNumberFormat="1" applyFont="1" applyFill="1" applyBorder="1" applyAlignment="1">
      <alignment horizontal="left" wrapText="1"/>
    </xf>
    <xf numFmtId="164" fontId="28" fillId="0" borderId="0" xfId="0" applyNumberFormat="1" applyFont="1"/>
    <xf numFmtId="0" fontId="8" fillId="0" borderId="0" xfId="0" applyFont="1" applyFill="1" applyAlignment="1">
      <alignment vertical="center" wrapText="1"/>
    </xf>
    <xf numFmtId="0" fontId="0" fillId="0" borderId="0" xfId="0" applyAlignment="1">
      <alignment horizontal="right"/>
    </xf>
    <xf numFmtId="166" fontId="0" fillId="5" borderId="0" xfId="6" applyNumberFormat="1" applyFont="1" applyFill="1" applyAlignment="1"/>
    <xf numFmtId="0" fontId="8" fillId="0" borderId="0" xfId="7"/>
    <xf numFmtId="10" fontId="0" fillId="5" borderId="0" xfId="0" applyNumberFormat="1" applyFill="1"/>
    <xf numFmtId="0" fontId="8" fillId="0" borderId="0" xfId="7" applyAlignment="1">
      <alignment horizontal="right"/>
    </xf>
    <xf numFmtId="164" fontId="0" fillId="5" borderId="0" xfId="8" applyNumberFormat="1" applyFont="1" applyFill="1" applyAlignment="1"/>
    <xf numFmtId="167" fontId="0" fillId="5" borderId="0" xfId="0" applyNumberFormat="1" applyFill="1"/>
    <xf numFmtId="166" fontId="0" fillId="5" borderId="17" xfId="6" applyNumberFormat="1" applyFont="1" applyFill="1" applyBorder="1" applyAlignment="1"/>
    <xf numFmtId="164" fontId="6" fillId="0" borderId="0" xfId="5" applyNumberFormat="1" applyFont="1"/>
    <xf numFmtId="0" fontId="6" fillId="0" borderId="0" xfId="5" applyFont="1"/>
    <xf numFmtId="0" fontId="0" fillId="0" borderId="5" xfId="0" applyBorder="1"/>
    <xf numFmtId="0" fontId="8" fillId="0" borderId="0" xfId="5"/>
    <xf numFmtId="0" fontId="2" fillId="0" borderId="0" xfId="5" applyFont="1"/>
    <xf numFmtId="0" fontId="8" fillId="0" borderId="0" xfId="5" applyAlignment="1">
      <alignment horizontal="center"/>
    </xf>
    <xf numFmtId="0" fontId="8" fillId="0" borderId="0" xfId="5" applyAlignment="1">
      <alignment horizontal="right"/>
    </xf>
    <xf numFmtId="0" fontId="8" fillId="0" borderId="0" xfId="5" quotePrefix="1"/>
    <xf numFmtId="0" fontId="30" fillId="0" borderId="0" xfId="5" applyFont="1"/>
    <xf numFmtId="0" fontId="14" fillId="0" borderId="0" xfId="5" applyFont="1" applyAlignment="1">
      <alignment horizontal="center"/>
    </xf>
    <xf numFmtId="0" fontId="14" fillId="0" borderId="0" xfId="5" applyFont="1"/>
    <xf numFmtId="0" fontId="14" fillId="0" borderId="0" xfId="5" applyFont="1" applyAlignment="1">
      <alignment horizontal="right"/>
    </xf>
    <xf numFmtId="0" fontId="31" fillId="0" borderId="0" xfId="5" applyFont="1"/>
    <xf numFmtId="0" fontId="32" fillId="0" borderId="0" xfId="5" applyFont="1" applyAlignment="1">
      <alignment horizontal="left"/>
    </xf>
    <xf numFmtId="0" fontId="14" fillId="0" borderId="0" xfId="5" applyFont="1" applyFill="1" applyAlignment="1">
      <alignment horizontal="center"/>
    </xf>
    <xf numFmtId="0" fontId="14" fillId="0" borderId="0" xfId="5" applyFont="1" applyAlignment="1">
      <alignment horizontal="left"/>
    </xf>
    <xf numFmtId="16" fontId="14" fillId="0" borderId="0" xfId="5" applyNumberFormat="1" applyFont="1" applyAlignment="1">
      <alignment horizontal="center"/>
    </xf>
    <xf numFmtId="0" fontId="8" fillId="0" borderId="0" xfId="5" applyAlignment="1"/>
    <xf numFmtId="0" fontId="32" fillId="0" borderId="0" xfId="5" applyFont="1" applyFill="1" applyAlignment="1">
      <alignment horizontal="left"/>
    </xf>
    <xf numFmtId="164" fontId="14" fillId="0" borderId="0" xfId="9" applyNumberFormat="1" applyFont="1"/>
    <xf numFmtId="164" fontId="31" fillId="6" borderId="0" xfId="8" applyNumberFormat="1" applyFont="1" applyFill="1" applyAlignment="1"/>
    <xf numFmtId="0" fontId="33" fillId="0" borderId="0" xfId="5" applyFont="1" applyFill="1" applyAlignment="1">
      <alignment horizontal="left"/>
    </xf>
    <xf numFmtId="0" fontId="14" fillId="0" borderId="0" xfId="3" applyFont="1" applyBorder="1" applyAlignment="1">
      <alignment horizontal="center"/>
    </xf>
    <xf numFmtId="164" fontId="14" fillId="2" borderId="0" xfId="8" applyNumberFormat="1" applyFont="1" applyFill="1"/>
    <xf numFmtId="164" fontId="14" fillId="2" borderId="0" xfId="9" applyNumberFormat="1" applyFont="1" applyFill="1"/>
    <xf numFmtId="0" fontId="14" fillId="2" borderId="0" xfId="5" applyFont="1" applyFill="1"/>
    <xf numFmtId="164" fontId="14" fillId="0" borderId="0" xfId="5" applyNumberFormat="1" applyFont="1"/>
    <xf numFmtId="164" fontId="14" fillId="0" borderId="0" xfId="9" applyNumberFormat="1" applyFont="1" applyFill="1"/>
    <xf numFmtId="43" fontId="14" fillId="0" borderId="0" xfId="5" applyNumberFormat="1" applyFont="1"/>
    <xf numFmtId="166" fontId="14" fillId="0" borderId="0" xfId="5" applyNumberFormat="1" applyFont="1"/>
    <xf numFmtId="164" fontId="14" fillId="6" borderId="0" xfId="10" applyNumberFormat="1" applyFont="1" applyFill="1"/>
    <xf numFmtId="166" fontId="14" fillId="0" borderId="0" xfId="10" applyNumberFormat="1" applyFont="1"/>
    <xf numFmtId="0" fontId="14" fillId="0" borderId="0" xfId="5" applyFont="1" applyBorder="1" applyAlignment="1">
      <alignment horizontal="center"/>
    </xf>
    <xf numFmtId="0" fontId="14" fillId="0" borderId="0" xfId="5" applyFont="1" applyBorder="1"/>
    <xf numFmtId="0" fontId="34" fillId="0" borderId="0" xfId="5" applyFont="1" applyBorder="1"/>
    <xf numFmtId="164" fontId="14" fillId="6" borderId="0" xfId="10" applyNumberFormat="1" applyFont="1" applyFill="1" applyAlignment="1">
      <alignment horizontal="left"/>
    </xf>
    <xf numFmtId="166" fontId="14" fillId="0" borderId="0" xfId="10" applyNumberFormat="1" applyFont="1" applyFill="1" applyAlignment="1">
      <alignment horizontal="left"/>
    </xf>
    <xf numFmtId="166" fontId="14" fillId="0" borderId="0" xfId="10" applyNumberFormat="1" applyFont="1" applyAlignment="1">
      <alignment horizontal="left"/>
    </xf>
    <xf numFmtId="3" fontId="14" fillId="0" borderId="0" xfId="5" applyNumberFormat="1" applyFont="1"/>
    <xf numFmtId="0" fontId="14" fillId="0" borderId="0" xfId="5" applyFont="1" applyFill="1" applyAlignment="1"/>
    <xf numFmtId="0" fontId="8" fillId="0" borderId="0" xfId="5" applyFont="1" applyFill="1" applyAlignment="1"/>
    <xf numFmtId="5" fontId="35" fillId="0" borderId="0" xfId="0" applyNumberFormat="1" applyFont="1"/>
    <xf numFmtId="0" fontId="8" fillId="0" borderId="0" xfId="5" applyAlignment="1">
      <alignment wrapText="1"/>
    </xf>
    <xf numFmtId="0" fontId="14" fillId="0" borderId="0" xfId="5" applyFont="1" applyFill="1"/>
    <xf numFmtId="166" fontId="14" fillId="3" borderId="0" xfId="5" applyNumberFormat="1" applyFont="1" applyFill="1"/>
    <xf numFmtId="0" fontId="14" fillId="0" borderId="0" xfId="10" applyNumberFormat="1" applyFont="1" applyFill="1" applyAlignment="1">
      <alignment horizontal="left"/>
    </xf>
    <xf numFmtId="5" fontId="14" fillId="2" borderId="0" xfId="8" applyNumberFormat="1" applyFont="1" applyFill="1"/>
    <xf numFmtId="164" fontId="14" fillId="2" borderId="0" xfId="11" applyNumberFormat="1" applyFont="1" applyFill="1"/>
    <xf numFmtId="3" fontId="14" fillId="2" borderId="0" xfId="10" applyNumberFormat="1" applyFont="1" applyFill="1"/>
    <xf numFmtId="0" fontId="14" fillId="2" borderId="0" xfId="7" applyFont="1" applyFill="1"/>
    <xf numFmtId="5" fontId="0" fillId="0" borderId="0" xfId="0" applyNumberFormat="1"/>
    <xf numFmtId="164" fontId="8" fillId="0" borderId="0" xfId="5" applyNumberFormat="1"/>
    <xf numFmtId="44" fontId="14" fillId="0" borderId="0" xfId="5" applyNumberFormat="1" applyFont="1"/>
    <xf numFmtId="164" fontId="14" fillId="6" borderId="0" xfId="9" applyNumberFormat="1" applyFont="1" applyFill="1" applyAlignment="1">
      <alignment horizontal="left"/>
    </xf>
    <xf numFmtId="164" fontId="33" fillId="0" borderId="0" xfId="5" applyNumberFormat="1" applyFont="1" applyFill="1"/>
    <xf numFmtId="0" fontId="33" fillId="0" borderId="0" xfId="5" applyFont="1" applyFill="1"/>
    <xf numFmtId="164" fontId="14" fillId="0" borderId="0" xfId="5" applyNumberFormat="1" applyFont="1" applyFill="1"/>
    <xf numFmtId="43" fontId="14" fillId="2" borderId="0" xfId="8" applyFont="1" applyFill="1"/>
    <xf numFmtId="164" fontId="14" fillId="0" borderId="0" xfId="8" applyNumberFormat="1" applyFont="1" applyFill="1"/>
    <xf numFmtId="164" fontId="14" fillId="6" borderId="0" xfId="5" applyNumberFormat="1" applyFont="1" applyFill="1"/>
    <xf numFmtId="164" fontId="14" fillId="0" borderId="0" xfId="8" applyNumberFormat="1" applyFont="1"/>
    <xf numFmtId="0" fontId="36" fillId="0" borderId="0" xfId="7" applyFont="1" applyFill="1" applyAlignment="1">
      <alignment horizontal="left"/>
    </xf>
    <xf numFmtId="0" fontId="0" fillId="0" borderId="0" xfId="0" applyFill="1" applyAlignment="1"/>
    <xf numFmtId="43" fontId="14" fillId="0" borderId="0" xfId="8" applyFont="1"/>
    <xf numFmtId="164" fontId="14" fillId="0" borderId="0" xfId="5" applyNumberFormat="1" applyFont="1" applyAlignment="1">
      <alignment horizontal="left"/>
    </xf>
    <xf numFmtId="0" fontId="14" fillId="0" borderId="0" xfId="5" applyNumberFormat="1" applyFont="1" applyAlignment="1">
      <alignment horizontal="left"/>
    </xf>
    <xf numFmtId="165" fontId="14" fillId="2" borderId="0" xfId="12" applyNumberFormat="1" applyFont="1" applyFill="1"/>
    <xf numFmtId="164" fontId="14" fillId="0" borderId="0" xfId="5" applyNumberFormat="1" applyFont="1" applyAlignment="1">
      <alignment horizontal="center"/>
    </xf>
    <xf numFmtId="0" fontId="14" fillId="0" borderId="0" xfId="5" applyFont="1" applyFill="1" applyAlignment="1">
      <alignment horizontal="left"/>
    </xf>
    <xf numFmtId="165" fontId="14" fillId="0" borderId="0" xfId="12" applyNumberFormat="1" applyFont="1"/>
    <xf numFmtId="165" fontId="14" fillId="0" borderId="0" xfId="5" applyNumberFormat="1" applyFont="1"/>
    <xf numFmtId="0" fontId="14" fillId="0" borderId="0" xfId="5" applyFont="1" applyAlignment="1">
      <alignment horizontal="center" wrapText="1"/>
    </xf>
    <xf numFmtId="167" fontId="14" fillId="0" borderId="0" xfId="12" applyNumberFormat="1" applyFont="1"/>
    <xf numFmtId="6" fontId="14" fillId="0" borderId="0" xfId="5" applyNumberFormat="1" applyFont="1"/>
    <xf numFmtId="0" fontId="36" fillId="0" borderId="0" xfId="5" applyFont="1" applyAlignment="1">
      <alignment horizontal="right"/>
    </xf>
    <xf numFmtId="164" fontId="36" fillId="0" borderId="0" xfId="5" applyNumberFormat="1" applyFont="1"/>
    <xf numFmtId="0" fontId="36" fillId="0" borderId="0" xfId="5" applyFont="1" applyFill="1" applyAlignment="1">
      <alignment horizontal="left"/>
    </xf>
    <xf numFmtId="166" fontId="14" fillId="0" borderId="0" xfId="5" applyNumberFormat="1" applyFont="1" applyFill="1"/>
    <xf numFmtId="0" fontId="36" fillId="0" borderId="0" xfId="7" applyFont="1" applyAlignment="1">
      <alignment horizontal="center"/>
    </xf>
    <xf numFmtId="164" fontId="36" fillId="0" borderId="0" xfId="7" applyNumberFormat="1" applyFont="1"/>
    <xf numFmtId="164" fontId="36" fillId="0" borderId="0" xfId="5" applyNumberFormat="1" applyFont="1" applyFill="1"/>
    <xf numFmtId="0" fontId="36" fillId="0" borderId="0" xfId="7" quotePrefix="1" applyFont="1" applyAlignment="1">
      <alignment horizontal="center"/>
    </xf>
    <xf numFmtId="0" fontId="36" fillId="0" borderId="0" xfId="5" applyFont="1" applyFill="1"/>
    <xf numFmtId="0" fontId="36" fillId="0" borderId="0" xfId="7" applyFont="1" applyAlignment="1">
      <alignment horizontal="right"/>
    </xf>
    <xf numFmtId="0" fontId="14" fillId="0" borderId="0" xfId="5" applyFont="1" applyAlignment="1"/>
    <xf numFmtId="166" fontId="14" fillId="0" borderId="0" xfId="5" applyNumberFormat="1" applyFont="1" applyAlignment="1">
      <alignment horizontal="center"/>
    </xf>
    <xf numFmtId="0" fontId="6" fillId="0" borderId="0" xfId="5" applyFont="1" applyAlignment="1">
      <alignment horizontal="center"/>
    </xf>
    <xf numFmtId="0" fontId="8" fillId="0" borderId="0" xfId="5" applyFill="1" applyBorder="1" applyAlignment="1">
      <alignment horizontal="center"/>
    </xf>
    <xf numFmtId="0" fontId="8" fillId="0" borderId="0" xfId="5" applyFill="1" applyBorder="1"/>
    <xf numFmtId="0" fontId="25" fillId="0" borderId="0" xfId="0" applyFont="1" applyAlignment="1">
      <alignment horizontal="center"/>
    </xf>
    <xf numFmtId="0" fontId="25" fillId="0" borderId="0" xfId="0" applyFont="1" applyFill="1"/>
    <xf numFmtId="164" fontId="25" fillId="0" borderId="0" xfId="8" applyNumberFormat="1" applyFont="1"/>
    <xf numFmtId="10" fontId="25" fillId="0" borderId="0" xfId="12" applyNumberFormat="1" applyFont="1" applyFill="1"/>
    <xf numFmtId="0" fontId="37" fillId="7" borderId="0" xfId="0" applyFont="1" applyFill="1"/>
    <xf numFmtId="0" fontId="25" fillId="7" borderId="0" xfId="0" applyFont="1" applyFill="1"/>
    <xf numFmtId="0" fontId="25" fillId="0" borderId="0" xfId="0" applyFont="1" applyAlignment="1">
      <alignment wrapText="1"/>
    </xf>
    <xf numFmtId="0" fontId="25" fillId="0" borderId="0" xfId="0" applyFont="1" applyAlignment="1">
      <alignment horizontal="left"/>
    </xf>
    <xf numFmtId="0" fontId="25" fillId="0" borderId="0" xfId="0" applyNumberFormat="1" applyFont="1" applyFill="1" applyAlignment="1">
      <alignment horizontal="center"/>
    </xf>
    <xf numFmtId="0" fontId="25" fillId="0" borderId="0" xfId="0" applyNumberFormat="1" applyFont="1" applyFill="1" applyAlignment="1">
      <alignment horizontal="left"/>
    </xf>
    <xf numFmtId="3" fontId="7" fillId="0" borderId="0" xfId="0" applyNumberFormat="1" applyFont="1" applyBorder="1" applyAlignment="1"/>
    <xf numFmtId="0" fontId="25" fillId="0" borderId="0" xfId="0" applyFont="1" applyBorder="1" applyAlignment="1"/>
    <xf numFmtId="0" fontId="25" fillId="0" borderId="0" xfId="0" applyFont="1" applyAlignment="1"/>
    <xf numFmtId="3" fontId="25" fillId="0" borderId="0" xfId="0" applyNumberFormat="1" applyFont="1" applyBorder="1" applyAlignment="1">
      <alignment horizontal="left"/>
    </xf>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171" fontId="25" fillId="0" borderId="12" xfId="13" applyFont="1" applyBorder="1" applyAlignment="1">
      <alignment vertical="center"/>
    </xf>
    <xf numFmtId="3" fontId="25" fillId="0" borderId="12" xfId="0" applyNumberFormat="1" applyFont="1" applyBorder="1" applyAlignment="1">
      <alignment horizontal="left"/>
    </xf>
    <xf numFmtId="3" fontId="25" fillId="0" borderId="12" xfId="0" applyNumberFormat="1" applyFont="1" applyBorder="1" applyAlignment="1"/>
    <xf numFmtId="0" fontId="25" fillId="0" borderId="0" xfId="0" applyFont="1" applyBorder="1" applyAlignment="1">
      <alignment horizontal="left"/>
    </xf>
    <xf numFmtId="3" fontId="25" fillId="0" borderId="0" xfId="0" applyNumberFormat="1" applyFont="1" applyAlignment="1"/>
    <xf numFmtId="3" fontId="25" fillId="0" borderId="0" xfId="0" applyNumberFormat="1" applyFont="1" applyFill="1" applyAlignment="1"/>
    <xf numFmtId="3" fontId="7" fillId="0" borderId="0" xfId="0" applyNumberFormat="1" applyFont="1" applyAlignment="1">
      <alignment horizontal="left"/>
    </xf>
    <xf numFmtId="3" fontId="25" fillId="0" borderId="0" xfId="0" applyNumberFormat="1" applyFont="1" applyAlignment="1">
      <alignment horizontal="left"/>
    </xf>
    <xf numFmtId="0" fontId="25" fillId="0" borderId="0" xfId="0" applyNumberFormat="1" applyFont="1" applyAlignment="1"/>
    <xf numFmtId="0" fontId="7" fillId="0" borderId="0" xfId="0" applyNumberFormat="1" applyFont="1" applyAlignment="1">
      <alignment horizontal="left"/>
    </xf>
    <xf numFmtId="3" fontId="25" fillId="0" borderId="0" xfId="0" applyNumberFormat="1" applyFont="1" applyFill="1" applyAlignment="1">
      <alignment horizontal="left"/>
    </xf>
    <xf numFmtId="3" fontId="25" fillId="0" borderId="12" xfId="0" applyNumberFormat="1" applyFont="1" applyFill="1" applyBorder="1" applyAlignment="1"/>
    <xf numFmtId="3" fontId="25" fillId="0" borderId="12" xfId="0" applyNumberFormat="1" applyFont="1" applyFill="1" applyBorder="1" applyAlignment="1">
      <alignment horizontal="left"/>
    </xf>
    <xf numFmtId="0" fontId="25" fillId="0" borderId="0" xfId="0" applyFont="1" applyFill="1" applyBorder="1" applyAlignment="1">
      <alignment horizontal="left"/>
    </xf>
    <xf numFmtId="0" fontId="25" fillId="0" borderId="0" xfId="0" applyNumberFormat="1" applyFont="1" applyBorder="1"/>
    <xf numFmtId="0" fontId="25" fillId="0" borderId="0" xfId="0" applyFont="1" applyFill="1" applyAlignment="1">
      <alignment horizontal="left"/>
    </xf>
    <xf numFmtId="0" fontId="25" fillId="0" borderId="0" xfId="0" applyFont="1" applyFill="1" applyAlignment="1"/>
    <xf numFmtId="0" fontId="25" fillId="0" borderId="19" xfId="0" applyFont="1" applyFill="1" applyBorder="1" applyAlignment="1"/>
    <xf numFmtId="0" fontId="25" fillId="0" borderId="19" xfId="0" applyNumberFormat="1" applyFont="1" applyFill="1" applyBorder="1" applyAlignment="1"/>
    <xf numFmtId="3" fontId="25" fillId="0" borderId="19" xfId="0" applyNumberFormat="1" applyFont="1" applyFill="1" applyBorder="1" applyAlignment="1"/>
    <xf numFmtId="0" fontId="25" fillId="0" borderId="0" xfId="0" applyNumberFormat="1" applyFont="1" applyFill="1" applyAlignment="1"/>
    <xf numFmtId="0" fontId="25" fillId="0" borderId="19" xfId="0" applyFont="1" applyBorder="1" applyAlignment="1"/>
    <xf numFmtId="0" fontId="7" fillId="0" borderId="19" xfId="0" applyNumberFormat="1" applyFont="1" applyBorder="1" applyAlignment="1"/>
    <xf numFmtId="0" fontId="25" fillId="0" borderId="19" xfId="0" applyFont="1" applyBorder="1" applyAlignment="1">
      <alignment horizontal="left"/>
    </xf>
    <xf numFmtId="3" fontId="25" fillId="0" borderId="19" xfId="0" applyNumberFormat="1" applyFont="1" applyBorder="1" applyAlignment="1"/>
    <xf numFmtId="3" fontId="25" fillId="0" borderId="0" xfId="0" applyNumberFormat="1" applyFont="1" applyFill="1" applyAlignment="1">
      <alignment horizontal="center"/>
    </xf>
    <xf numFmtId="0" fontId="25" fillId="0" borderId="0" xfId="0" applyNumberFormat="1" applyFont="1" applyFill="1" applyBorder="1" applyAlignment="1"/>
    <xf numFmtId="0" fontId="25" fillId="0" borderId="0" xfId="0" applyNumberFormat="1" applyFont="1" applyBorder="1" applyAlignment="1">
      <alignment horizontal="left"/>
    </xf>
    <xf numFmtId="9" fontId="25" fillId="0" borderId="0" xfId="0" applyNumberFormat="1" applyFont="1" applyFill="1" applyAlignment="1"/>
    <xf numFmtId="172" fontId="25" fillId="0" borderId="0" xfId="0" applyNumberFormat="1" applyFont="1" applyFill="1" applyAlignment="1"/>
    <xf numFmtId="173" fontId="25" fillId="0" borderId="0" xfId="8" applyNumberFormat="1" applyFont="1" applyFill="1" applyBorder="1" applyAlignment="1"/>
    <xf numFmtId="3" fontId="25" fillId="0" borderId="0" xfId="0" quotePrefix="1" applyNumberFormat="1" applyFont="1" applyAlignment="1">
      <alignment horizontal="right"/>
    </xf>
    <xf numFmtId="172" fontId="25" fillId="0" borderId="0" xfId="0" applyNumberFormat="1" applyFont="1" applyAlignment="1"/>
    <xf numFmtId="0" fontId="25" fillId="0" borderId="0" xfId="0" applyFont="1" applyAlignment="1">
      <alignment horizontal="right"/>
    </xf>
    <xf numFmtId="0" fontId="25" fillId="0" borderId="12" xfId="0" applyNumberFormat="1" applyFont="1" applyBorder="1" applyAlignment="1">
      <alignment horizontal="left"/>
    </xf>
    <xf numFmtId="0" fontId="25" fillId="0" borderId="12" xfId="0" applyNumberFormat="1" applyFont="1" applyBorder="1" applyAlignment="1"/>
    <xf numFmtId="3" fontId="25" fillId="0" borderId="12" xfId="0" applyNumberFormat="1" applyFont="1" applyBorder="1" applyAlignment="1">
      <alignment horizontal="right"/>
    </xf>
    <xf numFmtId="172" fontId="25"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2"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5" fillId="0" borderId="20" xfId="0" applyFont="1" applyBorder="1"/>
    <xf numFmtId="3" fontId="7" fillId="0" borderId="20" xfId="0" applyNumberFormat="1" applyFont="1" applyBorder="1" applyAlignment="1">
      <alignment horizontal="left"/>
    </xf>
    <xf numFmtId="174" fontId="7" fillId="0" borderId="20" xfId="0" applyNumberFormat="1" applyFont="1" applyBorder="1" applyAlignment="1">
      <alignment horizontal="center"/>
    </xf>
    <xf numFmtId="3" fontId="7" fillId="0" borderId="20" xfId="0" applyNumberFormat="1" applyFont="1" applyBorder="1" applyAlignment="1"/>
    <xf numFmtId="0" fontId="39" fillId="7" borderId="0" xfId="0" applyFont="1" applyFill="1" applyAlignment="1">
      <alignment horizontal="left"/>
    </xf>
    <xf numFmtId="0" fontId="39" fillId="7" borderId="0" xfId="0" applyFont="1" applyFill="1" applyAlignment="1"/>
    <xf numFmtId="0" fontId="40" fillId="7" borderId="0" xfId="0" applyNumberFormat="1" applyFont="1" applyFill="1" applyAlignment="1">
      <alignment horizontal="left"/>
    </xf>
    <xf numFmtId="0" fontId="25" fillId="7" borderId="0" xfId="0" applyFont="1" applyFill="1" applyAlignment="1"/>
    <xf numFmtId="0" fontId="40" fillId="7" borderId="0" xfId="0" applyNumberFormat="1" applyFont="1" applyFill="1" applyAlignment="1">
      <alignment horizontal="center"/>
    </xf>
    <xf numFmtId="0" fontId="25" fillId="7" borderId="0" xfId="0" applyFont="1" applyFill="1" applyBorder="1" applyAlignment="1">
      <alignment horizontal="center" wrapText="1"/>
    </xf>
    <xf numFmtId="0" fontId="7" fillId="0" borderId="0" xfId="0" applyNumberFormat="1" applyFont="1" applyFill="1" applyAlignment="1"/>
    <xf numFmtId="3" fontId="25" fillId="0" borderId="0" xfId="0" applyNumberFormat="1" applyFont="1" applyAlignment="1">
      <alignment horizontal="center"/>
    </xf>
    <xf numFmtId="165" fontId="7" fillId="0" borderId="0" xfId="12" applyNumberFormat="1" applyFont="1" applyAlignment="1"/>
    <xf numFmtId="167" fontId="7" fillId="0" borderId="0" xfId="0" applyNumberFormat="1" applyFont="1" applyBorder="1" applyAlignment="1">
      <alignment horizontal="left"/>
    </xf>
    <xf numFmtId="174" fontId="25" fillId="0" borderId="0" xfId="0" applyNumberFormat="1" applyFont="1" applyAlignment="1">
      <alignment horizontal="center"/>
    </xf>
    <xf numFmtId="3" fontId="41" fillId="0" borderId="0" xfId="0" applyNumberFormat="1" applyFont="1"/>
    <xf numFmtId="0" fontId="42" fillId="0" borderId="0" xfId="0" applyNumberFormat="1" applyFont="1" applyFill="1"/>
    <xf numFmtId="10" fontId="42" fillId="0" borderId="0" xfId="0" applyNumberFormat="1" applyFont="1" applyFill="1"/>
    <xf numFmtId="168" fontId="25" fillId="0" borderId="0" xfId="0" applyNumberFormat="1" applyFont="1" applyAlignment="1"/>
    <xf numFmtId="167" fontId="25" fillId="0" borderId="0" xfId="0" applyNumberFormat="1" applyFont="1" applyAlignment="1">
      <alignment horizontal="left"/>
    </xf>
    <xf numFmtId="167" fontId="25" fillId="0" borderId="0" xfId="0" applyNumberFormat="1" applyFont="1" applyAlignment="1">
      <alignment horizontal="center"/>
    </xf>
    <xf numFmtId="10" fontId="25" fillId="0" borderId="0" xfId="0" applyNumberFormat="1" applyFont="1" applyFill="1" applyAlignment="1">
      <alignment horizontal="right"/>
    </xf>
    <xf numFmtId="10" fontId="25" fillId="0" borderId="0" xfId="12" applyNumberFormat="1" applyFont="1" applyFill="1" applyAlignment="1"/>
    <xf numFmtId="164" fontId="42" fillId="0" borderId="0" xfId="0" applyNumberFormat="1" applyFont="1" applyFill="1"/>
    <xf numFmtId="9" fontId="42" fillId="0" borderId="0" xfId="0" applyNumberFormat="1" applyFont="1" applyFill="1"/>
    <xf numFmtId="0" fontId="25" fillId="0" borderId="0" xfId="0" applyNumberFormat="1" applyFont="1" applyBorder="1" applyAlignment="1">
      <alignment horizontal="center"/>
    </xf>
    <xf numFmtId="0" fontId="43" fillId="0" borderId="12" xfId="0" applyNumberFormat="1" applyFont="1" applyFill="1" applyBorder="1" applyAlignment="1">
      <alignment horizontal="left"/>
    </xf>
    <xf numFmtId="0" fontId="25" fillId="0" borderId="12" xfId="0" applyFont="1" applyFill="1" applyBorder="1" applyAlignment="1">
      <alignment horizontal="left"/>
    </xf>
    <xf numFmtId="0" fontId="25" fillId="0" borderId="12" xfId="0" applyNumberFormat="1" applyFont="1" applyBorder="1" applyAlignment="1">
      <alignment horizontal="center"/>
    </xf>
    <xf numFmtId="3" fontId="41" fillId="0" borderId="12" xfId="0" applyNumberFormat="1" applyFont="1" applyBorder="1"/>
    <xf numFmtId="3" fontId="44" fillId="0" borderId="0" xfId="0" applyNumberFormat="1" applyFont="1" applyBorder="1" applyAlignment="1">
      <alignment horizontal="right"/>
    </xf>
    <xf numFmtId="165" fontId="25" fillId="0" borderId="0" xfId="0" applyNumberFormat="1" applyFont="1" applyBorder="1" applyAlignment="1">
      <alignment horizontal="right"/>
    </xf>
    <xf numFmtId="0" fontId="7" fillId="0" borderId="19" xfId="0" applyNumberFormat="1" applyFont="1" applyBorder="1" applyAlignment="1">
      <alignment horizontal="left"/>
    </xf>
    <xf numFmtId="0" fontId="45" fillId="0" borderId="19" xfId="0" applyNumberFormat="1" applyFont="1" applyFill="1" applyBorder="1" applyAlignment="1">
      <alignment horizontal="center"/>
    </xf>
    <xf numFmtId="3" fontId="44" fillId="0" borderId="19" xfId="0" applyNumberFormat="1" applyFont="1" applyBorder="1" applyAlignment="1">
      <alignment horizontal="right"/>
    </xf>
    <xf numFmtId="3" fontId="40" fillId="0" borderId="19" xfId="0" applyNumberFormat="1" applyFont="1" applyBorder="1" applyAlignment="1">
      <alignment horizontal="right"/>
    </xf>
    <xf numFmtId="0" fontId="7" fillId="0" borderId="0" xfId="0" applyNumberFormat="1" applyFont="1" applyBorder="1" applyAlignment="1">
      <alignment horizontal="left"/>
    </xf>
    <xf numFmtId="0" fontId="25" fillId="0" borderId="0" xfId="0" applyFont="1" applyFill="1" applyBorder="1" applyAlignment="1"/>
    <xf numFmtId="0" fontId="46" fillId="0" borderId="0" xfId="0" applyNumberFormat="1" applyFont="1" applyFill="1" applyBorder="1" applyAlignment="1">
      <alignment horizontal="center"/>
    </xf>
    <xf numFmtId="3" fontId="46" fillId="0" borderId="0" xfId="0" applyNumberFormat="1" applyFont="1" applyBorder="1" applyAlignment="1"/>
    <xf numFmtId="3" fontId="47" fillId="0" borderId="0" xfId="0" applyNumberFormat="1" applyFont="1" applyBorder="1" applyAlignment="1">
      <alignment horizontal="right"/>
    </xf>
    <xf numFmtId="3" fontId="48" fillId="0" borderId="0" xfId="0" applyNumberFormat="1" applyFont="1" applyBorder="1" applyAlignment="1">
      <alignment horizontal="right"/>
    </xf>
    <xf numFmtId="10" fontId="16" fillId="0" borderId="0" xfId="0" applyNumberFormat="1" applyFont="1" applyFill="1" applyAlignment="1">
      <alignment horizontal="right"/>
    </xf>
    <xf numFmtId="0" fontId="7" fillId="0" borderId="0" xfId="0" applyFont="1"/>
    <xf numFmtId="164" fontId="25" fillId="0" borderId="0" xfId="8" applyNumberFormat="1" applyFont="1" applyFill="1" applyAlignment="1"/>
    <xf numFmtId="0" fontId="25" fillId="0" borderId="0" xfId="0" applyNumberFormat="1" applyFont="1" applyFill="1" applyBorder="1" applyAlignment="1">
      <alignment horizontal="center"/>
    </xf>
    <xf numFmtId="3" fontId="43"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4" fontId="7" fillId="0" borderId="20" xfId="0" applyNumberFormat="1" applyFont="1" applyBorder="1" applyAlignment="1"/>
    <xf numFmtId="164" fontId="7" fillId="0" borderId="20" xfId="8" applyNumberFormat="1" applyFont="1" applyFill="1" applyBorder="1" applyAlignment="1">
      <alignment horizontal="right"/>
    </xf>
    <xf numFmtId="3" fontId="25" fillId="0" borderId="0" xfId="0" applyNumberFormat="1" applyFont="1" applyFill="1" applyAlignment="1">
      <alignment horizontal="right"/>
    </xf>
    <xf numFmtId="174" fontId="25" fillId="0" borderId="0" xfId="0" applyNumberFormat="1" applyFont="1" applyAlignment="1"/>
    <xf numFmtId="175" fontId="25"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164" fontId="24" fillId="0" borderId="0" xfId="8" applyNumberFormat="1" applyFont="1" applyFill="1" applyAlignment="1">
      <alignment wrapText="1"/>
    </xf>
    <xf numFmtId="164" fontId="8" fillId="0" borderId="0" xfId="8" applyNumberFormat="1" applyFont="1" applyFill="1" applyAlignment="1">
      <alignment wrapText="1"/>
    </xf>
    <xf numFmtId="0" fontId="0" fillId="0" borderId="0" xfId="0" applyAlignment="1">
      <alignment horizontal="left" wrapText="1"/>
    </xf>
    <xf numFmtId="0" fontId="8" fillId="0" borderId="0" xfId="0" applyFont="1" applyAlignment="1"/>
    <xf numFmtId="164" fontId="0" fillId="0" borderId="0" xfId="8" applyNumberFormat="1" applyFont="1" applyBorder="1"/>
    <xf numFmtId="164" fontId="8" fillId="0" borderId="0" xfId="8" applyNumberFormat="1" applyFont="1" applyFill="1" applyBorder="1" applyAlignment="1">
      <alignment wrapText="1"/>
    </xf>
    <xf numFmtId="0" fontId="4" fillId="0" borderId="0" xfId="0" applyFont="1" applyFill="1"/>
    <xf numFmtId="0" fontId="4" fillId="0" borderId="0" xfId="0" applyFont="1" applyAlignment="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Alignment="1">
      <alignment vertical="center" wrapText="1"/>
    </xf>
    <xf numFmtId="164" fontId="0" fillId="0" borderId="0" xfId="8" applyNumberFormat="1" applyFont="1" applyFill="1" applyAlignment="1">
      <alignment vertical="center" wrapText="1"/>
    </xf>
    <xf numFmtId="166" fontId="0" fillId="0" borderId="0" xfId="0" applyNumberFormat="1" applyFill="1"/>
    <xf numFmtId="0" fontId="0" fillId="0" borderId="0" xfId="0" applyFill="1" applyAlignment="1">
      <alignment vertical="top"/>
    </xf>
    <xf numFmtId="164" fontId="8" fillId="2" borderId="0" xfId="8" applyNumberFormat="1" applyFill="1" applyAlignment="1">
      <alignment wrapText="1"/>
    </xf>
    <xf numFmtId="164" fontId="8" fillId="0" borderId="0" xfId="8" applyNumberFormat="1" applyFill="1" applyAlignment="1">
      <alignment wrapText="1"/>
    </xf>
    <xf numFmtId="164" fontId="0" fillId="0" borderId="0" xfId="8" applyNumberFormat="1" applyFont="1" applyFill="1" applyAlignment="1">
      <alignment wrapText="1"/>
    </xf>
    <xf numFmtId="0" fontId="29" fillId="0" borderId="0" xfId="0" applyFont="1" applyAlignment="1">
      <alignment wrapText="1"/>
    </xf>
    <xf numFmtId="164" fontId="8" fillId="2" borderId="0" xfId="8" applyNumberFormat="1" applyFill="1" applyAlignment="1">
      <alignment vertical="center" wrapText="1"/>
    </xf>
    <xf numFmtId="164" fontId="8" fillId="0" borderId="0" xfId="8" applyNumberFormat="1" applyFill="1" applyAlignment="1">
      <alignment vertical="center" wrapText="1"/>
    </xf>
    <xf numFmtId="164" fontId="8" fillId="2" borderId="0" xfId="8" applyNumberFormat="1" applyFill="1" applyAlignment="1"/>
    <xf numFmtId="164" fontId="8" fillId="0" borderId="0" xfId="8" applyNumberFormat="1" applyFill="1" applyAlignment="1"/>
    <xf numFmtId="0" fontId="8" fillId="0" borderId="0" xfId="0" applyFont="1" applyFill="1"/>
    <xf numFmtId="164" fontId="0" fillId="2" borderId="0" xfId="8" applyNumberFormat="1" applyFont="1" applyFill="1" applyAlignment="1"/>
    <xf numFmtId="0" fontId="49"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0" fillId="0" borderId="0" xfId="0" applyAlignment="1">
      <alignment wrapText="1"/>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4" fillId="0" borderId="0" xfId="12" applyNumberFormat="1" applyFont="1"/>
    <xf numFmtId="164" fontId="4" fillId="0" borderId="0" xfId="0" applyNumberFormat="1" applyFont="1"/>
    <xf numFmtId="164" fontId="6" fillId="0" borderId="0" xfId="8" applyNumberFormat="1" applyFont="1" applyFill="1" applyAlignment="1">
      <alignment vertical="center" wrapText="1"/>
    </xf>
    <xf numFmtId="164" fontId="0" fillId="0" borderId="0" xfId="0" applyNumberFormat="1" applyFill="1"/>
    <xf numFmtId="164" fontId="0" fillId="0" borderId="0" xfId="12" applyNumberFormat="1" applyFont="1"/>
    <xf numFmtId="166" fontId="4" fillId="0" borderId="0" xfId="0" applyNumberFormat="1" applyFont="1"/>
    <xf numFmtId="0" fontId="4" fillId="0" borderId="0" xfId="0" quotePrefix="1" applyFont="1"/>
    <xf numFmtId="43"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0" fontId="0" fillId="0" borderId="0" xfId="0" applyFill="1" applyAlignment="1">
      <alignment wrapText="1"/>
    </xf>
    <xf numFmtId="164" fontId="8" fillId="2" borderId="0" xfId="8" applyNumberFormat="1" applyFont="1" applyFill="1" applyAlignment="1"/>
    <xf numFmtId="164" fontId="24" fillId="0" borderId="0" xfId="8" applyNumberFormat="1" applyFont="1" applyFill="1" applyAlignment="1"/>
    <xf numFmtId="0" fontId="24"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43" fontId="0" fillId="0" borderId="0" xfId="8" applyFont="1" applyFill="1" applyBorder="1"/>
    <xf numFmtId="164" fontId="8" fillId="0" borderId="0" xfId="0" applyNumberFormat="1" applyFont="1" applyFill="1" applyBorder="1"/>
    <xf numFmtId="43" fontId="0" fillId="0" borderId="0" xfId="8" applyFont="1"/>
    <xf numFmtId="37" fontId="8" fillId="0" borderId="0" xfId="14" applyNumberFormat="1" applyFill="1"/>
    <xf numFmtId="0" fontId="50" fillId="0" borderId="0" xfId="15" applyFont="1" applyFill="1" applyAlignment="1">
      <alignment horizontal="center"/>
    </xf>
    <xf numFmtId="0" fontId="8" fillId="0" borderId="0" xfId="16"/>
    <xf numFmtId="0" fontId="7" fillId="0" borderId="0" xfId="15" applyFont="1" applyFill="1" applyAlignment="1">
      <alignment horizontal="center" wrapText="1"/>
    </xf>
    <xf numFmtId="0" fontId="8" fillId="0" borderId="0" xfId="16" applyFill="1"/>
    <xf numFmtId="0" fontId="51" fillId="0" borderId="0" xfId="15" applyFont="1" applyFill="1" applyAlignment="1">
      <alignment horizontal="center"/>
    </xf>
    <xf numFmtId="0" fontId="8" fillId="0" borderId="0" xfId="15" applyFill="1"/>
    <xf numFmtId="0" fontId="24" fillId="0" borderId="0" xfId="16" applyFont="1"/>
    <xf numFmtId="0" fontId="49" fillId="0" borderId="0" xfId="15" applyFont="1" applyFill="1"/>
    <xf numFmtId="0" fontId="49" fillId="0" borderId="0" xfId="15" applyFont="1" applyFill="1" applyAlignment="1">
      <alignment horizontal="center"/>
    </xf>
    <xf numFmtId="42" fontId="8" fillId="0" borderId="0" xfId="14" applyNumberFormat="1" applyFill="1"/>
    <xf numFmtId="0" fontId="8" fillId="0" borderId="0" xfId="14"/>
    <xf numFmtId="0" fontId="8" fillId="0" borderId="0" xfId="14" applyFill="1"/>
    <xf numFmtId="42" fontId="8" fillId="0" borderId="21" xfId="14" applyNumberFormat="1" applyFill="1" applyBorder="1"/>
    <xf numFmtId="176" fontId="8" fillId="0" borderId="0" xfId="17" applyNumberFormat="1" applyFont="1"/>
    <xf numFmtId="42" fontId="8" fillId="0" borderId="0" xfId="14" applyNumberFormat="1" applyFill="1" applyBorder="1"/>
    <xf numFmtId="0" fontId="52" fillId="0" borderId="0" xfId="14" applyFont="1" applyFill="1"/>
    <xf numFmtId="177" fontId="8" fillId="0" borderId="0" xfId="14" applyNumberFormat="1" applyFill="1"/>
    <xf numFmtId="178" fontId="8" fillId="0" borderId="0" xfId="14" applyNumberFormat="1" applyFill="1"/>
    <xf numFmtId="179" fontId="8" fillId="0" borderId="0" xfId="18" applyNumberFormat="1" applyFont="1"/>
    <xf numFmtId="178" fontId="8" fillId="0" borderId="0" xfId="14" applyNumberFormat="1" applyFont="1" applyFill="1"/>
    <xf numFmtId="177" fontId="8" fillId="0" borderId="12" xfId="14" applyNumberFormat="1" applyFill="1" applyBorder="1"/>
    <xf numFmtId="178" fontId="8" fillId="0" borderId="12" xfId="14" applyNumberFormat="1" applyFont="1" applyFill="1" applyBorder="1"/>
    <xf numFmtId="0" fontId="51" fillId="0" borderId="0" xfId="14" applyFont="1" applyFill="1"/>
    <xf numFmtId="0" fontId="49" fillId="0" borderId="0" xfId="14" applyFont="1" applyFill="1"/>
    <xf numFmtId="0" fontId="53" fillId="0" borderId="0" xfId="14" applyFont="1" applyFill="1"/>
    <xf numFmtId="44" fontId="8" fillId="0" borderId="0" xfId="14" applyNumberFormat="1" applyFill="1"/>
    <xf numFmtId="42" fontId="8" fillId="0" borderId="0" xfId="14" applyNumberFormat="1" applyFont="1" applyFill="1"/>
    <xf numFmtId="43" fontId="8" fillId="0" borderId="0" xfId="8" applyFont="1"/>
    <xf numFmtId="44" fontId="8" fillId="0" borderId="0" xfId="14" applyNumberFormat="1"/>
    <xf numFmtId="0" fontId="2" fillId="0" borderId="0" xfId="14" applyFont="1" applyAlignment="1">
      <alignment horizontal="center"/>
    </xf>
    <xf numFmtId="42" fontId="8" fillId="0" borderId="19" xfId="14" applyNumberFormat="1" applyFill="1" applyBorder="1"/>
    <xf numFmtId="0" fontId="8" fillId="0" borderId="0" xfId="14" applyFont="1" applyFill="1"/>
    <xf numFmtId="167" fontId="8" fillId="0" borderId="0" xfId="17" applyNumberFormat="1" applyFill="1"/>
    <xf numFmtId="37" fontId="8" fillId="0" borderId="0" xfId="14" applyNumberFormat="1" applyFont="1" applyFill="1"/>
    <xf numFmtId="0" fontId="49" fillId="0" borderId="2" xfId="14" applyFont="1" applyFill="1" applyBorder="1"/>
    <xf numFmtId="37" fontId="8" fillId="0" borderId="4" xfId="14" applyNumberFormat="1" applyFill="1" applyBorder="1"/>
    <xf numFmtId="37" fontId="8" fillId="0" borderId="3" xfId="14" applyNumberFormat="1" applyFill="1" applyBorder="1"/>
    <xf numFmtId="0" fontId="8" fillId="0" borderId="5" xfId="14" applyFill="1" applyBorder="1"/>
    <xf numFmtId="42" fontId="8" fillId="0" borderId="6" xfId="14" applyNumberFormat="1" applyFill="1" applyBorder="1"/>
    <xf numFmtId="0" fontId="8" fillId="0" borderId="0" xfId="14" applyFont="1"/>
    <xf numFmtId="42" fontId="8" fillId="0" borderId="12" xfId="14" applyNumberFormat="1" applyFill="1" applyBorder="1"/>
    <xf numFmtId="42" fontId="8" fillId="0" borderId="13" xfId="14" applyNumberFormat="1" applyFill="1" applyBorder="1"/>
    <xf numFmtId="176" fontId="8" fillId="0" borderId="0" xfId="17" applyNumberFormat="1" applyFont="1" applyFill="1" applyBorder="1"/>
    <xf numFmtId="176" fontId="8" fillId="0" borderId="6" xfId="17" applyNumberFormat="1" applyFont="1" applyFill="1" applyBorder="1"/>
    <xf numFmtId="0" fontId="8" fillId="0" borderId="7" xfId="14" applyFill="1" applyBorder="1"/>
    <xf numFmtId="176" fontId="8" fillId="0" borderId="1" xfId="17" applyNumberFormat="1" applyFont="1" applyFill="1" applyBorder="1"/>
    <xf numFmtId="176" fontId="8" fillId="0" borderId="8" xfId="17" applyNumberFormat="1" applyFont="1" applyFill="1" applyBorder="1"/>
    <xf numFmtId="0" fontId="8" fillId="0" borderId="0" xfId="14" quotePrefix="1" applyFont="1" applyFill="1"/>
    <xf numFmtId="0" fontId="54" fillId="0" borderId="0" xfId="0" applyFont="1" applyFill="1" applyAlignment="1">
      <alignment horizontal="center"/>
    </xf>
    <xf numFmtId="0" fontId="54" fillId="0" borderId="0" xfId="0" applyFont="1"/>
    <xf numFmtId="0" fontId="55" fillId="0" borderId="0" xfId="0" applyFont="1" applyFill="1" applyAlignment="1">
      <alignment horizontal="center"/>
    </xf>
    <xf numFmtId="0" fontId="54" fillId="0" borderId="0" xfId="0" applyFont="1" applyAlignment="1">
      <alignment horizontal="center"/>
    </xf>
    <xf numFmtId="0" fontId="54" fillId="0" borderId="0" xfId="0" applyFont="1" applyFill="1" applyAlignment="1">
      <alignment horizontal="right"/>
    </xf>
    <xf numFmtId="0" fontId="54" fillId="0" borderId="0" xfId="0" applyFont="1" applyBorder="1" applyAlignment="1">
      <alignment horizontal="center"/>
    </xf>
    <xf numFmtId="0" fontId="0" fillId="2" borderId="0" xfId="0" applyFill="1" applyAlignment="1">
      <alignment horizontal="left" wrapText="1"/>
    </xf>
    <xf numFmtId="166" fontId="8" fillId="2" borderId="0" xfId="10" applyNumberFormat="1" applyFont="1" applyFill="1" applyAlignment="1">
      <alignment horizontal="right" wrapText="1"/>
    </xf>
    <xf numFmtId="9" fontId="0" fillId="2" borderId="0" xfId="12" applyFont="1" applyFill="1" applyAlignment="1">
      <alignment horizontal="center" wrapText="1"/>
    </xf>
    <xf numFmtId="42" fontId="0" fillId="0" borderId="0" xfId="0" applyNumberFormat="1"/>
    <xf numFmtId="0" fontId="8" fillId="2" borderId="0" xfId="0" applyFont="1" applyFill="1"/>
    <xf numFmtId="37" fontId="0" fillId="2" borderId="0" xfId="0" applyNumberFormat="1" applyFill="1" applyAlignment="1">
      <alignment horizontal="right" wrapText="1"/>
    </xf>
    <xf numFmtId="165" fontId="0" fillId="2" borderId="0" xfId="0" applyNumberFormat="1" applyFill="1" applyAlignment="1">
      <alignment horizontal="center" wrapText="1"/>
    </xf>
    <xf numFmtId="44" fontId="0" fillId="2" borderId="0" xfId="10" applyFont="1" applyFill="1" applyAlignment="1">
      <alignment horizontal="right" wrapText="1"/>
    </xf>
    <xf numFmtId="0" fontId="0" fillId="2" borderId="0" xfId="0" applyFill="1" applyAlignment="1">
      <alignment horizontal="right" wrapText="1"/>
    </xf>
    <xf numFmtId="37" fontId="0" fillId="0" borderId="0" xfId="0" applyNumberFormat="1" applyAlignment="1">
      <alignment horizontal="right" wrapText="1"/>
    </xf>
    <xf numFmtId="0" fontId="0" fillId="0" borderId="0" xfId="0" applyAlignment="1">
      <alignment horizontal="right" wrapText="1"/>
    </xf>
    <xf numFmtId="0" fontId="54" fillId="0" borderId="0" xfId="0" applyNumberFormat="1" applyFont="1" applyFill="1" applyBorder="1" applyAlignment="1">
      <alignment horizontal="center"/>
    </xf>
    <xf numFmtId="0" fontId="0" fillId="2" borderId="0" xfId="0" applyFill="1" applyAlignment="1">
      <alignment horizontal="right"/>
    </xf>
    <xf numFmtId="0" fontId="0" fillId="2" borderId="0" xfId="0" applyFill="1" applyAlignment="1">
      <alignment horizontal="left" vertical="center" wrapText="1"/>
    </xf>
    <xf numFmtId="37" fontId="8" fillId="2" borderId="0" xfId="0" applyNumberFormat="1" applyFont="1" applyFill="1" applyAlignment="1">
      <alignment horizontal="right" wrapText="1"/>
    </xf>
    <xf numFmtId="0" fontId="8" fillId="0" borderId="0" xfId="0" applyNumberFormat="1" applyFont="1" applyFill="1" applyBorder="1" applyAlignment="1">
      <alignment horizontal="left"/>
    </xf>
    <xf numFmtId="0" fontId="54" fillId="0" borderId="0" xfId="0" applyFont="1" applyFill="1"/>
    <xf numFmtId="0" fontId="0" fillId="0" borderId="0" xfId="0" applyFill="1" applyAlignment="1">
      <alignment horizontal="right"/>
    </xf>
    <xf numFmtId="0" fontId="0" fillId="2" borderId="0" xfId="0" applyFill="1" applyBorder="1"/>
    <xf numFmtId="0" fontId="8" fillId="2" borderId="0" xfId="0" applyFont="1" applyFill="1" applyBorder="1"/>
    <xf numFmtId="37" fontId="54" fillId="2" borderId="0" xfId="0" applyNumberFormat="1" applyFont="1" applyFill="1"/>
    <xf numFmtId="41" fontId="0" fillId="2" borderId="12" xfId="0" applyNumberFormat="1" applyFill="1" applyBorder="1" applyAlignment="1">
      <alignment horizontal="right"/>
    </xf>
    <xf numFmtId="41" fontId="0" fillId="0" borderId="0" xfId="0" applyNumberFormat="1" applyFill="1" applyBorder="1" applyAlignment="1">
      <alignment horizontal="right"/>
    </xf>
    <xf numFmtId="0" fontId="4" fillId="0" borderId="0" xfId="0" applyFont="1" applyFill="1" applyBorder="1"/>
    <xf numFmtId="37" fontId="0" fillId="0" borderId="0" xfId="0" applyNumberFormat="1" applyFill="1"/>
    <xf numFmtId="41" fontId="0" fillId="0" borderId="0" xfId="0" applyNumberFormat="1" applyFill="1" applyAlignment="1">
      <alignment horizontal="right"/>
    </xf>
    <xf numFmtId="37" fontId="8" fillId="0" borderId="0" xfId="0" applyNumberFormat="1" applyFont="1" applyFill="1"/>
    <xf numFmtId="164" fontId="0" fillId="0" borderId="0" xfId="8" applyNumberFormat="1" applyFont="1" applyFill="1" applyAlignment="1">
      <alignment horizontal="right"/>
    </xf>
    <xf numFmtId="37" fontId="0" fillId="0" borderId="0" xfId="0" applyNumberFormat="1" applyFill="1" applyAlignment="1">
      <alignment horizontal="right" wrapText="1"/>
    </xf>
    <xf numFmtId="0" fontId="0" fillId="0" borderId="0" xfId="0" applyFill="1" applyAlignment="1">
      <alignment horizontal="left"/>
    </xf>
    <xf numFmtId="0" fontId="58" fillId="0" borderId="0" xfId="19" applyFont="1"/>
    <xf numFmtId="0" fontId="8" fillId="0" borderId="0" xfId="19" applyFont="1"/>
    <xf numFmtId="0" fontId="56" fillId="0" borderId="0" xfId="19" applyFont="1" applyAlignment="1">
      <alignment horizontal="center"/>
    </xf>
    <xf numFmtId="0" fontId="57" fillId="0" borderId="0" xfId="19" applyFont="1" applyAlignment="1"/>
    <xf numFmtId="0" fontId="58" fillId="0" borderId="0" xfId="19" applyFont="1" applyAlignment="1"/>
    <xf numFmtId="0" fontId="60" fillId="0" borderId="0" xfId="16" applyFont="1" applyFill="1" applyAlignment="1">
      <alignment horizontal="centerContinuous"/>
    </xf>
    <xf numFmtId="0" fontId="58" fillId="0" borderId="0" xfId="16" applyFont="1" applyFill="1" applyAlignment="1">
      <alignment horizontal="centerContinuous"/>
    </xf>
    <xf numFmtId="0" fontId="60" fillId="0" borderId="0" xfId="19" applyFont="1" applyFill="1" applyAlignment="1">
      <alignment horizontal="center"/>
    </xf>
    <xf numFmtId="0" fontId="58" fillId="0" borderId="0" xfId="19" applyFont="1" applyFill="1" applyAlignment="1"/>
    <xf numFmtId="0" fontId="58" fillId="0" borderId="0" xfId="19" applyFont="1" applyFill="1" applyAlignment="1">
      <alignment horizontal="left"/>
    </xf>
    <xf numFmtId="0" fontId="58" fillId="0" borderId="0" xfId="19" applyFont="1" applyFill="1"/>
    <xf numFmtId="0" fontId="61" fillId="0" borderId="0" xfId="19" applyFont="1" applyFill="1"/>
    <xf numFmtId="0" fontId="61" fillId="0" borderId="0" xfId="19" applyFont="1" applyFill="1" applyAlignment="1">
      <alignment horizontal="center"/>
    </xf>
    <xf numFmtId="0" fontId="61" fillId="0" borderId="0" xfId="16" applyFont="1" applyFill="1"/>
    <xf numFmtId="37" fontId="58" fillId="0" borderId="0" xfId="16" applyNumberFormat="1" applyFont="1" applyFill="1"/>
    <xf numFmtId="37" fontId="58" fillId="0" borderId="0" xfId="19" applyNumberFormat="1" applyFont="1" applyFill="1"/>
    <xf numFmtId="0" fontId="58" fillId="0" borderId="0" xfId="16" applyFont="1" applyFill="1"/>
    <xf numFmtId="165" fontId="58" fillId="2" borderId="0" xfId="16" applyNumberFormat="1" applyFont="1" applyFill="1"/>
    <xf numFmtId="43" fontId="58" fillId="0" borderId="0" xfId="16" applyNumberFormat="1" applyFont="1" applyFill="1"/>
    <xf numFmtId="41" fontId="58" fillId="0" borderId="0" xfId="19" applyNumberFormat="1" applyFont="1" applyFill="1"/>
    <xf numFmtId="164" fontId="58" fillId="0" borderId="0" xfId="19" applyNumberFormat="1" applyFont="1" applyFill="1"/>
    <xf numFmtId="43" fontId="58" fillId="0" borderId="0" xfId="19" applyNumberFormat="1" applyFont="1" applyFill="1"/>
    <xf numFmtId="164" fontId="58" fillId="0" borderId="0" xfId="20" applyNumberFormat="1" applyFont="1" applyFill="1"/>
    <xf numFmtId="37" fontId="58" fillId="2" borderId="0" xfId="16" applyNumberFormat="1" applyFont="1" applyFill="1"/>
    <xf numFmtId="0" fontId="58" fillId="0" borderId="0" xfId="16" applyFont="1" applyFill="1" applyAlignment="1">
      <alignment horizontal="left"/>
    </xf>
    <xf numFmtId="0" fontId="62" fillId="0" borderId="0" xfId="16" applyFont="1" applyFill="1" applyAlignment="1">
      <alignment horizontal="center"/>
    </xf>
    <xf numFmtId="0" fontId="62" fillId="0" borderId="0" xfId="16" applyFont="1" applyAlignment="1">
      <alignment horizontal="center"/>
    </xf>
    <xf numFmtId="0" fontId="58" fillId="0" borderId="0" xfId="16" applyFont="1"/>
    <xf numFmtId="0" fontId="61" fillId="0" borderId="0" xfId="16" applyFont="1" applyFill="1" applyAlignment="1">
      <alignment horizontal="center"/>
    </xf>
    <xf numFmtId="0" fontId="58" fillId="0" borderId="0" xfId="19" applyFont="1" applyAlignment="1">
      <alignment horizontal="left"/>
    </xf>
    <xf numFmtId="0" fontId="62" fillId="0" borderId="0" xfId="19" applyFont="1" applyFill="1" applyAlignment="1">
      <alignment horizontal="center"/>
    </xf>
    <xf numFmtId="0" fontId="62" fillId="0" borderId="0" xfId="19" applyFont="1" applyAlignment="1">
      <alignment horizontal="center"/>
    </xf>
    <xf numFmtId="0" fontId="58" fillId="2" borderId="22" xfId="0" applyFont="1" applyFill="1" applyBorder="1"/>
    <xf numFmtId="0" fontId="58" fillId="2" borderId="23" xfId="0" applyFont="1" applyFill="1" applyBorder="1"/>
    <xf numFmtId="37" fontId="58" fillId="2" borderId="23" xfId="0" applyNumberFormat="1" applyFont="1" applyFill="1" applyBorder="1"/>
    <xf numFmtId="41" fontId="58" fillId="2" borderId="23" xfId="0" applyNumberFormat="1" applyFont="1" applyFill="1" applyBorder="1"/>
    <xf numFmtId="0" fontId="58" fillId="2" borderId="23" xfId="0" applyFont="1" applyFill="1" applyBorder="1" applyAlignment="1">
      <alignment wrapText="1"/>
    </xf>
    <xf numFmtId="0" fontId="58" fillId="0" borderId="0" xfId="19" applyFont="1" applyBorder="1"/>
    <xf numFmtId="37" fontId="58" fillId="2" borderId="23" xfId="19" applyNumberFormat="1" applyFont="1" applyFill="1" applyBorder="1"/>
    <xf numFmtId="0" fontId="58" fillId="2" borderId="24" xfId="0" applyFont="1" applyFill="1" applyBorder="1"/>
    <xf numFmtId="37" fontId="58" fillId="2" borderId="24" xfId="0" applyNumberFormat="1" applyFont="1" applyFill="1" applyBorder="1"/>
    <xf numFmtId="0" fontId="63" fillId="0" borderId="22" xfId="0" applyFont="1" applyBorder="1"/>
    <xf numFmtId="0" fontId="58" fillId="0" borderId="24" xfId="0" applyFont="1" applyBorder="1"/>
    <xf numFmtId="0" fontId="58" fillId="0" borderId="24" xfId="0" applyFont="1" applyFill="1" applyBorder="1"/>
    <xf numFmtId="41" fontId="58" fillId="0" borderId="23" xfId="0" applyNumberFormat="1" applyFont="1" applyBorder="1"/>
    <xf numFmtId="0" fontId="58" fillId="0" borderId="23" xfId="0" applyFont="1" applyFill="1" applyBorder="1" applyAlignment="1">
      <alignment wrapText="1"/>
    </xf>
    <xf numFmtId="0" fontId="63" fillId="0" borderId="25" xfId="0" applyFont="1" applyFill="1" applyBorder="1"/>
    <xf numFmtId="0" fontId="58" fillId="0" borderId="26" xfId="0" applyFont="1" applyBorder="1"/>
    <xf numFmtId="0" fontId="58" fillId="0" borderId="23" xfId="0" applyFont="1" applyFill="1" applyBorder="1"/>
    <xf numFmtId="0" fontId="64" fillId="2" borderId="23" xfId="0" applyFont="1" applyFill="1" applyBorder="1" applyAlignment="1">
      <alignment wrapText="1"/>
    </xf>
    <xf numFmtId="0" fontId="63" fillId="0" borderId="27" xfId="0" applyFont="1" applyFill="1" applyBorder="1"/>
    <xf numFmtId="0" fontId="58" fillId="0" borderId="28" xfId="0" applyFont="1" applyBorder="1"/>
    <xf numFmtId="0" fontId="63" fillId="0" borderId="22" xfId="0" applyFont="1" applyFill="1" applyBorder="1"/>
    <xf numFmtId="41" fontId="58" fillId="0" borderId="23" xfId="0" applyNumberFormat="1" applyFont="1" applyFill="1" applyBorder="1"/>
    <xf numFmtId="41" fontId="58" fillId="0" borderId="23" xfId="19" applyNumberFormat="1" applyFont="1" applyBorder="1"/>
    <xf numFmtId="0" fontId="63" fillId="0" borderId="0" xfId="19" applyFont="1" applyFill="1" applyBorder="1"/>
    <xf numFmtId="0" fontId="58" fillId="0" borderId="0" xfId="19" applyFont="1" applyFill="1" applyBorder="1"/>
    <xf numFmtId="41" fontId="58" fillId="0" borderId="0" xfId="19" applyNumberFormat="1" applyFont="1" applyFill="1" applyBorder="1"/>
    <xf numFmtId="0" fontId="58" fillId="0" borderId="0" xfId="19" applyFont="1" applyFill="1" applyBorder="1" applyAlignment="1">
      <alignment wrapText="1"/>
    </xf>
    <xf numFmtId="0" fontId="58" fillId="0" borderId="0" xfId="16" applyFont="1" applyBorder="1" applyAlignment="1">
      <alignment horizontal="left"/>
    </xf>
    <xf numFmtId="0" fontId="63" fillId="0" borderId="29" xfId="16" applyFont="1" applyFill="1" applyBorder="1"/>
    <xf numFmtId="0" fontId="58" fillId="0" borderId="19" xfId="16" applyFont="1" applyFill="1" applyBorder="1"/>
    <xf numFmtId="37" fontId="58" fillId="0" borderId="19" xfId="16" applyNumberFormat="1" applyFont="1" applyBorder="1"/>
    <xf numFmtId="37" fontId="58" fillId="0" borderId="19" xfId="16" applyNumberFormat="1" applyFont="1" applyFill="1" applyBorder="1"/>
    <xf numFmtId="37" fontId="58" fillId="0" borderId="19" xfId="16" applyNumberFormat="1" applyFont="1" applyFill="1" applyBorder="1" applyAlignment="1">
      <alignment horizontal="center"/>
    </xf>
    <xf numFmtId="0" fontId="58" fillId="0" borderId="30" xfId="16" applyFont="1" applyFill="1" applyBorder="1" applyAlignment="1">
      <alignment horizontal="center"/>
    </xf>
    <xf numFmtId="0" fontId="58" fillId="0" borderId="0" xfId="16" applyFont="1" applyFill="1" applyBorder="1" applyAlignment="1">
      <alignment wrapText="1"/>
    </xf>
    <xf numFmtId="0" fontId="58" fillId="0" borderId="0" xfId="16" applyFont="1" applyBorder="1"/>
    <xf numFmtId="0" fontId="63" fillId="0" borderId="31" xfId="16" applyFont="1" applyFill="1" applyBorder="1" applyAlignment="1">
      <alignment horizontal="left" wrapText="1"/>
    </xf>
    <xf numFmtId="0" fontId="58" fillId="0" borderId="0" xfId="16" applyFont="1" applyFill="1" applyBorder="1" applyAlignment="1"/>
    <xf numFmtId="37" fontId="58" fillId="0" borderId="0" xfId="16" applyNumberFormat="1" applyFont="1" applyBorder="1" applyAlignment="1"/>
    <xf numFmtId="0" fontId="58" fillId="0" borderId="0" xfId="16" applyFont="1" applyBorder="1" applyAlignment="1"/>
    <xf numFmtId="0" fontId="58" fillId="0" borderId="28" xfId="16" applyFont="1" applyBorder="1" applyAlignment="1"/>
    <xf numFmtId="37" fontId="58" fillId="0" borderId="0" xfId="16" applyNumberFormat="1" applyFont="1" applyFill="1" applyBorder="1" applyAlignment="1">
      <alignment wrapText="1"/>
    </xf>
    <xf numFmtId="0" fontId="63" fillId="0" borderId="31" xfId="16" applyFont="1" applyFill="1" applyBorder="1" applyAlignment="1">
      <alignment horizontal="left"/>
    </xf>
    <xf numFmtId="0" fontId="58" fillId="0" borderId="0" xfId="16" applyFont="1" applyFill="1" applyBorder="1"/>
    <xf numFmtId="0" fontId="58" fillId="0" borderId="0" xfId="16" applyFont="1" applyFill="1" applyBorder="1" applyAlignment="1">
      <alignment horizontal="center"/>
    </xf>
    <xf numFmtId="0" fontId="58" fillId="0" borderId="28" xfId="16" applyFont="1" applyFill="1" applyBorder="1" applyAlignment="1">
      <alignment horizontal="center"/>
    </xf>
    <xf numFmtId="0" fontId="63" fillId="0" borderId="31" xfId="16" applyFont="1" applyBorder="1" applyAlignment="1">
      <alignment horizontal="left" wrapText="1"/>
    </xf>
    <xf numFmtId="0" fontId="58" fillId="0" borderId="0" xfId="16" applyFont="1" applyBorder="1" applyAlignment="1">
      <alignment wrapText="1"/>
    </xf>
    <xf numFmtId="0" fontId="58" fillId="0" borderId="28" xfId="16" applyFont="1" applyBorder="1" applyAlignment="1">
      <alignment wrapText="1"/>
    </xf>
    <xf numFmtId="0" fontId="64" fillId="0" borderId="0" xfId="16" applyFont="1" applyFill="1" applyBorder="1" applyAlignment="1">
      <alignment wrapText="1"/>
    </xf>
    <xf numFmtId="0" fontId="58" fillId="0" borderId="31" xfId="16" applyFont="1" applyBorder="1" applyAlignment="1">
      <alignment wrapText="1"/>
    </xf>
    <xf numFmtId="0" fontId="63" fillId="0" borderId="32" xfId="16" applyFont="1" applyFill="1" applyBorder="1" applyAlignment="1">
      <alignment horizontal="left"/>
    </xf>
    <xf numFmtId="0" fontId="58" fillId="0" borderId="12" xfId="16" applyFont="1" applyFill="1" applyBorder="1"/>
    <xf numFmtId="0" fontId="58" fillId="0" borderId="12" xfId="16" applyFont="1" applyBorder="1"/>
    <xf numFmtId="0" fontId="58" fillId="0" borderId="12" xfId="16" applyFont="1" applyFill="1" applyBorder="1" applyAlignment="1">
      <alignment horizontal="center"/>
    </xf>
    <xf numFmtId="0" fontId="58" fillId="0" borderId="26" xfId="16" applyFont="1" applyFill="1" applyBorder="1" applyAlignment="1">
      <alignment horizontal="center"/>
    </xf>
    <xf numFmtId="0" fontId="58" fillId="0" borderId="0" xfId="19" applyFont="1" applyBorder="1" applyAlignment="1">
      <alignment horizontal="left"/>
    </xf>
    <xf numFmtId="37" fontId="58" fillId="0" borderId="0" xfId="19" applyNumberFormat="1" applyFont="1" applyBorder="1"/>
    <xf numFmtId="37" fontId="58" fillId="0" borderId="0" xfId="19" applyNumberFormat="1" applyFont="1" applyFill="1" applyBorder="1"/>
    <xf numFmtId="37" fontId="58" fillId="0" borderId="0" xfId="19" applyNumberFormat="1" applyFont="1" applyFill="1" applyBorder="1" applyAlignment="1">
      <alignment horizontal="center"/>
    </xf>
    <xf numFmtId="0" fontId="58" fillId="0" borderId="0" xfId="19" applyFont="1" applyFill="1" applyBorder="1" applyAlignment="1">
      <alignment horizontal="center"/>
    </xf>
    <xf numFmtId="0" fontId="63" fillId="0" borderId="0" xfId="19" applyFont="1" applyBorder="1"/>
    <xf numFmtId="0" fontId="65" fillId="0" borderId="0" xfId="19" applyFont="1" applyBorder="1"/>
    <xf numFmtId="0" fontId="60" fillId="0" borderId="0" xfId="19" applyFont="1" applyBorder="1" applyAlignment="1">
      <alignment horizontal="left"/>
    </xf>
    <xf numFmtId="0" fontId="58" fillId="0" borderId="0" xfId="19" applyFont="1" applyBorder="1" applyAlignment="1"/>
    <xf numFmtId="0" fontId="58" fillId="0" borderId="0" xfId="19" applyFont="1" applyFill="1" applyBorder="1" applyAlignment="1"/>
    <xf numFmtId="0" fontId="60" fillId="0" borderId="0" xfId="19" applyFont="1" applyBorder="1" applyAlignment="1">
      <alignment horizontal="center"/>
    </xf>
    <xf numFmtId="0" fontId="61" fillId="0" borderId="0" xfId="16" applyFont="1" applyBorder="1"/>
    <xf numFmtId="0" fontId="58" fillId="2" borderId="23" xfId="0" applyFont="1" applyFill="1" applyBorder="1" applyAlignment="1">
      <alignment vertical="top" wrapText="1"/>
    </xf>
    <xf numFmtId="37" fontId="58" fillId="0" borderId="23" xfId="0" applyNumberFormat="1" applyFont="1" applyFill="1" applyBorder="1"/>
    <xf numFmtId="0" fontId="63" fillId="0" borderId="23" xfId="0" applyFont="1" applyFill="1" applyBorder="1" applyAlignment="1"/>
    <xf numFmtId="0" fontId="63" fillId="0" borderId="23" xfId="0" applyFont="1" applyFill="1" applyBorder="1"/>
    <xf numFmtId="0" fontId="63" fillId="0" borderId="33" xfId="0" applyFont="1" applyFill="1" applyBorder="1"/>
    <xf numFmtId="0" fontId="58" fillId="0" borderId="30" xfId="0" applyFont="1" applyFill="1" applyBorder="1"/>
    <xf numFmtId="0" fontId="58" fillId="0" borderId="19" xfId="16" applyFont="1" applyFill="1" applyBorder="1" applyAlignment="1">
      <alignment horizontal="center"/>
    </xf>
    <xf numFmtId="0" fontId="63" fillId="0" borderId="31" xfId="16" applyFont="1" applyBorder="1" applyAlignment="1">
      <alignment wrapText="1"/>
    </xf>
    <xf numFmtId="0" fontId="56" fillId="0" borderId="0" xfId="19" applyFont="1" applyBorder="1" applyAlignment="1">
      <alignment horizontal="center"/>
    </xf>
    <xf numFmtId="0" fontId="57" fillId="0" borderId="0" xfId="19" applyFont="1" applyBorder="1" applyAlignment="1"/>
    <xf numFmtId="0" fontId="57" fillId="0" borderId="0" xfId="19" applyFont="1" applyFill="1" applyBorder="1" applyAlignment="1"/>
    <xf numFmtId="0" fontId="56" fillId="0" borderId="0" xfId="19" applyFont="1" applyBorder="1" applyAlignment="1">
      <alignment horizontal="centerContinuous"/>
    </xf>
    <xf numFmtId="0" fontId="65" fillId="0" borderId="0" xfId="19" applyFont="1" applyBorder="1" applyAlignment="1">
      <alignment horizontal="centerContinuous"/>
    </xf>
    <xf numFmtId="0" fontId="58" fillId="0" borderId="0" xfId="19" applyFont="1" applyFill="1" applyBorder="1" applyAlignment="1">
      <alignment horizontal="centerContinuous"/>
    </xf>
    <xf numFmtId="0" fontId="58" fillId="0" borderId="0" xfId="19" applyFont="1" applyBorder="1" applyAlignment="1">
      <alignment horizontal="centerContinuous"/>
    </xf>
    <xf numFmtId="0" fontId="61" fillId="0" borderId="0" xfId="19" applyFont="1" applyBorder="1"/>
    <xf numFmtId="0" fontId="63" fillId="0" borderId="22" xfId="0" applyFont="1" applyBorder="1" applyAlignment="1"/>
    <xf numFmtId="0" fontId="64" fillId="0" borderId="23" xfId="0" applyFont="1" applyFill="1" applyBorder="1" applyAlignment="1">
      <alignment wrapText="1"/>
    </xf>
    <xf numFmtId="164" fontId="58" fillId="0" borderId="0" xfId="19" applyNumberFormat="1" applyFont="1" applyFill="1" applyBorder="1" applyAlignment="1">
      <alignment horizontal="right"/>
    </xf>
    <xf numFmtId="41" fontId="58" fillId="2" borderId="23" xfId="0" applyNumberFormat="1" applyFont="1" applyFill="1" applyBorder="1" applyAlignment="1">
      <alignment horizontal="right"/>
    </xf>
    <xf numFmtId="0" fontId="63" fillId="0" borderId="32" xfId="0" applyFont="1" applyFill="1" applyBorder="1"/>
    <xf numFmtId="41" fontId="58" fillId="0" borderId="23" xfId="0" applyNumberFormat="1" applyFont="1" applyFill="1" applyBorder="1" applyAlignment="1">
      <alignment horizontal="right"/>
    </xf>
    <xf numFmtId="0" fontId="63" fillId="0" borderId="0" xfId="0" applyFont="1" applyFill="1" applyBorder="1"/>
    <xf numFmtId="0" fontId="58" fillId="0" borderId="0" xfId="0" applyFont="1" applyBorder="1"/>
    <xf numFmtId="0" fontId="58" fillId="0" borderId="0" xfId="0" applyFont="1" applyFill="1" applyBorder="1"/>
    <xf numFmtId="41" fontId="58" fillId="0" borderId="0" xfId="0" applyNumberFormat="1" applyFont="1" applyFill="1" applyBorder="1" applyAlignment="1">
      <alignment horizontal="right"/>
    </xf>
    <xf numFmtId="41" fontId="58" fillId="0" borderId="28" xfId="0" applyNumberFormat="1" applyFont="1" applyFill="1" applyBorder="1" applyAlignment="1">
      <alignment horizontal="right"/>
    </xf>
    <xf numFmtId="0" fontId="58" fillId="0" borderId="0" xfId="0" applyFont="1" applyFill="1" applyBorder="1" applyAlignment="1">
      <alignment wrapText="1"/>
    </xf>
    <xf numFmtId="0" fontId="58" fillId="0" borderId="19" xfId="16" applyFont="1" applyBorder="1"/>
    <xf numFmtId="164" fontId="58" fillId="0" borderId="0" xfId="16" applyNumberFormat="1" applyFont="1" applyFill="1" applyBorder="1" applyAlignment="1">
      <alignment wrapText="1"/>
    </xf>
    <xf numFmtId="0" fontId="58" fillId="0" borderId="28" xfId="16" applyFont="1" applyBorder="1"/>
    <xf numFmtId="0" fontId="63" fillId="0" borderId="0" xfId="16" applyFont="1" applyBorder="1" applyAlignment="1">
      <alignment wrapText="1"/>
    </xf>
    <xf numFmtId="0" fontId="63" fillId="0" borderId="28" xfId="16" applyFont="1" applyBorder="1" applyAlignment="1">
      <alignment wrapText="1"/>
    </xf>
    <xf numFmtId="0" fontId="58" fillId="0" borderId="26" xfId="16" applyFont="1" applyBorder="1"/>
    <xf numFmtId="9" fontId="58" fillId="0" borderId="0" xfId="19" applyNumberFormat="1" applyFont="1" applyFill="1" applyBorder="1"/>
    <xf numFmtId="0" fontId="62" fillId="0" borderId="0" xfId="16" applyFont="1" applyFill="1" applyBorder="1" applyAlignment="1">
      <alignment horizontal="left"/>
    </xf>
    <xf numFmtId="0" fontId="66" fillId="0" borderId="0" xfId="16" applyFont="1" applyBorder="1"/>
    <xf numFmtId="0" fontId="66" fillId="0" borderId="0" xfId="19" applyFont="1" applyBorder="1"/>
    <xf numFmtId="41" fontId="62" fillId="0" borderId="0" xfId="19" applyNumberFormat="1" applyFont="1" applyFill="1" applyBorder="1" applyAlignment="1">
      <alignment horizontal="center"/>
    </xf>
    <xf numFmtId="41" fontId="62" fillId="0" borderId="0" xfId="19" applyNumberFormat="1" applyFont="1" applyBorder="1" applyAlignment="1">
      <alignment horizontal="center"/>
    </xf>
    <xf numFmtId="0" fontId="58" fillId="0" borderId="23" xfId="19" applyFont="1" applyBorder="1" applyAlignment="1">
      <alignment horizontal="left"/>
    </xf>
    <xf numFmtId="0" fontId="58" fillId="0" borderId="23" xfId="19" applyFont="1" applyBorder="1"/>
    <xf numFmtId="0" fontId="62" fillId="0" borderId="23" xfId="19" applyFont="1" applyBorder="1" applyAlignment="1">
      <alignment horizontal="center"/>
    </xf>
    <xf numFmtId="164" fontId="58" fillId="0" borderId="23" xfId="19" applyNumberFormat="1" applyFont="1" applyBorder="1"/>
    <xf numFmtId="164" fontId="58" fillId="2" borderId="23" xfId="19" applyNumberFormat="1" applyFont="1" applyFill="1" applyBorder="1"/>
    <xf numFmtId="164" fontId="58" fillId="0" borderId="0" xfId="19" applyNumberFormat="1" applyFont="1" applyBorder="1"/>
    <xf numFmtId="164" fontId="58" fillId="0" borderId="0" xfId="19" applyNumberFormat="1" applyFont="1"/>
    <xf numFmtId="0" fontId="67" fillId="0" borderId="0" xfId="19" applyNumberFormat="1" applyFont="1" applyFill="1"/>
    <xf numFmtId="0" fontId="68" fillId="0" borderId="0" xfId="0" applyFont="1" applyAlignment="1">
      <alignment horizontal="center"/>
    </xf>
    <xf numFmtId="0" fontId="69" fillId="0" borderId="0" xfId="0" applyFont="1" applyBorder="1" applyAlignment="1">
      <alignment horizontal="center"/>
    </xf>
    <xf numFmtId="0" fontId="70" fillId="0" borderId="0" xfId="0" applyFont="1" applyFill="1" applyAlignment="1">
      <alignment horizontal="left"/>
    </xf>
    <xf numFmtId="0" fontId="70" fillId="0" borderId="0" xfId="0" applyFont="1" applyFill="1" applyAlignment="1"/>
    <xf numFmtId="0" fontId="70" fillId="0" borderId="0" xfId="0" applyFont="1" applyFill="1" applyAlignment="1">
      <alignment horizontal="center"/>
    </xf>
    <xf numFmtId="0" fontId="70" fillId="0" borderId="0" xfId="0" applyFont="1" applyFill="1"/>
    <xf numFmtId="0" fontId="68" fillId="8" borderId="2" xfId="0" applyFont="1" applyFill="1" applyBorder="1" applyAlignment="1">
      <alignment horizontal="left"/>
    </xf>
    <xf numFmtId="0" fontId="25" fillId="8" borderId="4" xfId="0" applyFont="1" applyFill="1" applyBorder="1" applyAlignment="1"/>
    <xf numFmtId="0" fontId="25" fillId="8" borderId="4" xfId="0" applyFont="1" applyFill="1" applyBorder="1" applyAlignment="1">
      <alignment horizontal="center"/>
    </xf>
    <xf numFmtId="0" fontId="25" fillId="8" borderId="3" xfId="0" applyFont="1" applyFill="1" applyBorder="1"/>
    <xf numFmtId="0" fontId="68" fillId="8" borderId="7" xfId="0" applyFont="1" applyFill="1" applyBorder="1" applyAlignment="1">
      <alignment horizontal="left"/>
    </xf>
    <xf numFmtId="0" fontId="40" fillId="8" borderId="1" xfId="0" applyFont="1" applyFill="1" applyBorder="1" applyAlignment="1"/>
    <xf numFmtId="0" fontId="7" fillId="8" borderId="1" xfId="0" applyFont="1" applyFill="1" applyBorder="1" applyAlignment="1"/>
    <xf numFmtId="0" fontId="40" fillId="8" borderId="1" xfId="0" applyNumberFormat="1" applyFont="1" applyFill="1" applyBorder="1" applyAlignment="1">
      <alignment horizontal="center"/>
    </xf>
    <xf numFmtId="0" fontId="7" fillId="8"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68" fillId="0" borderId="0" xfId="0" applyFont="1" applyFill="1" applyBorder="1" applyAlignment="1">
      <alignment horizontal="left"/>
    </xf>
    <xf numFmtId="0" fontId="40" fillId="0" borderId="0" xfId="0" applyFont="1" applyFill="1" applyBorder="1" applyAlignment="1"/>
    <xf numFmtId="0" fontId="7" fillId="0" borderId="0" xfId="0" applyFont="1" applyFill="1" applyBorder="1" applyAlignment="1"/>
    <xf numFmtId="0" fontId="40"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71" fillId="7" borderId="0" xfId="0" applyFont="1" applyFill="1" applyBorder="1" applyAlignment="1">
      <alignment horizontal="left"/>
    </xf>
    <xf numFmtId="0" fontId="71" fillId="7" borderId="0" xfId="0" applyFont="1" applyFill="1" applyBorder="1" applyAlignment="1"/>
    <xf numFmtId="0" fontId="25" fillId="7" borderId="0" xfId="0" applyFont="1" applyFill="1" applyBorder="1" applyAlignment="1"/>
    <xf numFmtId="0" fontId="40" fillId="7" borderId="0" xfId="0" applyNumberFormat="1" applyFont="1" applyFill="1" applyBorder="1" applyAlignment="1">
      <alignment horizontal="center"/>
    </xf>
    <xf numFmtId="0" fontId="25" fillId="7" borderId="0" xfId="0" applyFont="1" applyFill="1" applyBorder="1"/>
    <xf numFmtId="0" fontId="25" fillId="0" borderId="0" xfId="0" applyFont="1" applyFill="1" applyBorder="1"/>
    <xf numFmtId="0" fontId="25" fillId="0" borderId="0" xfId="0" applyFont="1" applyFill="1" applyBorder="1" applyAlignment="1">
      <alignment horizontal="center" wrapText="1"/>
    </xf>
    <xf numFmtId="0" fontId="45" fillId="0" borderId="0" xfId="0" applyFont="1" applyFill="1" applyAlignment="1">
      <alignment horizontal="left"/>
    </xf>
    <xf numFmtId="0" fontId="25" fillId="0" borderId="0" xfId="0" applyFont="1" applyFill="1" applyAlignment="1">
      <alignment horizontal="center"/>
    </xf>
    <xf numFmtId="166" fontId="25" fillId="2" borderId="0" xfId="10" applyNumberFormat="1" applyFont="1" applyFill="1"/>
    <xf numFmtId="0" fontId="25" fillId="0" borderId="0" xfId="0" applyFont="1" applyBorder="1" applyAlignment="1">
      <alignment horizontal="center"/>
    </xf>
    <xf numFmtId="166" fontId="25" fillId="2" borderId="0" xfId="0" applyNumberFormat="1" applyFont="1" applyFill="1" applyAlignment="1"/>
    <xf numFmtId="0" fontId="25" fillId="0" borderId="19" xfId="0" applyNumberFormat="1" applyFont="1" applyBorder="1" applyAlignment="1"/>
    <xf numFmtId="3" fontId="25" fillId="0" borderId="19" xfId="0" applyNumberFormat="1" applyFont="1" applyBorder="1" applyAlignment="1">
      <alignment horizontal="center"/>
    </xf>
    <xf numFmtId="0" fontId="25" fillId="0" borderId="20" xfId="0" applyNumberFormat="1" applyFont="1" applyFill="1" applyBorder="1" applyAlignment="1"/>
    <xf numFmtId="0" fontId="25" fillId="0" borderId="20" xfId="0" applyFont="1" applyFill="1" applyBorder="1" applyAlignment="1"/>
    <xf numFmtId="3" fontId="25" fillId="0" borderId="20" xfId="0" applyNumberFormat="1" applyFont="1" applyFill="1" applyBorder="1" applyAlignment="1">
      <alignment horizontal="center"/>
    </xf>
    <xf numFmtId="3" fontId="25" fillId="0" borderId="20" xfId="0" applyNumberFormat="1" applyFont="1" applyBorder="1" applyAlignment="1"/>
    <xf numFmtId="0" fontId="25" fillId="0" borderId="20" xfId="0" applyFont="1" applyBorder="1" applyAlignment="1"/>
    <xf numFmtId="165" fontId="25" fillId="0" borderId="20" xfId="12" applyNumberFormat="1" applyFont="1" applyBorder="1" applyAlignment="1"/>
    <xf numFmtId="165" fontId="25" fillId="0" borderId="0" xfId="12" applyNumberFormat="1" applyFont="1" applyAlignment="1"/>
    <xf numFmtId="0" fontId="45" fillId="0" borderId="0" xfId="0" applyFont="1" applyFill="1" applyBorder="1" applyAlignment="1">
      <alignment horizontal="center"/>
    </xf>
    <xf numFmtId="0" fontId="25" fillId="0" borderId="19" xfId="0" applyFont="1" applyFill="1" applyBorder="1"/>
    <xf numFmtId="0" fontId="25" fillId="0" borderId="19" xfId="0" applyFont="1" applyFill="1" applyBorder="1" applyAlignment="1">
      <alignment horizontal="center"/>
    </xf>
    <xf numFmtId="0" fontId="25" fillId="0" borderId="19" xfId="0" applyFont="1" applyBorder="1"/>
    <xf numFmtId="0" fontId="25" fillId="0" borderId="0" xfId="0" applyFont="1" applyFill="1" applyBorder="1" applyAlignment="1">
      <alignment horizontal="center"/>
    </xf>
    <xf numFmtId="3" fontId="25" fillId="2" borderId="0" xfId="0" applyNumberFormat="1" applyFont="1" applyFill="1" applyAlignment="1"/>
    <xf numFmtId="0" fontId="25" fillId="0" borderId="19" xfId="0" applyFont="1" applyBorder="1" applyAlignment="1">
      <alignment horizontal="center"/>
    </xf>
    <xf numFmtId="3" fontId="25" fillId="0" borderId="0" xfId="0" applyNumberFormat="1" applyFont="1"/>
    <xf numFmtId="0" fontId="25" fillId="0" borderId="20" xfId="0" applyFont="1" applyBorder="1" applyAlignment="1">
      <alignment horizontal="center"/>
    </xf>
    <xf numFmtId="3" fontId="25" fillId="0" borderId="0" xfId="0" applyNumberFormat="1" applyFont="1" applyFill="1"/>
    <xf numFmtId="165" fontId="25" fillId="0" borderId="20" xfId="12" applyNumberFormat="1" applyFont="1" applyFill="1" applyBorder="1" applyAlignment="1"/>
    <xf numFmtId="0" fontId="72" fillId="7" borderId="0" xfId="0" applyFont="1" applyFill="1" applyBorder="1" applyAlignment="1">
      <alignment horizontal="left"/>
    </xf>
    <xf numFmtId="0" fontId="72" fillId="7" borderId="0" xfId="0" applyFont="1" applyFill="1" applyBorder="1" applyAlignment="1"/>
    <xf numFmtId="0" fontId="43" fillId="7" borderId="0" xfId="0" applyNumberFormat="1" applyFont="1" applyFill="1" applyBorder="1" applyAlignment="1">
      <alignment horizontal="center"/>
    </xf>
    <xf numFmtId="0" fontId="72" fillId="0" borderId="0" xfId="0" applyFont="1" applyFill="1" applyBorder="1" applyAlignment="1">
      <alignment horizontal="center"/>
    </xf>
    <xf numFmtId="0" fontId="72" fillId="0" borderId="0" xfId="0" applyFont="1" applyFill="1" applyBorder="1" applyAlignment="1"/>
    <xf numFmtId="0" fontId="43" fillId="0" borderId="0" xfId="0" applyNumberFormat="1" applyFont="1" applyFill="1" applyBorder="1" applyAlignment="1">
      <alignment horizontal="center"/>
    </xf>
    <xf numFmtId="0" fontId="25" fillId="0" borderId="12" xfId="0" applyFont="1" applyBorder="1" applyAlignment="1">
      <alignment horizontal="center"/>
    </xf>
    <xf numFmtId="164" fontId="25" fillId="0" borderId="12" xfId="5" applyNumberFormat="1" applyFont="1" applyFill="1" applyBorder="1"/>
    <xf numFmtId="3" fontId="25" fillId="2" borderId="0" xfId="0" applyNumberFormat="1" applyFont="1" applyFill="1" applyBorder="1" applyAlignment="1"/>
    <xf numFmtId="0" fontId="43" fillId="0" borderId="0" xfId="0" applyNumberFormat="1" applyFont="1" applyFill="1" applyAlignment="1">
      <alignment horizontal="left"/>
    </xf>
    <xf numFmtId="0" fontId="25" fillId="0" borderId="0" xfId="0" applyNumberFormat="1" applyFont="1" applyAlignment="1">
      <alignment horizontal="right"/>
    </xf>
    <xf numFmtId="175" fontId="25" fillId="0" borderId="0" xfId="12" applyNumberFormat="1" applyFont="1" applyAlignment="1"/>
    <xf numFmtId="0" fontId="25" fillId="0" borderId="12" xfId="0" applyFont="1" applyFill="1" applyBorder="1" applyAlignment="1">
      <alignment horizontal="center"/>
    </xf>
    <xf numFmtId="0" fontId="45" fillId="0" borderId="19" xfId="0" applyFont="1" applyFill="1" applyBorder="1" applyAlignment="1"/>
    <xf numFmtId="3" fontId="25" fillId="2" borderId="19" xfId="0" applyNumberFormat="1" applyFont="1" applyFill="1" applyBorder="1" applyAlignment="1"/>
    <xf numFmtId="3" fontId="25" fillId="0" borderId="20" xfId="0" applyNumberFormat="1" applyFont="1" applyBorder="1"/>
    <xf numFmtId="0" fontId="45" fillId="0" borderId="12" xfId="0" applyFont="1" applyFill="1" applyBorder="1" applyAlignment="1">
      <alignment horizontal="center"/>
    </xf>
    <xf numFmtId="0" fontId="25" fillId="0" borderId="0" xfId="0" applyNumberFormat="1" applyFont="1" applyBorder="1" applyAlignment="1"/>
    <xf numFmtId="3" fontId="25" fillId="0" borderId="0" xfId="0" applyNumberFormat="1" applyFont="1" applyBorder="1" applyAlignment="1">
      <alignment horizontal="center"/>
    </xf>
    <xf numFmtId="175" fontId="25" fillId="0" borderId="0" xfId="12" applyNumberFormat="1" applyFont="1" applyBorder="1" applyAlignment="1"/>
    <xf numFmtId="0" fontId="73" fillId="0" borderId="0" xfId="0" applyFont="1" applyAlignment="1">
      <alignment horizontal="left"/>
    </xf>
    <xf numFmtId="0" fontId="73" fillId="0" borderId="0" xfId="0" applyFont="1"/>
    <xf numFmtId="0" fontId="25" fillId="0" borderId="0" xfId="0" applyNumberFormat="1" applyFont="1" applyFill="1" applyBorder="1" applyAlignment="1">
      <alignment horizontal="left"/>
    </xf>
    <xf numFmtId="0" fontId="25" fillId="0" borderId="0" xfId="0" applyFont="1" applyFill="1" applyAlignment="1">
      <alignment horizontal="right"/>
    </xf>
    <xf numFmtId="0" fontId="43" fillId="0" borderId="0" xfId="0" applyNumberFormat="1" applyFont="1" applyFill="1" applyBorder="1" applyAlignment="1">
      <alignment horizontal="left"/>
    </xf>
    <xf numFmtId="0" fontId="45" fillId="0" borderId="0" xfId="0" applyFont="1" applyFill="1" applyBorder="1" applyAlignment="1">
      <alignment horizontal="right"/>
    </xf>
    <xf numFmtId="0" fontId="25" fillId="0" borderId="19" xfId="0" applyNumberFormat="1" applyFont="1" applyFill="1" applyBorder="1" applyAlignment="1">
      <alignment horizontal="left"/>
    </xf>
    <xf numFmtId="3" fontId="25" fillId="0" borderId="19" xfId="0" applyNumberFormat="1" applyFont="1" applyFill="1" applyBorder="1" applyAlignment="1">
      <alignment horizontal="righ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0" xfId="0" applyFont="1" applyAlignment="1">
      <alignment vertical="center"/>
    </xf>
    <xf numFmtId="0" fontId="1" fillId="0" borderId="0" xfId="0" applyFont="1" applyAlignment="1">
      <alignment vertical="center"/>
    </xf>
    <xf numFmtId="0" fontId="74" fillId="0" borderId="0" xfId="0" applyFont="1" applyAlignment="1">
      <alignment vertical="center"/>
    </xf>
    <xf numFmtId="0" fontId="25" fillId="0" borderId="0" xfId="0" applyNumberFormat="1" applyFont="1" applyFill="1" applyAlignment="1">
      <alignment horizontal="right"/>
    </xf>
    <xf numFmtId="3" fontId="43" fillId="0" borderId="0" xfId="0" applyNumberFormat="1" applyFont="1" applyFill="1" applyBorder="1" applyAlignment="1">
      <alignment horizontal="right"/>
    </xf>
    <xf numFmtId="4" fontId="44" fillId="0" borderId="0" xfId="0" applyNumberFormat="1" applyFont="1" applyFill="1" applyAlignment="1">
      <alignment horizontal="right"/>
    </xf>
    <xf numFmtId="3" fontId="44" fillId="0" borderId="0" xfId="0" applyNumberFormat="1" applyFont="1" applyAlignment="1">
      <alignment horizontal="right"/>
    </xf>
    <xf numFmtId="0" fontId="75" fillId="0" borderId="0" xfId="0" applyNumberFormat="1" applyFont="1" applyFill="1" applyAlignment="1">
      <alignment horizontal="left"/>
    </xf>
    <xf numFmtId="0" fontId="25" fillId="0" borderId="12" xfId="0" applyNumberFormat="1" applyFont="1" applyFill="1" applyBorder="1" applyAlignment="1">
      <alignment horizontal="left"/>
    </xf>
    <xf numFmtId="3" fontId="44" fillId="0" borderId="0" xfId="0" applyNumberFormat="1" applyFont="1" applyFill="1" applyAlignment="1">
      <alignment horizontal="right"/>
    </xf>
    <xf numFmtId="0" fontId="25" fillId="0" borderId="19" xfId="0" applyNumberFormat="1" applyFont="1" applyBorder="1" applyAlignment="1">
      <alignment horizontal="center"/>
    </xf>
    <xf numFmtId="3" fontId="25" fillId="0" borderId="19" xfId="0" applyNumberFormat="1" applyFont="1" applyBorder="1" applyAlignment="1">
      <alignment horizontal="right"/>
    </xf>
    <xf numFmtId="165" fontId="25" fillId="0" borderId="0" xfId="0" applyNumberFormat="1" applyFont="1" applyAlignment="1">
      <alignment horizontal="right"/>
    </xf>
    <xf numFmtId="0" fontId="46" fillId="0" borderId="0" xfId="0" applyFont="1" applyFill="1" applyAlignment="1">
      <alignment horizontal="center"/>
    </xf>
    <xf numFmtId="3" fontId="25" fillId="2" borderId="0" xfId="0" applyNumberFormat="1" applyFont="1" applyFill="1" applyAlignment="1">
      <alignment horizontal="right"/>
    </xf>
    <xf numFmtId="0" fontId="25" fillId="0" borderId="12" xfId="0" applyNumberFormat="1" applyFont="1" applyFill="1" applyBorder="1" applyAlignment="1">
      <alignment horizontal="center"/>
    </xf>
    <xf numFmtId="3" fontId="44" fillId="0" borderId="12" xfId="0" applyNumberFormat="1" applyFont="1" applyBorder="1" applyAlignment="1">
      <alignment horizontal="right"/>
    </xf>
    <xf numFmtId="3" fontId="25" fillId="0" borderId="19" xfId="0" applyNumberFormat="1" applyFont="1" applyBorder="1"/>
    <xf numFmtId="3" fontId="43" fillId="0" borderId="0" xfId="0" applyNumberFormat="1" applyFont="1" applyFill="1" applyAlignment="1">
      <alignment horizontal="right"/>
    </xf>
    <xf numFmtId="176" fontId="43" fillId="0" borderId="0" xfId="12" applyNumberFormat="1" applyFont="1" applyAlignment="1">
      <alignment horizontal="right"/>
    </xf>
    <xf numFmtId="3" fontId="43" fillId="0" borderId="19" xfId="0" applyNumberFormat="1" applyFont="1" applyBorder="1" applyAlignment="1">
      <alignment horizontal="right"/>
    </xf>
    <xf numFmtId="0" fontId="25" fillId="2" borderId="0" xfId="0" applyFont="1" applyFill="1"/>
    <xf numFmtId="0" fontId="25" fillId="0" borderId="12" xfId="0" applyFont="1" applyBorder="1"/>
    <xf numFmtId="0" fontId="45" fillId="0" borderId="12" xfId="0" applyFont="1" applyBorder="1" applyAlignment="1">
      <alignment horizontal="center"/>
    </xf>
    <xf numFmtId="0" fontId="25" fillId="0" borderId="12" xfId="0" applyFont="1" applyFill="1" applyBorder="1"/>
    <xf numFmtId="0" fontId="25" fillId="2" borderId="12" xfId="0" applyFont="1" applyFill="1" applyBorder="1"/>
    <xf numFmtId="3" fontId="25" fillId="0" borderId="20" xfId="0" applyNumberFormat="1" applyFont="1" applyFill="1" applyBorder="1" applyAlignment="1"/>
    <xf numFmtId="0" fontId="25" fillId="0" borderId="20" xfId="0" applyFont="1" applyFill="1" applyBorder="1"/>
    <xf numFmtId="3" fontId="25" fillId="0" borderId="20" xfId="0" applyNumberFormat="1" applyFont="1" applyFill="1" applyBorder="1"/>
    <xf numFmtId="0" fontId="76" fillId="7" borderId="0" xfId="0" applyFont="1" applyFill="1" applyAlignment="1">
      <alignment horizontal="left"/>
    </xf>
    <xf numFmtId="0" fontId="76" fillId="7" borderId="0" xfId="0" applyFont="1" applyFill="1" applyAlignment="1"/>
    <xf numFmtId="0" fontId="43" fillId="7" borderId="0" xfId="0" applyNumberFormat="1" applyFont="1" applyFill="1" applyAlignment="1">
      <alignment horizontal="left"/>
    </xf>
    <xf numFmtId="0" fontId="43" fillId="7" borderId="0" xfId="0" applyNumberFormat="1" applyFont="1" applyFill="1" applyAlignment="1">
      <alignment horizontal="center"/>
    </xf>
    <xf numFmtId="0" fontId="43" fillId="0" borderId="0" xfId="0" applyNumberFormat="1" applyFont="1" applyFill="1" applyAlignment="1">
      <alignment horizontal="center"/>
    </xf>
    <xf numFmtId="0" fontId="77" fillId="0" borderId="0" xfId="0" applyFont="1"/>
    <xf numFmtId="0" fontId="7" fillId="0" borderId="0" xfId="0" applyFont="1" applyFill="1" applyAlignment="1"/>
    <xf numFmtId="3" fontId="25" fillId="0" borderId="19" xfId="0" applyNumberFormat="1" applyFont="1" applyFill="1" applyBorder="1" applyAlignment="1">
      <alignment horizontal="center"/>
    </xf>
    <xf numFmtId="0" fontId="25" fillId="0" borderId="12" xfId="0" applyFont="1" applyFill="1" applyBorder="1" applyAlignment="1"/>
    <xf numFmtId="0" fontId="45" fillId="0" borderId="0" xfId="0" applyFont="1" applyFill="1" applyAlignment="1">
      <alignment horizontal="center"/>
    </xf>
    <xf numFmtId="0" fontId="45" fillId="0" borderId="12" xfId="0" applyFont="1" applyFill="1" applyBorder="1" applyAlignment="1"/>
    <xf numFmtId="3" fontId="25" fillId="2" borderId="12" xfId="0" applyNumberFormat="1" applyFont="1" applyFill="1" applyBorder="1" applyAlignment="1">
      <alignment horizontal="right"/>
    </xf>
    <xf numFmtId="3" fontId="25" fillId="0" borderId="4" xfId="0" applyNumberFormat="1" applyFont="1" applyFill="1" applyBorder="1" applyAlignment="1">
      <alignment horizontal="right"/>
    </xf>
    <xf numFmtId="10" fontId="25" fillId="0" borderId="0" xfId="0" applyNumberFormat="1" applyFont="1" applyAlignment="1">
      <alignment horizontal="right"/>
    </xf>
    <xf numFmtId="3" fontId="25" fillId="0" borderId="20" xfId="0" applyNumberFormat="1" applyFont="1" applyBorder="1" applyAlignment="1">
      <alignment horizontal="center"/>
    </xf>
    <xf numFmtId="165" fontId="44" fillId="0" borderId="0" xfId="0" applyNumberFormat="1" applyFont="1" applyAlignment="1">
      <alignment horizontal="right"/>
    </xf>
    <xf numFmtId="0" fontId="25" fillId="0" borderId="0" xfId="0" applyFont="1" applyAlignment="1">
      <alignment horizontal="center" vertical="center"/>
    </xf>
    <xf numFmtId="165" fontId="25" fillId="0" borderId="12" xfId="0" applyNumberFormat="1" applyFont="1" applyBorder="1" applyAlignment="1">
      <alignment horizontal="right"/>
    </xf>
    <xf numFmtId="3" fontId="43" fillId="0" borderId="0" xfId="0" applyNumberFormat="1" applyFont="1" applyAlignment="1">
      <alignment horizontal="right"/>
    </xf>
    <xf numFmtId="3" fontId="43" fillId="2" borderId="0" xfId="0" applyNumberFormat="1" applyFont="1" applyFill="1" applyAlignment="1">
      <alignment horizontal="right"/>
    </xf>
    <xf numFmtId="3" fontId="43" fillId="2" borderId="12" xfId="0" applyNumberFormat="1" applyFont="1" applyFill="1" applyBorder="1" applyAlignment="1">
      <alignment horizontal="right"/>
    </xf>
    <xf numFmtId="0" fontId="46" fillId="0" borderId="0" xfId="0" applyNumberFormat="1" applyFont="1" applyFill="1" applyAlignment="1">
      <alignment horizontal="center"/>
    </xf>
    <xf numFmtId="0" fontId="46" fillId="0" borderId="0" xfId="0" applyNumberFormat="1" applyFont="1" applyFill="1" applyAlignment="1"/>
    <xf numFmtId="0" fontId="25" fillId="0" borderId="20" xfId="0" applyNumberFormat="1" applyFont="1" applyBorder="1" applyAlignment="1">
      <alignment horizontal="left"/>
    </xf>
    <xf numFmtId="0" fontId="43" fillId="0" borderId="20" xfId="0" applyNumberFormat="1" applyFont="1" applyBorder="1" applyAlignment="1">
      <alignment horizontal="left"/>
    </xf>
    <xf numFmtId="0" fontId="25" fillId="0" borderId="20" xfId="0" applyNumberFormat="1" applyFont="1" applyBorder="1" applyAlignment="1">
      <alignment horizontal="center"/>
    </xf>
    <xf numFmtId="0" fontId="25" fillId="0" borderId="20" xfId="0" applyFont="1" applyBorder="1" applyAlignment="1">
      <alignment horizontal="right"/>
    </xf>
    <xf numFmtId="3" fontId="25" fillId="0" borderId="20" xfId="0" applyNumberFormat="1" applyFont="1" applyBorder="1" applyAlignment="1">
      <alignment horizontal="right"/>
    </xf>
    <xf numFmtId="0" fontId="72" fillId="7" borderId="0" xfId="0" applyFont="1" applyFill="1" applyBorder="1" applyAlignment="1">
      <alignment horizontal="center"/>
    </xf>
    <xf numFmtId="0" fontId="78" fillId="0" borderId="0" xfId="0" applyNumberFormat="1" applyFont="1" applyFill="1" applyAlignment="1">
      <alignment horizontal="left"/>
    </xf>
    <xf numFmtId="164" fontId="25" fillId="0" borderId="0" xfId="8" applyNumberFormat="1" applyFont="1" applyFill="1"/>
    <xf numFmtId="171" fontId="25" fillId="0" borderId="12" xfId="13" applyFont="1" applyFill="1" applyBorder="1" applyAlignment="1">
      <alignment vertical="center"/>
    </xf>
    <xf numFmtId="3" fontId="45" fillId="0" borderId="12" xfId="0" applyNumberFormat="1" applyFont="1" applyFill="1" applyBorder="1" applyAlignment="1">
      <alignment horizontal="center"/>
    </xf>
    <xf numFmtId="164" fontId="25" fillId="2" borderId="0" xfId="8" applyNumberFormat="1" applyFont="1" applyFill="1" applyBorder="1"/>
    <xf numFmtId="3" fontId="25" fillId="0" borderId="12" xfId="0" applyNumberFormat="1" applyFont="1" applyFill="1" applyBorder="1" applyAlignment="1">
      <alignment horizontal="center"/>
    </xf>
    <xf numFmtId="3" fontId="25" fillId="2" borderId="12" xfId="0" applyNumberFormat="1" applyFont="1" applyFill="1" applyBorder="1" applyAlignment="1"/>
    <xf numFmtId="0" fontId="45" fillId="0" borderId="0" xfId="0" applyFont="1" applyAlignment="1">
      <alignment horizontal="center"/>
    </xf>
    <xf numFmtId="9" fontId="25" fillId="0" borderId="0" xfId="0" applyNumberFormat="1" applyFont="1" applyAlignment="1"/>
    <xf numFmtId="172" fontId="25" fillId="2" borderId="0" xfId="0" applyNumberFormat="1" applyFont="1" applyFill="1" applyAlignment="1"/>
    <xf numFmtId="3" fontId="25" fillId="0" borderId="0" xfId="0" quotePrefix="1" applyNumberFormat="1" applyFont="1" applyBorder="1" applyAlignment="1">
      <alignment horizontal="right"/>
    </xf>
    <xf numFmtId="164" fontId="7" fillId="0" borderId="0" xfId="8" applyNumberFormat="1" applyFont="1"/>
    <xf numFmtId="167" fontId="25" fillId="0" borderId="20" xfId="0" applyNumberFormat="1" applyFont="1" applyBorder="1" applyAlignment="1">
      <alignment horizontal="left"/>
    </xf>
    <xf numFmtId="174" fontId="25" fillId="0" borderId="20" xfId="0" applyNumberFormat="1" applyFont="1" applyBorder="1" applyAlignment="1">
      <alignment horizontal="center"/>
    </xf>
    <xf numFmtId="167" fontId="25" fillId="0" borderId="0" xfId="0" applyNumberFormat="1" applyFont="1" applyBorder="1" applyAlignment="1">
      <alignment horizontal="left"/>
    </xf>
    <xf numFmtId="10" fontId="42" fillId="2" borderId="0" xfId="0" applyNumberFormat="1" applyFont="1" applyFill="1"/>
    <xf numFmtId="10" fontId="25" fillId="0" borderId="0" xfId="12" applyNumberFormat="1" applyFont="1" applyAlignment="1"/>
    <xf numFmtId="0" fontId="25" fillId="0" borderId="19" xfId="0" applyNumberFormat="1" applyFont="1" applyBorder="1" applyAlignment="1">
      <alignment horizontal="left"/>
    </xf>
    <xf numFmtId="10" fontId="46" fillId="0" borderId="0" xfId="0" applyNumberFormat="1" applyFont="1" applyFill="1" applyAlignment="1">
      <alignment horizontal="right"/>
    </xf>
    <xf numFmtId="174" fontId="25" fillId="0" borderId="20" xfId="0" applyNumberFormat="1" applyFont="1" applyBorder="1" applyAlignment="1"/>
    <xf numFmtId="164" fontId="25" fillId="0" borderId="20" xfId="8" applyNumberFormat="1" applyFont="1" applyFill="1" applyBorder="1" applyAlignment="1">
      <alignment horizontal="right"/>
    </xf>
    <xf numFmtId="0" fontId="74" fillId="0" borderId="14" xfId="0" applyNumberFormat="1" applyFont="1" applyBorder="1" applyAlignment="1">
      <alignment horizontal="center"/>
    </xf>
    <xf numFmtId="0" fontId="74" fillId="0" borderId="15" xfId="0" applyNumberFormat="1" applyFont="1" applyBorder="1" applyAlignment="1">
      <alignment horizontal="center"/>
    </xf>
    <xf numFmtId="0" fontId="74" fillId="0" borderId="15" xfId="0" applyNumberFormat="1" applyFont="1" applyFill="1" applyBorder="1" applyAlignment="1"/>
    <xf numFmtId="0" fontId="74" fillId="0" borderId="15" xfId="0" applyFont="1" applyFill="1" applyBorder="1" applyAlignment="1"/>
    <xf numFmtId="3" fontId="74" fillId="0" borderId="15" xfId="0" applyNumberFormat="1" applyFont="1" applyBorder="1" applyAlignment="1">
      <alignment horizontal="center"/>
    </xf>
    <xf numFmtId="3" fontId="74" fillId="0" borderId="15" xfId="0" applyNumberFormat="1" applyFont="1" applyBorder="1" applyAlignment="1"/>
    <xf numFmtId="0" fontId="74" fillId="0" borderId="15" xfId="0" applyFont="1" applyBorder="1" applyAlignment="1"/>
    <xf numFmtId="3" fontId="25" fillId="0" borderId="15" xfId="0" applyNumberFormat="1" applyFont="1" applyBorder="1"/>
    <xf numFmtId="164" fontId="25" fillId="0" borderId="0" xfId="0" applyNumberFormat="1" applyFont="1"/>
    <xf numFmtId="0" fontId="74" fillId="0" borderId="0" xfId="0" applyNumberFormat="1" applyFont="1" applyBorder="1" applyAlignment="1">
      <alignment horizontal="center"/>
    </xf>
    <xf numFmtId="0" fontId="74" fillId="0" borderId="0" xfId="0" applyNumberFormat="1" applyFont="1" applyFill="1" applyBorder="1" applyAlignment="1"/>
    <xf numFmtId="0" fontId="74" fillId="0" borderId="0" xfId="0" applyFont="1" applyFill="1" applyBorder="1" applyAlignment="1"/>
    <xf numFmtId="3" fontId="74" fillId="0" borderId="0" xfId="0" applyNumberFormat="1" applyFont="1" applyBorder="1" applyAlignment="1">
      <alignment horizontal="center"/>
    </xf>
    <xf numFmtId="0" fontId="74" fillId="0" borderId="0" xfId="0" applyFont="1" applyBorder="1" applyAlignment="1"/>
    <xf numFmtId="3" fontId="25" fillId="0" borderId="0" xfId="0" applyNumberFormat="1" applyFont="1" applyBorder="1"/>
    <xf numFmtId="3" fontId="25" fillId="0" borderId="0" xfId="0" applyNumberFormat="1" applyFont="1" applyFill="1" applyBorder="1"/>
    <xf numFmtId="0" fontId="25" fillId="0" borderId="12" xfId="0" applyNumberFormat="1" applyFont="1" applyFill="1" applyBorder="1" applyAlignment="1"/>
    <xf numFmtId="0" fontId="74" fillId="0" borderId="12" xfId="0" applyFont="1" applyFill="1" applyBorder="1" applyAlignment="1"/>
    <xf numFmtId="3" fontId="25" fillId="0" borderId="12" xfId="0" applyNumberFormat="1" applyFont="1" applyFill="1" applyBorder="1"/>
    <xf numFmtId="3" fontId="74" fillId="0" borderId="0" xfId="0" applyNumberFormat="1" applyFont="1" applyFill="1" applyBorder="1" applyAlignment="1">
      <alignment horizontal="center"/>
    </xf>
    <xf numFmtId="10" fontId="25" fillId="0" borderId="0" xfId="12" applyNumberFormat="1" applyFont="1" applyFill="1" applyBorder="1"/>
    <xf numFmtId="3" fontId="74" fillId="0" borderId="12" xfId="0" applyNumberFormat="1" applyFont="1" applyBorder="1" applyAlignment="1">
      <alignment horizontal="center"/>
    </xf>
    <xf numFmtId="164" fontId="25" fillId="2" borderId="0" xfId="8" applyNumberFormat="1" applyFont="1" applyFill="1" applyAlignment="1"/>
    <xf numFmtId="0" fontId="25" fillId="0" borderId="15" xfId="0" applyFont="1" applyBorder="1"/>
    <xf numFmtId="0" fontId="74" fillId="0" borderId="15" xfId="0" applyNumberFormat="1" applyFont="1" applyBorder="1" applyAlignment="1">
      <alignment horizontal="left"/>
    </xf>
    <xf numFmtId="0" fontId="74" fillId="0" borderId="15" xfId="0" applyFont="1" applyFill="1" applyBorder="1"/>
    <xf numFmtId="0" fontId="74" fillId="0" borderId="15" xfId="0" applyFont="1" applyBorder="1" applyAlignment="1">
      <alignment horizontal="center"/>
    </xf>
    <xf numFmtId="164" fontId="25" fillId="0" borderId="0" xfId="8" applyNumberFormat="1" applyFont="1" applyAlignment="1"/>
    <xf numFmtId="43" fontId="25" fillId="0" borderId="0" xfId="12" applyNumberFormat="1" applyFont="1" applyAlignment="1"/>
    <xf numFmtId="166" fontId="25" fillId="0" borderId="0" xfId="0" applyNumberFormat="1" applyFont="1" applyAlignment="1">
      <alignment horizontal="center"/>
    </xf>
    <xf numFmtId="164" fontId="25" fillId="0" borderId="0" xfId="0" applyNumberFormat="1" applyFont="1" applyFill="1"/>
    <xf numFmtId="0" fontId="70" fillId="0" borderId="0" xfId="0" applyFont="1" applyFill="1" applyBorder="1"/>
    <xf numFmtId="164" fontId="25" fillId="0" borderId="0" xfId="8" applyNumberFormat="1" applyFont="1" applyFill="1" applyBorder="1" applyAlignment="1"/>
    <xf numFmtId="43" fontId="25" fillId="0" borderId="0" xfId="8" applyFont="1" applyAlignment="1"/>
    <xf numFmtId="0" fontId="43" fillId="0" borderId="0" xfId="0" applyFont="1" applyAlignment="1"/>
    <xf numFmtId="164" fontId="43" fillId="2" borderId="0" xfId="8" applyNumberFormat="1" applyFont="1" applyFill="1" applyBorder="1" applyAlignment="1">
      <alignment horizontal="right"/>
    </xf>
    <xf numFmtId="0" fontId="79" fillId="0" borderId="0" xfId="0" applyFont="1" applyFill="1" applyAlignment="1"/>
    <xf numFmtId="0" fontId="47" fillId="0" borderId="0" xfId="0" applyFont="1" applyFill="1" applyBorder="1" applyAlignment="1">
      <alignment horizontal="center"/>
    </xf>
    <xf numFmtId="37" fontId="43" fillId="0" borderId="0" xfId="0" applyNumberFormat="1" applyFont="1" applyBorder="1" applyAlignment="1">
      <alignment horizontal="left"/>
    </xf>
    <xf numFmtId="37" fontId="43" fillId="0" borderId="0" xfId="0" applyNumberFormat="1" applyFont="1" applyBorder="1" applyAlignment="1">
      <alignment horizontal="right"/>
    </xf>
    <xf numFmtId="0" fontId="47" fillId="0" borderId="0" xfId="0" applyFont="1" applyBorder="1" applyAlignment="1">
      <alignment horizontal="center"/>
    </xf>
    <xf numFmtId="37" fontId="25" fillId="0" borderId="15" xfId="0" applyNumberFormat="1" applyFont="1" applyBorder="1" applyAlignment="1">
      <alignment horizontal="center"/>
    </xf>
    <xf numFmtId="0" fontId="80" fillId="0" borderId="0" xfId="0" applyFont="1" applyAlignment="1">
      <alignment horizontal="left"/>
    </xf>
    <xf numFmtId="0" fontId="43" fillId="0" borderId="0" xfId="0" applyFont="1" applyBorder="1" applyAlignment="1"/>
    <xf numFmtId="0" fontId="48" fillId="0" borderId="0" xfId="0" applyFont="1" applyBorder="1" applyAlignment="1">
      <alignment horizontal="center"/>
    </xf>
    <xf numFmtId="37" fontId="40" fillId="0" borderId="0" xfId="0" applyNumberFormat="1" applyFont="1" applyBorder="1" applyAlignment="1">
      <alignment horizontal="right"/>
    </xf>
    <xf numFmtId="0" fontId="1" fillId="0" borderId="0" xfId="0" applyNumberFormat="1" applyFont="1" applyBorder="1" applyAlignment="1">
      <alignment horizontal="center"/>
    </xf>
    <xf numFmtId="0" fontId="21" fillId="0" borderId="0" xfId="0" applyNumberFormat="1" applyFont="1" applyBorder="1" applyAlignment="1">
      <alignment horizontal="center"/>
    </xf>
    <xf numFmtId="0" fontId="21" fillId="0" borderId="0" xfId="0" applyNumberFormat="1" applyFont="1" applyFill="1" applyBorder="1" applyAlignment="1">
      <alignment horizontal="center"/>
    </xf>
    <xf numFmtId="0" fontId="6" fillId="0" borderId="0" xfId="0" applyFont="1" applyFill="1" applyAlignment="1">
      <alignment horizontal="left"/>
    </xf>
    <xf numFmtId="0" fontId="10" fillId="0" borderId="0" xfId="0" applyFont="1" applyFill="1" applyBorder="1" applyAlignment="1">
      <alignment horizontal="center"/>
    </xf>
    <xf numFmtId="37" fontId="6" fillId="0" borderId="0" xfId="0" applyNumberFormat="1" applyFont="1" applyFill="1" applyBorder="1" applyAlignment="1">
      <alignment horizontal="left"/>
    </xf>
    <xf numFmtId="166" fontId="25" fillId="0" borderId="0" xfId="10" applyNumberFormat="1" applyFont="1"/>
    <xf numFmtId="0" fontId="6" fillId="0" borderId="0" xfId="0" applyFont="1" applyFill="1" applyAlignment="1"/>
    <xf numFmtId="0" fontId="6" fillId="0" borderId="0" xfId="0" applyNumberFormat="1" applyFont="1" applyFill="1" applyAlignment="1">
      <alignment horizontal="center"/>
    </xf>
    <xf numFmtId="0" fontId="6" fillId="0" borderId="0" xfId="0" applyFont="1" applyAlignment="1"/>
    <xf numFmtId="168" fontId="6" fillId="0" borderId="0" xfId="21" applyFont="1" applyFill="1" applyAlignment="1" applyProtection="1">
      <protection locked="0"/>
    </xf>
    <xf numFmtId="0" fontId="43" fillId="0" borderId="0" xfId="0" applyFont="1" applyFill="1" applyAlignment="1"/>
    <xf numFmtId="0" fontId="48" fillId="0" borderId="0" xfId="0" applyFont="1" applyFill="1" applyBorder="1" applyAlignment="1">
      <alignment horizontal="center"/>
    </xf>
    <xf numFmtId="37" fontId="43" fillId="0" borderId="0" xfId="0" applyNumberFormat="1" applyFont="1" applyFill="1" applyBorder="1" applyAlignment="1">
      <alignment horizontal="left"/>
    </xf>
    <xf numFmtId="0" fontId="81" fillId="0" borderId="0" xfId="0" applyNumberFormat="1" applyFont="1" applyFill="1" applyBorder="1" applyAlignment="1">
      <alignment horizontal="left"/>
    </xf>
    <xf numFmtId="0" fontId="74" fillId="0" borderId="0" xfId="0" applyNumberFormat="1" applyFont="1" applyFill="1" applyBorder="1" applyAlignment="1">
      <alignment horizontal="center"/>
    </xf>
    <xf numFmtId="0" fontId="7" fillId="0" borderId="0" xfId="0" applyNumberFormat="1" applyFont="1" applyBorder="1" applyAlignment="1">
      <alignment horizontal="center"/>
    </xf>
    <xf numFmtId="0" fontId="43" fillId="0" borderId="0" xfId="0" applyFont="1" applyFill="1" applyBorder="1" applyAlignment="1"/>
    <xf numFmtId="0" fontId="7" fillId="0" borderId="0" xfId="0" applyNumberFormat="1" applyFont="1" applyFill="1" applyBorder="1" applyAlignment="1">
      <alignment horizontal="left"/>
    </xf>
    <xf numFmtId="0" fontId="71" fillId="7" borderId="0" xfId="0" applyNumberFormat="1" applyFont="1" applyFill="1" applyAlignment="1">
      <alignment horizontal="left"/>
    </xf>
    <xf numFmtId="0" fontId="25" fillId="7" borderId="0" xfId="0" applyNumberFormat="1" applyFont="1" applyFill="1" applyAlignment="1">
      <alignment horizontal="center"/>
    </xf>
    <xf numFmtId="3" fontId="25" fillId="7" borderId="0" xfId="0" applyNumberFormat="1" applyFont="1" applyFill="1" applyAlignment="1">
      <alignment horizontal="center"/>
    </xf>
    <xf numFmtId="43" fontId="25" fillId="0" borderId="0" xfId="8" applyFont="1"/>
    <xf numFmtId="180" fontId="25" fillId="0" borderId="0" xfId="12" applyNumberFormat="1" applyFont="1"/>
    <xf numFmtId="43" fontId="25" fillId="0" borderId="0" xfId="0" applyNumberFormat="1" applyFont="1"/>
    <xf numFmtId="3" fontId="6" fillId="0" borderId="8" xfId="0" applyNumberFormat="1" applyFont="1" applyFill="1" applyBorder="1" applyAlignment="1">
      <alignment horizontal="left"/>
    </xf>
    <xf numFmtId="3" fontId="6" fillId="0" borderId="0" xfId="0" applyNumberFormat="1" applyFont="1" applyFill="1" applyBorder="1" applyAlignment="1">
      <alignment horizontal="left"/>
    </xf>
    <xf numFmtId="3" fontId="6" fillId="0" borderId="6" xfId="0" applyNumberFormat="1" applyFont="1" applyFill="1" applyBorder="1" applyAlignment="1">
      <alignment horizontal="center"/>
    </xf>
    <xf numFmtId="3" fontId="6" fillId="0" borderId="8" xfId="0" applyNumberFormat="1" applyFont="1" applyFill="1" applyBorder="1" applyAlignment="1">
      <alignment horizontal="center"/>
    </xf>
    <xf numFmtId="3" fontId="25" fillId="0" borderId="0" xfId="0" applyNumberFormat="1" applyFont="1" applyFill="1" applyBorder="1" applyAlignment="1">
      <alignment horizontal="left"/>
    </xf>
    <xf numFmtId="3" fontId="25" fillId="0" borderId="19" xfId="0" applyNumberFormat="1" applyFont="1" applyFill="1" applyBorder="1" applyAlignment="1">
      <alignment horizontal="left"/>
    </xf>
    <xf numFmtId="3" fontId="25" fillId="0" borderId="19" xfId="0" applyNumberFormat="1" applyFont="1" applyBorder="1" applyAlignment="1">
      <alignment horizontal="left"/>
    </xf>
    <xf numFmtId="3" fontId="7" fillId="0" borderId="0" xfId="0" applyNumberFormat="1" applyFont="1" applyBorder="1" applyAlignment="1">
      <alignment horizontal="left"/>
    </xf>
    <xf numFmtId="0" fontId="20" fillId="3" borderId="4" xfId="0" applyFont="1" applyFill="1" applyBorder="1" applyAlignment="1">
      <alignment wrapText="1"/>
    </xf>
    <xf numFmtId="0" fontId="8" fillId="0" borderId="0" xfId="22" applyFont="1"/>
    <xf numFmtId="0" fontId="11" fillId="0" borderId="0" xfId="7" applyFont="1" applyBorder="1"/>
    <xf numFmtId="0" fontId="9" fillId="0" borderId="0" xfId="7" applyFont="1" applyBorder="1"/>
    <xf numFmtId="0" fontId="8" fillId="0" borderId="0" xfId="7" applyFont="1"/>
    <xf numFmtId="0" fontId="9" fillId="0" borderId="0" xfId="22" applyFont="1" applyAlignment="1">
      <alignment horizontal="left"/>
    </xf>
    <xf numFmtId="0" fontId="9" fillId="0" borderId="0" xfId="7" applyFont="1" applyAlignment="1">
      <alignment horizontal="center"/>
    </xf>
    <xf numFmtId="0" fontId="9" fillId="0" borderId="0" xfId="7" applyFont="1" applyBorder="1" applyAlignment="1">
      <alignment horizontal="center"/>
    </xf>
    <xf numFmtId="0" fontId="9" fillId="0" borderId="0" xfId="7" applyFont="1" applyFill="1" applyBorder="1" applyAlignment="1">
      <alignment horizontal="center"/>
    </xf>
    <xf numFmtId="0" fontId="8" fillId="0" borderId="0" xfId="7" applyFont="1" applyAlignment="1">
      <alignment horizontal="center"/>
    </xf>
    <xf numFmtId="0" fontId="8" fillId="0" borderId="0" xfId="7" applyFont="1" applyBorder="1" applyAlignment="1">
      <alignment horizontal="center"/>
    </xf>
    <xf numFmtId="0" fontId="8" fillId="0" borderId="0" xfId="7" applyFont="1" applyFill="1" applyBorder="1" applyAlignment="1">
      <alignment horizontal="center"/>
    </xf>
    <xf numFmtId="0" fontId="59" fillId="0" borderId="0" xfId="23" applyFont="1"/>
    <xf numFmtId="181" fontId="84" fillId="9" borderId="0" xfId="22" applyNumberFormat="1" applyFill="1" applyBorder="1"/>
    <xf numFmtId="181" fontId="83" fillId="0" borderId="0" xfId="8" applyNumberFormat="1" applyFont="1" applyAlignment="1">
      <alignment horizontal="center"/>
    </xf>
    <xf numFmtId="181" fontId="0" fillId="0" borderId="0" xfId="10" applyNumberFormat="1" applyFont="1" applyBorder="1"/>
    <xf numFmtId="181" fontId="84" fillId="9" borderId="0" xfId="22" applyNumberFormat="1" applyFill="1"/>
    <xf numFmtId="181" fontId="59" fillId="0" borderId="0" xfId="24" applyNumberFormat="1" applyFont="1" applyBorder="1"/>
    <xf numFmtId="181" fontId="85" fillId="9" borderId="0" xfId="25" applyNumberFormat="1" applyFont="1" applyFill="1"/>
    <xf numFmtId="181" fontId="59" fillId="0" borderId="0" xfId="26" applyNumberFormat="1" applyFont="1" applyBorder="1"/>
    <xf numFmtId="181" fontId="59" fillId="9" borderId="0" xfId="25" applyNumberFormat="1" applyFont="1" applyFill="1"/>
    <xf numFmtId="181" fontId="59" fillId="9" borderId="0" xfId="25" applyNumberFormat="1" applyFont="1" applyFill="1" applyBorder="1"/>
    <xf numFmtId="181" fontId="0" fillId="0" borderId="0" xfId="8" applyNumberFormat="1" applyFont="1" applyBorder="1"/>
    <xf numFmtId="181" fontId="84" fillId="0" borderId="0" xfId="22" applyNumberFormat="1"/>
    <xf numFmtId="49" fontId="8" fillId="0" borderId="0" xfId="7" applyNumberFormat="1" applyFont="1" applyFill="1" applyBorder="1" applyAlignment="1">
      <alignment horizontal="left"/>
    </xf>
    <xf numFmtId="41" fontId="8" fillId="0" borderId="0" xfId="7" applyNumberFormat="1" applyFont="1" applyFill="1" applyBorder="1"/>
    <xf numFmtId="41" fontId="8" fillId="0" borderId="0" xfId="7" applyNumberFormat="1" applyFont="1" applyBorder="1" applyAlignment="1">
      <alignment horizontal="center"/>
    </xf>
    <xf numFmtId="42" fontId="8" fillId="0" borderId="0" xfId="22" applyNumberFormat="1" applyFont="1"/>
    <xf numFmtId="166" fontId="86" fillId="0" borderId="20" xfId="10" applyNumberFormat="1" applyFont="1" applyBorder="1"/>
    <xf numFmtId="41" fontId="4" fillId="0" borderId="0" xfId="7" applyNumberFormat="1" applyFont="1" applyFill="1" applyBorder="1"/>
    <xf numFmtId="0" fontId="8" fillId="0" borderId="0" xfId="7" applyFont="1" applyFill="1" applyBorder="1"/>
    <xf numFmtId="42" fontId="8" fillId="0" borderId="0" xfId="7" applyNumberFormat="1" applyFont="1" applyFill="1" applyBorder="1"/>
    <xf numFmtId="164" fontId="23" fillId="0" borderId="0" xfId="0" applyNumberFormat="1" applyFont="1" applyFill="1" applyBorder="1" applyAlignment="1">
      <alignment horizontal="center" wrapText="1"/>
    </xf>
    <xf numFmtId="166" fontId="87" fillId="0" borderId="0" xfId="0" applyNumberFormat="1" applyFont="1" applyBorder="1"/>
    <xf numFmtId="41" fontId="8" fillId="0" borderId="0" xfId="19" applyNumberFormat="1" applyFont="1"/>
    <xf numFmtId="0" fontId="6" fillId="0" borderId="0" xfId="0" applyNumberFormat="1" applyFont="1" applyFill="1" applyAlignment="1">
      <alignment wrapText="1"/>
    </xf>
    <xf numFmtId="0" fontId="0" fillId="0" borderId="0" xfId="0" applyAlignment="1">
      <alignment wrapText="1"/>
    </xf>
    <xf numFmtId="0" fontId="56" fillId="0" borderId="0" xfId="16" applyFont="1" applyAlignment="1">
      <alignment horizontal="center"/>
    </xf>
    <xf numFmtId="0" fontId="57" fillId="0" borderId="0" xfId="16" applyFont="1" applyAlignment="1"/>
    <xf numFmtId="0" fontId="58" fillId="0" borderId="0" xfId="16" applyFont="1" applyAlignment="1"/>
    <xf numFmtId="0" fontId="1" fillId="0" borderId="0" xfId="0" applyFont="1" applyAlignment="1">
      <alignment horizontal="center"/>
    </xf>
    <xf numFmtId="0" fontId="0" fillId="0" borderId="0" xfId="0" applyAlignment="1"/>
    <xf numFmtId="0" fontId="3" fillId="0" borderId="0" xfId="0" applyFont="1" applyAlignment="1">
      <alignment horizontal="center"/>
    </xf>
    <xf numFmtId="0" fontId="25" fillId="0" borderId="0" xfId="0" applyFont="1" applyAlignment="1">
      <alignment horizontal="center"/>
    </xf>
    <xf numFmtId="0" fontId="15" fillId="0" borderId="0" xfId="0" applyFont="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9" fillId="3" borderId="3" xfId="0" applyFont="1" applyFill="1" applyBorder="1" applyAlignment="1">
      <alignment horizontal="center"/>
    </xf>
    <xf numFmtId="0" fontId="20" fillId="3" borderId="4" xfId="0" applyFont="1" applyFill="1" applyBorder="1" applyAlignment="1">
      <alignment horizontal="center" wrapText="1"/>
    </xf>
    <xf numFmtId="0" fontId="12" fillId="0" borderId="4" xfId="0" applyFont="1" applyBorder="1" applyAlignment="1">
      <alignment horizontal="center" wrapText="1"/>
    </xf>
    <xf numFmtId="0" fontId="12" fillId="0" borderId="3" xfId="0" applyFont="1" applyBorder="1" applyAlignment="1">
      <alignment horizontal="center" wrapText="1"/>
    </xf>
    <xf numFmtId="0" fontId="20" fillId="0" borderId="0" xfId="0" applyFont="1" applyFill="1" applyBorder="1" applyAlignment="1">
      <alignment horizontal="center" wrapText="1"/>
    </xf>
    <xf numFmtId="0" fontId="12" fillId="0" borderId="0" xfId="0" applyFont="1" applyFill="1" applyBorder="1" applyAlignment="1">
      <alignment horizontal="center" wrapText="1"/>
    </xf>
    <xf numFmtId="0" fontId="12" fillId="0" borderId="6" xfId="0" applyFont="1" applyFill="1" applyBorder="1" applyAlignment="1">
      <alignment horizontal="center" wrapText="1"/>
    </xf>
    <xf numFmtId="3" fontId="12" fillId="0" borderId="0" xfId="0" applyNumberFormat="1" applyFont="1" applyBorder="1" applyAlignment="1">
      <alignment horizontal="left" wrapText="1"/>
    </xf>
    <xf numFmtId="0" fontId="0" fillId="0" borderId="0" xfId="0" applyBorder="1" applyAlignment="1">
      <alignment wrapText="1"/>
    </xf>
    <xf numFmtId="0" fontId="0" fillId="0" borderId="6" xfId="0" applyBorder="1" applyAlignment="1">
      <alignment wrapText="1"/>
    </xf>
    <xf numFmtId="0" fontId="12" fillId="0" borderId="0" xfId="0" applyFont="1" applyFill="1" applyBorder="1" applyAlignment="1">
      <alignment horizontal="left" wrapText="1"/>
    </xf>
    <xf numFmtId="0" fontId="12" fillId="0" borderId="6" xfId="0" applyFont="1" applyFill="1" applyBorder="1" applyAlignment="1">
      <alignment horizontal="left" wrapText="1"/>
    </xf>
    <xf numFmtId="0" fontId="12" fillId="0" borderId="1" xfId="0" applyFont="1" applyFill="1" applyBorder="1" applyAlignment="1">
      <alignment horizontal="left" wrapText="1"/>
    </xf>
    <xf numFmtId="0" fontId="12" fillId="0" borderId="8" xfId="0" applyFont="1" applyFill="1" applyBorder="1" applyAlignment="1">
      <alignment horizontal="left" wrapText="1"/>
    </xf>
    <xf numFmtId="0" fontId="13" fillId="0" borderId="0" xfId="0" applyFont="1" applyFill="1" applyBorder="1" applyAlignment="1">
      <alignment horizontal="center" wrapText="1"/>
    </xf>
    <xf numFmtId="0" fontId="13" fillId="0" borderId="6" xfId="0" applyFont="1" applyFill="1" applyBorder="1" applyAlignment="1">
      <alignment horizontal="center" wrapText="1"/>
    </xf>
    <xf numFmtId="0" fontId="12" fillId="0" borderId="1" xfId="0" applyFont="1" applyFill="1" applyBorder="1" applyAlignment="1">
      <alignment horizontal="center" wrapText="1"/>
    </xf>
    <xf numFmtId="0" fontId="12" fillId="0" borderId="8" xfId="0" applyFont="1" applyFill="1" applyBorder="1" applyAlignment="1">
      <alignment horizontal="center" wrapText="1"/>
    </xf>
    <xf numFmtId="164" fontId="12" fillId="0" borderId="1" xfId="1" applyNumberFormat="1" applyFont="1" applyFill="1" applyBorder="1" applyAlignment="1">
      <alignment horizontal="center" wrapText="1"/>
    </xf>
    <xf numFmtId="164" fontId="12" fillId="0" borderId="8" xfId="1" applyNumberFormat="1" applyFont="1" applyFill="1" applyBorder="1" applyAlignment="1">
      <alignment horizontal="center" wrapText="1"/>
    </xf>
    <xf numFmtId="0" fontId="12" fillId="0" borderId="0" xfId="0" applyFont="1" applyAlignment="1">
      <alignment horizontal="center" wrapText="1"/>
    </xf>
    <xf numFmtId="0" fontId="12" fillId="0" borderId="6" xfId="0" applyFont="1" applyBorder="1" applyAlignment="1">
      <alignment horizontal="center" wrapText="1"/>
    </xf>
    <xf numFmtId="0" fontId="12" fillId="0" borderId="1" xfId="0" applyFont="1" applyBorder="1" applyAlignment="1">
      <alignment horizontal="center" wrapText="1"/>
    </xf>
    <xf numFmtId="0" fontId="12" fillId="0" borderId="8" xfId="0" applyFont="1" applyBorder="1" applyAlignment="1">
      <alignment horizontal="center" wrapText="1"/>
    </xf>
    <xf numFmtId="164" fontId="12" fillId="0" borderId="1" xfId="0" applyNumberFormat="1" applyFont="1" applyFill="1" applyBorder="1" applyAlignment="1">
      <alignment horizontal="center" wrapText="1"/>
    </xf>
    <xf numFmtId="0" fontId="23" fillId="3" borderId="4" xfId="0" applyFont="1" applyFill="1" applyBorder="1" applyAlignment="1">
      <alignment horizontal="center" wrapText="1"/>
    </xf>
    <xf numFmtId="0" fontId="23" fillId="3" borderId="3" xfId="0" applyFont="1" applyFill="1" applyBorder="1" applyAlignment="1">
      <alignment horizontal="center" wrapText="1"/>
    </xf>
    <xf numFmtId="0" fontId="13" fillId="0" borderId="1" xfId="0" applyFont="1" applyFill="1" applyBorder="1" applyAlignment="1">
      <alignment horizontal="center" wrapText="1"/>
    </xf>
    <xf numFmtId="164" fontId="21"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Fill="1" applyBorder="1" applyAlignment="1">
      <alignment horizontal="center"/>
    </xf>
    <xf numFmtId="0" fontId="10" fillId="3" borderId="2" xfId="0" applyFont="1" applyFill="1" applyBorder="1" applyAlignment="1">
      <alignment horizontal="center"/>
    </xf>
    <xf numFmtId="0" fontId="0" fillId="0" borderId="4" xfId="0" applyBorder="1" applyAlignment="1">
      <alignment horizontal="center"/>
    </xf>
    <xf numFmtId="0" fontId="10" fillId="3" borderId="4" xfId="0" applyFont="1" applyFill="1" applyBorder="1" applyAlignment="1">
      <alignment horizontal="center"/>
    </xf>
    <xf numFmtId="0" fontId="24" fillId="0" borderId="0" xfId="0" applyFont="1" applyFill="1" applyBorder="1" applyAlignment="1">
      <alignment wrapText="1"/>
    </xf>
    <xf numFmtId="0" fontId="0" fillId="0" borderId="0" xfId="0" applyFill="1" applyBorder="1" applyAlignment="1">
      <alignment wrapText="1"/>
    </xf>
    <xf numFmtId="0" fontId="0" fillId="0" borderId="6" xfId="0" applyFill="1" applyBorder="1" applyAlignment="1">
      <alignment wrapText="1"/>
    </xf>
    <xf numFmtId="0" fontId="0" fillId="0" borderId="1" xfId="0" applyFill="1" applyBorder="1" applyAlignment="1">
      <alignment wrapText="1"/>
    </xf>
    <xf numFmtId="0" fontId="0" fillId="0" borderId="8" xfId="0" applyFill="1" applyBorder="1" applyAlignment="1">
      <alignment wrapText="1"/>
    </xf>
    <xf numFmtId="0" fontId="19" fillId="4" borderId="14" xfId="0" applyFont="1" applyFill="1" applyBorder="1" applyAlignment="1">
      <alignment horizontal="left"/>
    </xf>
    <xf numFmtId="0" fontId="19" fillId="4" borderId="15" xfId="0" applyFont="1" applyFill="1" applyBorder="1" applyAlignment="1">
      <alignment horizontal="left"/>
    </xf>
    <xf numFmtId="0" fontId="19" fillId="4" borderId="16" xfId="0" applyFont="1" applyFill="1" applyBorder="1" applyAlignment="1">
      <alignment horizontal="left"/>
    </xf>
    <xf numFmtId="164" fontId="21"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21" fillId="0" borderId="1" xfId="1" applyNumberFormat="1" applyFont="1" applyFill="1" applyBorder="1" applyAlignment="1">
      <alignment horizontal="center"/>
    </xf>
    <xf numFmtId="0" fontId="19" fillId="4" borderId="2" xfId="0" applyFont="1" applyFill="1" applyBorder="1" applyAlignment="1">
      <alignment horizontal="center"/>
    </xf>
    <xf numFmtId="0" fontId="19" fillId="4" borderId="4" xfId="0" applyFont="1" applyFill="1" applyBorder="1" applyAlignment="1">
      <alignment horizontal="center"/>
    </xf>
    <xf numFmtId="0" fontId="0" fillId="0" borderId="4" xfId="0" applyBorder="1" applyAlignment="1">
      <alignment wrapText="1"/>
    </xf>
    <xf numFmtId="0" fontId="0" fillId="0" borderId="3" xfId="0" applyBorder="1" applyAlignment="1">
      <alignment wrapText="1"/>
    </xf>
    <xf numFmtId="0" fontId="12" fillId="0" borderId="0" xfId="0" applyFont="1" applyBorder="1" applyAlignment="1">
      <alignment wrapText="1"/>
    </xf>
    <xf numFmtId="0" fontId="19" fillId="3" borderId="14" xfId="0" applyFont="1" applyFill="1" applyBorder="1" applyAlignment="1">
      <alignment horizontal="left"/>
    </xf>
    <xf numFmtId="0" fontId="19" fillId="3" borderId="15" xfId="0" applyFont="1" applyFill="1" applyBorder="1" applyAlignment="1">
      <alignment horizontal="left"/>
    </xf>
    <xf numFmtId="0" fontId="19" fillId="3" borderId="16" xfId="0" applyFont="1" applyFill="1" applyBorder="1" applyAlignment="1">
      <alignment horizontal="left"/>
    </xf>
    <xf numFmtId="0" fontId="12" fillId="0" borderId="0" xfId="0" applyFont="1" applyBorder="1" applyAlignment="1">
      <alignment horizontal="left" wrapText="1"/>
    </xf>
    <xf numFmtId="0" fontId="12" fillId="0" borderId="6" xfId="0" applyFont="1" applyBorder="1" applyAlignment="1">
      <alignment horizontal="left" wrapText="1"/>
    </xf>
    <xf numFmtId="0" fontId="1" fillId="0" borderId="0" xfId="22" applyFont="1" applyAlignment="1">
      <alignment horizontal="center"/>
    </xf>
    <xf numFmtId="0" fontId="74" fillId="0" borderId="0" xfId="22" applyFont="1" applyAlignment="1"/>
    <xf numFmtId="0" fontId="1" fillId="0" borderId="0" xfId="5" applyFont="1" applyAlignment="1">
      <alignment horizontal="center"/>
    </xf>
    <xf numFmtId="0" fontId="1" fillId="0" borderId="0" xfId="5" applyFont="1" applyAlignment="1"/>
    <xf numFmtId="0" fontId="17" fillId="0" borderId="0" xfId="5" applyFont="1" applyAlignment="1">
      <alignment horizontal="center"/>
    </xf>
    <xf numFmtId="0" fontId="29" fillId="0" borderId="0" xfId="5" applyFont="1" applyAlignment="1"/>
    <xf numFmtId="0" fontId="36" fillId="0" borderId="0" xfId="7" applyFont="1" applyFill="1" applyAlignment="1">
      <alignment horizontal="left"/>
    </xf>
    <xf numFmtId="0" fontId="0" fillId="0" borderId="0" xfId="0" applyFill="1" applyAlignment="1"/>
    <xf numFmtId="0" fontId="14" fillId="0" borderId="5" xfId="5" applyFont="1" applyBorder="1" applyAlignment="1">
      <alignment horizontal="left" wrapText="1"/>
    </xf>
    <xf numFmtId="0" fontId="14" fillId="0" borderId="6" xfId="5" applyFont="1" applyBorder="1" applyAlignment="1">
      <alignment horizontal="left"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12" fillId="0" borderId="5" xfId="0" applyFont="1" applyBorder="1" applyAlignment="1">
      <alignment horizontal="center" wrapText="1"/>
    </xf>
    <xf numFmtId="0" fontId="0" fillId="0" borderId="0" xfId="0" applyAlignment="1">
      <alignment horizontal="center"/>
    </xf>
  </cellXfs>
  <cellStyles count="27">
    <cellStyle name="Comma 10 11" xfId="8"/>
    <cellStyle name="Comma 11 5" xfId="20"/>
    <cellStyle name="Comma 2" xfId="9"/>
    <cellStyle name="Comma 2 10" xfId="11"/>
    <cellStyle name="Comma 23" xfId="18"/>
    <cellStyle name="Comma 250" xfId="26"/>
    <cellStyle name="Comma 4" xfId="1"/>
    <cellStyle name="Comma 4 2 2" xfId="4"/>
    <cellStyle name="Currency 114" xfId="24"/>
    <cellStyle name="Currency 2" xfId="10"/>
    <cellStyle name="Currency 3" xfId="6"/>
    <cellStyle name="Normal" xfId="0" builtinId="0"/>
    <cellStyle name="Normal 10 2" xfId="16"/>
    <cellStyle name="Normal 10 2 2" xfId="19"/>
    <cellStyle name="Normal 2" xfId="5"/>
    <cellStyle name="Normal 2 10" xfId="7"/>
    <cellStyle name="Normal 253" xfId="23"/>
    <cellStyle name="Normal 254" xfId="25"/>
    <cellStyle name="Normal 3" xfId="22"/>
    <cellStyle name="Normal_1995 FCWS" xfId="13"/>
    <cellStyle name="Normal_FN1 Ratebase Draft SPP template (6-11-04) v2" xfId="21"/>
    <cellStyle name="Normal_TrAILCo attach 6 &amp; 7 and Appendix A" xfId="3"/>
    <cellStyle name="Normal_Transmission Property Taxes 2" xfId="14"/>
    <cellStyle name="Normal_Transmission Property Taxes 2 2" xfId="15"/>
    <cellStyle name="Percent 2" xfId="12"/>
    <cellStyle name="Percent 24" xfId="17"/>
    <cellStyle name="Percent 3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76" Type="http://schemas.openxmlformats.org/officeDocument/2006/relationships/externalLink" Target="externalLinks/externalLink65.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0.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66" Type="http://schemas.openxmlformats.org/officeDocument/2006/relationships/externalLink" Target="externalLinks/externalLink55.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5" Type="http://schemas.openxmlformats.org/officeDocument/2006/relationships/worksheet" Target="worksheets/sheet5.xml"/><Relationship Id="rId61" Type="http://schemas.openxmlformats.org/officeDocument/2006/relationships/externalLink" Target="externalLinks/externalLink50.xml"/><Relationship Id="rId82" Type="http://schemas.openxmlformats.org/officeDocument/2006/relationships/theme" Target="theme/theme1.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77" Type="http://schemas.openxmlformats.org/officeDocument/2006/relationships/externalLink" Target="externalLinks/externalLink66.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80" Type="http://schemas.openxmlformats.org/officeDocument/2006/relationships/externalLink" Target="externalLinks/externalLink69.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67" Type="http://schemas.openxmlformats.org/officeDocument/2006/relationships/externalLink" Target="externalLinks/externalLink56.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139</xdr:row>
      <xdr:rowOff>28575</xdr:rowOff>
    </xdr:from>
    <xdr:to>
      <xdr:col>12</xdr:col>
      <xdr:colOff>332042</xdr:colOff>
      <xdr:row>172</xdr:row>
      <xdr:rowOff>161240</xdr:rowOff>
    </xdr:to>
    <xdr:pic>
      <xdr:nvPicPr>
        <xdr:cNvPr id="2" name="Picture 1">
          <a:extLst>
            <a:ext uri="{FF2B5EF4-FFF2-40B4-BE49-F238E27FC236}">
              <a16:creationId xmlns:a16="http://schemas.microsoft.com/office/drawing/2014/main" id="{CE9E8385-554E-4BA7-82AE-0CD8E3A74E93}"/>
            </a:ext>
          </a:extLst>
        </xdr:cNvPr>
        <xdr:cNvPicPr>
          <a:picLocks noChangeAspect="1"/>
        </xdr:cNvPicPr>
      </xdr:nvPicPr>
      <xdr:blipFill>
        <a:blip xmlns:r="http://schemas.openxmlformats.org/officeDocument/2006/relationships" r:embed="rId1"/>
        <a:stretch>
          <a:fillRect/>
        </a:stretch>
      </xdr:blipFill>
      <xdr:spPr>
        <a:xfrm>
          <a:off x="200025" y="23221950"/>
          <a:ext cx="10666667" cy="5476190"/>
        </a:xfrm>
        <a:prstGeom prst="rect">
          <a:avLst/>
        </a:prstGeom>
      </xdr:spPr>
    </xdr:pic>
    <xdr:clientData/>
  </xdr:twoCellAnchor>
  <xdr:twoCellAnchor editAs="oneCell">
    <xdr:from>
      <xdr:col>0</xdr:col>
      <xdr:colOff>0</xdr:colOff>
      <xdr:row>42</xdr:row>
      <xdr:rowOff>0</xdr:rowOff>
    </xdr:from>
    <xdr:to>
      <xdr:col>10</xdr:col>
      <xdr:colOff>495300</xdr:colOff>
      <xdr:row>96</xdr:row>
      <xdr:rowOff>76199</xdr:rowOff>
    </xdr:to>
    <xdr:pic>
      <xdr:nvPicPr>
        <xdr:cNvPr id="3" name="Picture 2">
          <a:extLst>
            <a:ext uri="{FF2B5EF4-FFF2-40B4-BE49-F238E27FC236}">
              <a16:creationId xmlns:a16="http://schemas.microsoft.com/office/drawing/2014/main" id="{9C81AFDA-ABC3-41F1-B2CC-74E840F03E92}"/>
            </a:ext>
          </a:extLst>
        </xdr:cNvPr>
        <xdr:cNvPicPr>
          <a:picLocks noChangeAspect="1"/>
        </xdr:cNvPicPr>
      </xdr:nvPicPr>
      <xdr:blipFill>
        <a:blip xmlns:r="http://schemas.openxmlformats.org/officeDocument/2006/relationships" r:embed="rId2"/>
        <a:stretch>
          <a:fillRect/>
        </a:stretch>
      </xdr:blipFill>
      <xdr:spPr>
        <a:xfrm>
          <a:off x="0" y="7486650"/>
          <a:ext cx="9810750" cy="8820149"/>
        </a:xfrm>
        <a:prstGeom prst="rect">
          <a:avLst/>
        </a:prstGeom>
      </xdr:spPr>
    </xdr:pic>
    <xdr:clientData/>
  </xdr:twoCellAnchor>
  <xdr:twoCellAnchor editAs="oneCell">
    <xdr:from>
      <xdr:col>0</xdr:col>
      <xdr:colOff>200025</xdr:colOff>
      <xdr:row>98</xdr:row>
      <xdr:rowOff>123825</xdr:rowOff>
    </xdr:from>
    <xdr:to>
      <xdr:col>12</xdr:col>
      <xdr:colOff>112994</xdr:colOff>
      <xdr:row>139</xdr:row>
      <xdr:rowOff>8709</xdr:rowOff>
    </xdr:to>
    <xdr:pic>
      <xdr:nvPicPr>
        <xdr:cNvPr id="4" name="Picture 3">
          <a:extLst>
            <a:ext uri="{FF2B5EF4-FFF2-40B4-BE49-F238E27FC236}">
              <a16:creationId xmlns:a16="http://schemas.microsoft.com/office/drawing/2014/main" id="{B7B50A0A-F8E7-4C1C-9093-D3AA04216446}"/>
            </a:ext>
          </a:extLst>
        </xdr:cNvPr>
        <xdr:cNvPicPr>
          <a:picLocks noChangeAspect="1"/>
        </xdr:cNvPicPr>
      </xdr:nvPicPr>
      <xdr:blipFill>
        <a:blip xmlns:r="http://schemas.openxmlformats.org/officeDocument/2006/relationships" r:embed="rId3"/>
        <a:stretch>
          <a:fillRect/>
        </a:stretch>
      </xdr:blipFill>
      <xdr:spPr>
        <a:xfrm>
          <a:off x="200025" y="16678275"/>
          <a:ext cx="10447619" cy="65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s>
    <sheetDataSet>
      <sheetData sheetId="0"/>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s>
    <sheetDataSet>
      <sheetData sheetId="0"/>
      <sheetData sheetId="1" refreshError="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s>
    <sheetDataSet>
      <sheetData sheetId="0"/>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F338"/>
  <sheetViews>
    <sheetView tabSelected="1" zoomScale="75" zoomScaleNormal="75" workbookViewId="0"/>
  </sheetViews>
  <sheetFormatPr defaultRowHeight="15"/>
  <cols>
    <col min="1" max="1" width="7.42578125" style="459" customWidth="1"/>
    <col min="2" max="2" width="5.7109375" style="464" customWidth="1"/>
    <col min="3" max="3" width="59.42578125" style="464" customWidth="1"/>
    <col min="4" max="4" width="61.42578125" style="464" customWidth="1"/>
    <col min="5" max="5" width="27.5703125" style="452" customWidth="1"/>
    <col min="6" max="6" width="43.7109375" style="281" bestFit="1" customWidth="1"/>
    <col min="7" max="7" width="2.7109375" style="281" customWidth="1"/>
    <col min="8" max="8" width="22.42578125" style="281" bestFit="1" customWidth="1"/>
    <col min="9" max="9" width="7.42578125" style="281" customWidth="1"/>
    <col min="10" max="10" width="16.140625" style="281" bestFit="1" customWidth="1"/>
    <col min="11" max="11" width="13.28515625" style="281" bestFit="1" customWidth="1"/>
    <col min="12" max="12" width="10" style="281" bestFit="1" customWidth="1"/>
    <col min="13" max="16384" width="9.140625" style="281"/>
  </cols>
  <sheetData>
    <row r="1" spans="1:8">
      <c r="A1" s="1"/>
      <c r="H1" s="504"/>
    </row>
    <row r="2" spans="1:8" ht="27.75">
      <c r="A2" s="1"/>
      <c r="D2" s="870" t="s">
        <v>586</v>
      </c>
      <c r="F2" s="871"/>
      <c r="H2" s="504"/>
    </row>
    <row r="3" spans="1:8" s="875" customFormat="1" ht="25.5" customHeight="1" thickBot="1">
      <c r="A3" s="872"/>
      <c r="B3" s="873"/>
      <c r="C3" s="873"/>
      <c r="D3" s="873"/>
      <c r="E3" s="874"/>
    </row>
    <row r="4" spans="1:8" ht="27.75" customHeight="1" thickBot="1">
      <c r="A4" s="876" t="s">
        <v>493</v>
      </c>
      <c r="B4" s="877"/>
      <c r="C4" s="877"/>
      <c r="D4" s="877"/>
      <c r="E4" s="878"/>
      <c r="F4" s="879"/>
    </row>
    <row r="5" spans="1:8" s="559" customFormat="1" ht="42" customHeight="1" thickBot="1">
      <c r="A5" s="880" t="s">
        <v>587</v>
      </c>
      <c r="B5" s="881"/>
      <c r="C5" s="882"/>
      <c r="D5" s="882"/>
      <c r="E5" s="883" t="s">
        <v>588</v>
      </c>
      <c r="F5" s="884" t="s">
        <v>589</v>
      </c>
      <c r="G5" s="885"/>
      <c r="H5" s="886">
        <v>2017</v>
      </c>
    </row>
    <row r="6" spans="1:8" s="893" customFormat="1" ht="23.25" customHeight="1">
      <c r="A6" s="887" t="s">
        <v>590</v>
      </c>
      <c r="B6" s="888"/>
      <c r="C6" s="889"/>
      <c r="D6" s="889"/>
      <c r="E6" s="890"/>
      <c r="F6" s="891"/>
      <c r="G6" s="892"/>
      <c r="H6" s="891"/>
    </row>
    <row r="7" spans="1:8" s="453" customFormat="1" ht="15.75">
      <c r="A7" s="894" t="s">
        <v>591</v>
      </c>
      <c r="B7" s="895"/>
      <c r="C7" s="896"/>
      <c r="D7" s="896"/>
      <c r="E7" s="897"/>
      <c r="F7" s="898"/>
      <c r="G7" s="898"/>
      <c r="H7" s="525"/>
    </row>
    <row r="8" spans="1:8" s="453" customFormat="1" ht="15.75">
      <c r="A8" s="484"/>
      <c r="B8" s="553"/>
      <c r="C8" s="553"/>
      <c r="D8" s="553"/>
      <c r="E8" s="890"/>
      <c r="F8" s="899"/>
      <c r="G8" s="899"/>
      <c r="H8" s="900"/>
    </row>
    <row r="9" spans="1:8">
      <c r="A9" s="460"/>
      <c r="B9" s="491" t="s">
        <v>592</v>
      </c>
      <c r="E9" s="527"/>
      <c r="F9" s="475"/>
      <c r="G9" s="475"/>
      <c r="H9" s="475"/>
    </row>
    <row r="10" spans="1:8">
      <c r="A10" s="468">
        <v>1</v>
      </c>
      <c r="B10" s="468"/>
      <c r="C10" s="899" t="s">
        <v>593</v>
      </c>
      <c r="D10" s="901"/>
      <c r="E10" s="902"/>
      <c r="F10" s="475" t="s">
        <v>594</v>
      </c>
      <c r="G10" s="464"/>
      <c r="H10" s="903">
        <v>7990917</v>
      </c>
    </row>
    <row r="11" spans="1:8">
      <c r="A11" s="452"/>
    </row>
    <row r="12" spans="1:8">
      <c r="A12" s="468">
        <f>+A10+1</f>
        <v>2</v>
      </c>
      <c r="B12" s="468"/>
      <c r="C12" s="899" t="s">
        <v>595</v>
      </c>
      <c r="D12" s="899"/>
      <c r="E12" s="904"/>
      <c r="F12" s="899" t="s">
        <v>596</v>
      </c>
      <c r="G12" s="464"/>
      <c r="H12" s="903">
        <v>81232578</v>
      </c>
    </row>
    <row r="13" spans="1:8">
      <c r="A13" s="468">
        <f>+A12+1</f>
        <v>3</v>
      </c>
      <c r="B13" s="468"/>
      <c r="C13" s="899" t="s">
        <v>597</v>
      </c>
      <c r="D13" s="899"/>
      <c r="F13" s="899" t="s">
        <v>598</v>
      </c>
      <c r="G13" s="464"/>
      <c r="H13" s="905">
        <v>5959568</v>
      </c>
    </row>
    <row r="14" spans="1:8">
      <c r="A14" s="468">
        <f>+A13+1</f>
        <v>4</v>
      </c>
      <c r="B14" s="468"/>
      <c r="C14" s="906" t="s">
        <v>61</v>
      </c>
      <c r="D14" s="495"/>
      <c r="E14" s="907"/>
      <c r="F14" s="495" t="str">
        <f>"(Line "&amp;A12&amp;" - "&amp;A13&amp;")"</f>
        <v>(Line 2 - 3)</v>
      </c>
      <c r="G14" s="492"/>
      <c r="H14" s="495">
        <f>+H12-H13</f>
        <v>75273010</v>
      </c>
    </row>
    <row r="15" spans="1:8">
      <c r="A15" s="468"/>
      <c r="B15" s="468"/>
      <c r="C15" s="479"/>
      <c r="E15" s="527"/>
      <c r="F15" s="464"/>
      <c r="G15" s="464"/>
      <c r="H15" s="475"/>
    </row>
    <row r="16" spans="1:8" ht="15.75" thickBot="1">
      <c r="A16" s="468">
        <v>5</v>
      </c>
      <c r="B16" s="908" t="s">
        <v>504</v>
      </c>
      <c r="C16" s="908"/>
      <c r="D16" s="909"/>
      <c r="E16" s="910"/>
      <c r="F16" s="911" t="str">
        <f>"(Line "&amp;A10&amp;" / "&amp;A14&amp;")"</f>
        <v>(Line 1 / 4)</v>
      </c>
      <c r="G16" s="912"/>
      <c r="H16" s="913">
        <f>+H10/H14</f>
        <v>0.10615912662453647</v>
      </c>
    </row>
    <row r="17" spans="1:8" ht="15.75" thickTop="1">
      <c r="A17" s="468"/>
      <c r="B17" s="468"/>
      <c r="C17" s="491"/>
      <c r="D17" s="487"/>
      <c r="E17" s="496"/>
      <c r="F17" s="464"/>
      <c r="G17" s="464"/>
      <c r="H17" s="914"/>
    </row>
    <row r="18" spans="1:8">
      <c r="A18" s="452"/>
      <c r="B18" s="491" t="s">
        <v>71</v>
      </c>
      <c r="D18" s="281"/>
    </row>
    <row r="19" spans="1:8">
      <c r="A19" s="460">
        <f>+A16+1</f>
        <v>6</v>
      </c>
      <c r="B19" s="281"/>
      <c r="C19" s="899" t="s">
        <v>210</v>
      </c>
      <c r="E19" s="915" t="str">
        <f>"(Note "&amp;B$299&amp;")"</f>
        <v>(Note B)</v>
      </c>
      <c r="F19" s="899" t="s">
        <v>599</v>
      </c>
      <c r="H19" s="903">
        <f>'5 - Cost Support 1'!J229</f>
        <v>8490358235.9300003</v>
      </c>
    </row>
    <row r="20" spans="1:8">
      <c r="A20" s="460">
        <f>+A19+1</f>
        <v>7</v>
      </c>
      <c r="B20" s="281"/>
      <c r="C20" s="899" t="s">
        <v>600</v>
      </c>
      <c r="E20" s="915"/>
      <c r="F20" s="473" t="str">
        <f>"(Line "&amp;A$46&amp;")"</f>
        <v>(Line 24)</v>
      </c>
      <c r="H20" s="476">
        <f>H46</f>
        <v>0</v>
      </c>
    </row>
    <row r="21" spans="1:8">
      <c r="A21" s="460">
        <f>+A20+1</f>
        <v>8</v>
      </c>
      <c r="B21" s="281"/>
      <c r="C21" s="916" t="s">
        <v>601</v>
      </c>
      <c r="D21" s="492"/>
      <c r="E21" s="917"/>
      <c r="F21" s="490" t="str">
        <f>"(Sum Lines "&amp;A19&amp;" &amp; "&amp;A20&amp;")"</f>
        <v>(Sum Lines 6 &amp; 7)</v>
      </c>
      <c r="G21" s="918"/>
      <c r="H21" s="490">
        <f>SUM(H19:H20)</f>
        <v>8490358235.9300003</v>
      </c>
    </row>
    <row r="22" spans="1:8">
      <c r="A22" s="902"/>
      <c r="B22" s="281"/>
      <c r="C22" s="899"/>
      <c r="E22" s="919"/>
      <c r="F22" s="899"/>
      <c r="H22" s="476"/>
    </row>
    <row r="23" spans="1:8">
      <c r="A23" s="460">
        <f>+A21+1</f>
        <v>9</v>
      </c>
      <c r="B23" s="281"/>
      <c r="C23" s="899" t="s">
        <v>211</v>
      </c>
      <c r="F23" s="899" t="s">
        <v>602</v>
      </c>
      <c r="H23" s="903">
        <f>'5 - Cost Support 1'!J231</f>
        <v>2894810748.3400002</v>
      </c>
    </row>
    <row r="24" spans="1:8">
      <c r="A24" s="460">
        <f>+A23+1</f>
        <v>10</v>
      </c>
      <c r="B24" s="281"/>
      <c r="C24" s="899" t="s">
        <v>213</v>
      </c>
      <c r="E24" s="915" t="str">
        <f>"(Note "&amp;B$298&amp;")"</f>
        <v>(Note A)</v>
      </c>
      <c r="F24" s="476" t="s">
        <v>214</v>
      </c>
      <c r="H24" s="903">
        <f>'5 - Cost Support 1'!I208</f>
        <v>24819816.239999998</v>
      </c>
    </row>
    <row r="25" spans="1:8">
      <c r="A25" s="460">
        <f>+A24+1</f>
        <v>11</v>
      </c>
      <c r="B25" s="281"/>
      <c r="C25" s="899" t="s">
        <v>603</v>
      </c>
      <c r="E25" s="915" t="str">
        <f>"(Note "&amp;B$298&amp;")"</f>
        <v>(Note A)</v>
      </c>
      <c r="F25" s="475" t="s">
        <v>604</v>
      </c>
      <c r="H25" s="920">
        <v>0</v>
      </c>
    </row>
    <row r="26" spans="1:8">
      <c r="A26" s="460">
        <f>+A25+1</f>
        <v>12</v>
      </c>
      <c r="C26" s="553" t="s">
        <v>605</v>
      </c>
      <c r="E26" s="915" t="str">
        <f>"(Note "&amp;B$298&amp;")"</f>
        <v>(Note A)</v>
      </c>
      <c r="F26" s="475" t="s">
        <v>604</v>
      </c>
      <c r="H26" s="920">
        <v>0</v>
      </c>
    </row>
    <row r="27" spans="1:8">
      <c r="A27" s="460">
        <f>+A26+1</f>
        <v>13</v>
      </c>
      <c r="C27" s="916" t="s">
        <v>606</v>
      </c>
      <c r="D27" s="492"/>
      <c r="E27" s="921"/>
      <c r="F27" s="495" t="str">
        <f>"(Sum Lines "&amp;A23&amp;" to "&amp;A26&amp;")"</f>
        <v>(Sum Lines 9 to 12)</v>
      </c>
      <c r="G27" s="918"/>
      <c r="H27" s="490">
        <f>SUM(H23:H26)</f>
        <v>2919630564.5799999</v>
      </c>
    </row>
    <row r="28" spans="1:8" ht="17.25" customHeight="1">
      <c r="A28" s="452"/>
      <c r="C28" s="553"/>
      <c r="F28" s="475"/>
      <c r="H28" s="922"/>
    </row>
    <row r="29" spans="1:8">
      <c r="A29" s="468">
        <f>+A27+1</f>
        <v>14</v>
      </c>
      <c r="B29" s="281"/>
      <c r="C29" s="918" t="s">
        <v>607</v>
      </c>
      <c r="D29" s="918"/>
      <c r="E29" s="921"/>
      <c r="F29" s="495" t="str">
        <f>"(Line "&amp;A21&amp;" - "&amp;A27&amp;")"</f>
        <v>(Line 8 - 13)</v>
      </c>
      <c r="G29" s="918"/>
      <c r="H29" s="495">
        <f>+H21-H27</f>
        <v>5570727671.3500004</v>
      </c>
    </row>
    <row r="30" spans="1:8">
      <c r="A30" s="452"/>
      <c r="B30" s="281"/>
      <c r="C30" s="281"/>
      <c r="D30" s="281"/>
    </row>
    <row r="31" spans="1:8">
      <c r="A31" s="460">
        <f>+A29+1</f>
        <v>15</v>
      </c>
      <c r="B31" s="281"/>
      <c r="C31" s="281" t="s">
        <v>608</v>
      </c>
      <c r="D31" s="281"/>
      <c r="F31" s="473" t="str">
        <f>"(Line "&amp;A53&amp;" - Line "&amp;A51&amp;")"</f>
        <v>(Line 29 - Line 28)</v>
      </c>
      <c r="H31" s="922">
        <f>+H53-H51</f>
        <v>1589088387.8051054</v>
      </c>
    </row>
    <row r="32" spans="1:8" ht="15.75" thickBot="1">
      <c r="A32" s="468">
        <f>+A31+1</f>
        <v>16</v>
      </c>
      <c r="B32" s="516" t="s">
        <v>446</v>
      </c>
      <c r="C32" s="516"/>
      <c r="D32" s="516"/>
      <c r="E32" s="923"/>
      <c r="F32" s="911" t="str">
        <f>"(Line "&amp;A31&amp;" / "&amp;A21&amp;")"</f>
        <v>(Line 15 / 8)</v>
      </c>
      <c r="G32" s="516"/>
      <c r="H32" s="913">
        <f>+H31/(H21)</f>
        <v>0.18716387973834922</v>
      </c>
    </row>
    <row r="33" spans="1:8" ht="15.75" thickTop="1">
      <c r="A33" s="452"/>
    </row>
    <row r="34" spans="1:8">
      <c r="A34" s="460">
        <f>+A32+1</f>
        <v>17</v>
      </c>
      <c r="B34" s="468"/>
      <c r="C34" s="491" t="s">
        <v>609</v>
      </c>
      <c r="D34" s="487"/>
      <c r="E34" s="496"/>
      <c r="F34" s="473" t="str">
        <f>"(Line "&amp;A69&amp;" - Line "&amp;A51&amp;")"</f>
        <v>(Line 39 - Line 28)</v>
      </c>
      <c r="G34" s="464"/>
      <c r="H34" s="924">
        <f>+H69-H51</f>
        <v>1107196848.6469312</v>
      </c>
    </row>
    <row r="35" spans="1:8" ht="15.75" thickBot="1">
      <c r="A35" s="468">
        <f>+A34+1</f>
        <v>18</v>
      </c>
      <c r="B35" s="516" t="s">
        <v>610</v>
      </c>
      <c r="C35" s="516"/>
      <c r="D35" s="516"/>
      <c r="E35" s="923"/>
      <c r="F35" s="911" t="str">
        <f>"(Line "&amp;A34&amp;" / "&amp;A29&amp;")"</f>
        <v>(Line 17 / 14)</v>
      </c>
      <c r="G35" s="516"/>
      <c r="H35" s="925">
        <f>+H34/H29</f>
        <v>0.19875264309565774</v>
      </c>
    </row>
    <row r="36" spans="1:8" ht="15.75" thickTop="1">
      <c r="A36" s="469"/>
      <c r="B36" s="468"/>
      <c r="C36" s="491"/>
      <c r="D36" s="487"/>
      <c r="E36" s="496"/>
      <c r="F36" s="464"/>
      <c r="G36" s="464"/>
      <c r="H36" s="914"/>
    </row>
    <row r="37" spans="1:8" s="453" customFormat="1" ht="15.75">
      <c r="A37" s="926" t="s">
        <v>611</v>
      </c>
      <c r="B37" s="927"/>
      <c r="C37" s="896"/>
      <c r="D37" s="896"/>
      <c r="E37" s="928"/>
      <c r="F37" s="898"/>
      <c r="G37" s="898"/>
      <c r="H37" s="525"/>
    </row>
    <row r="38" spans="1:8" s="453" customFormat="1" ht="15.75">
      <c r="A38" s="929"/>
      <c r="B38" s="930"/>
      <c r="C38" s="553"/>
      <c r="D38" s="553"/>
      <c r="E38" s="931"/>
      <c r="F38" s="899"/>
      <c r="G38" s="899"/>
      <c r="H38" s="900"/>
    </row>
    <row r="39" spans="1:8">
      <c r="A39" s="452"/>
      <c r="B39" s="491" t="s">
        <v>73</v>
      </c>
      <c r="E39" s="496"/>
      <c r="F39" s="476"/>
      <c r="G39" s="460"/>
      <c r="H39" s="475"/>
    </row>
    <row r="40" spans="1:8">
      <c r="A40" s="460">
        <f>+A35+1</f>
        <v>19</v>
      </c>
      <c r="B40" s="468"/>
      <c r="C40" s="479" t="s">
        <v>612</v>
      </c>
      <c r="E40" s="915" t="str">
        <f>"(Note "&amp;B$299&amp;")"</f>
        <v>(Note B)</v>
      </c>
      <c r="F40" s="476" t="s">
        <v>613</v>
      </c>
      <c r="G40" s="464"/>
      <c r="H40" s="903">
        <v>1554445764</v>
      </c>
    </row>
    <row r="41" spans="1:8">
      <c r="A41" s="460">
        <f>+A40+1</f>
        <v>20</v>
      </c>
      <c r="B41" s="468"/>
      <c r="C41" s="479" t="s">
        <v>614</v>
      </c>
      <c r="E41" s="496" t="s">
        <v>615</v>
      </c>
      <c r="F41" s="484" t="s">
        <v>616</v>
      </c>
      <c r="G41" s="464"/>
      <c r="H41" s="920">
        <v>0</v>
      </c>
    </row>
    <row r="42" spans="1:8">
      <c r="A42" s="460">
        <f>+A41+1</f>
        <v>21</v>
      </c>
      <c r="B42" s="468"/>
      <c r="C42" s="506" t="s">
        <v>617</v>
      </c>
      <c r="D42" s="470"/>
      <c r="E42" s="932"/>
      <c r="F42" s="543" t="s">
        <v>618</v>
      </c>
      <c r="G42" s="470"/>
      <c r="H42" s="933">
        <f>'6- Est &amp; Reconcile WS'!R116</f>
        <v>0</v>
      </c>
    </row>
    <row r="43" spans="1:8">
      <c r="A43" s="460">
        <f>+A42+1</f>
        <v>22</v>
      </c>
      <c r="B43" s="468"/>
      <c r="C43" s="479" t="s">
        <v>619</v>
      </c>
      <c r="E43" s="915"/>
      <c r="F43" s="466" t="str">
        <f>"(Line "&amp;A40&amp;" - "&amp;A41&amp;" + "&amp;A42&amp;")"</f>
        <v>(Line 19 - 20 + 21)</v>
      </c>
      <c r="G43" s="464"/>
      <c r="H43" s="476">
        <f>+H40-H41+H42</f>
        <v>1554445764</v>
      </c>
    </row>
    <row r="44" spans="1:8" s="453" customFormat="1">
      <c r="A44" s="460"/>
      <c r="B44" s="460"/>
      <c r="C44" s="491"/>
      <c r="D44" s="487"/>
      <c r="E44" s="902"/>
      <c r="F44" s="476"/>
      <c r="G44" s="487"/>
      <c r="H44" s="476"/>
    </row>
    <row r="45" spans="1:8">
      <c r="A45" s="460">
        <f>+A43+1</f>
        <v>23</v>
      </c>
      <c r="B45" s="468"/>
      <c r="C45" s="479" t="s">
        <v>215</v>
      </c>
      <c r="F45" s="476" t="s">
        <v>620</v>
      </c>
      <c r="G45" s="464"/>
      <c r="H45" s="920">
        <f>'5 - Cost Support 1'!J232</f>
        <v>326327324.89999998</v>
      </c>
    </row>
    <row r="46" spans="1:8">
      <c r="A46" s="460">
        <f>+A45+1</f>
        <v>24</v>
      </c>
      <c r="B46" s="468"/>
      <c r="C46" s="479" t="s">
        <v>621</v>
      </c>
      <c r="E46" s="915" t="str">
        <f>"(Notes "&amp;B$298&amp;" &amp; "&amp;B$299&amp;")"</f>
        <v>(Notes A &amp; B)</v>
      </c>
      <c r="F46" s="482" t="s">
        <v>604</v>
      </c>
      <c r="G46" s="464"/>
      <c r="H46" s="934">
        <v>0</v>
      </c>
    </row>
    <row r="47" spans="1:8">
      <c r="A47" s="460">
        <f>+A46+1</f>
        <v>25</v>
      </c>
      <c r="B47" s="468"/>
      <c r="C47" s="906" t="s">
        <v>622</v>
      </c>
      <c r="D47" s="492"/>
      <c r="E47" s="921"/>
      <c r="F47" s="466" t="str">
        <f>"(Line "&amp;A45&amp;" + "&amp;A46&amp;")"</f>
        <v>(Line 23 + 24)</v>
      </c>
      <c r="G47" s="492"/>
      <c r="H47" s="495">
        <f>SUM(H45:H46)</f>
        <v>326327324.89999998</v>
      </c>
    </row>
    <row r="48" spans="1:8" ht="15.75">
      <c r="A48" s="460">
        <f>+A47+1</f>
        <v>26</v>
      </c>
      <c r="B48" s="468"/>
      <c r="C48" s="935" t="s">
        <v>623</v>
      </c>
      <c r="D48" s="491"/>
      <c r="E48" s="496"/>
      <c r="F48" s="473" t="str">
        <f>"(Line "&amp;A$16&amp;")"</f>
        <v>(Line 5)</v>
      </c>
      <c r="G48" s="936"/>
      <c r="H48" s="937">
        <f>+H16</f>
        <v>0.10615912662453647</v>
      </c>
    </row>
    <row r="49" spans="1:9">
      <c r="A49" s="460">
        <f>+A48+1</f>
        <v>27</v>
      </c>
      <c r="B49" s="281"/>
      <c r="C49" s="489" t="s">
        <v>624</v>
      </c>
      <c r="D49" s="916"/>
      <c r="E49" s="907"/>
      <c r="F49" s="466" t="str">
        <f>"(Line "&amp;A47&amp;" * "&amp;A48&amp;")"</f>
        <v>(Line 25 * 26)</v>
      </c>
      <c r="G49" s="918"/>
      <c r="H49" s="495">
        <f>+H48*H47</f>
        <v>34642623.805105351</v>
      </c>
    </row>
    <row r="50" spans="1:9">
      <c r="A50" s="902"/>
      <c r="B50" s="281"/>
      <c r="C50" s="491"/>
      <c r="D50" s="453"/>
      <c r="E50" s="938"/>
      <c r="H50" s="466"/>
    </row>
    <row r="51" spans="1:9">
      <c r="A51" s="460">
        <f>+A49+1</f>
        <v>28</v>
      </c>
      <c r="B51" s="468"/>
      <c r="C51" s="489" t="s">
        <v>625</v>
      </c>
      <c r="D51" s="939"/>
      <c r="E51" s="915" t="str">
        <f>"(Note "&amp;B$304&amp;")"</f>
        <v>(Note C)</v>
      </c>
      <c r="F51" s="495" t="s">
        <v>626</v>
      </c>
      <c r="G51" s="492"/>
      <c r="H51" s="940">
        <f>'5 - Cost Support 1'!H27</f>
        <v>0</v>
      </c>
    </row>
    <row r="52" spans="1:9">
      <c r="A52" s="902"/>
      <c r="B52" s="281"/>
      <c r="C52" s="491"/>
      <c r="D52" s="453"/>
      <c r="E52" s="902"/>
      <c r="H52" s="466"/>
    </row>
    <row r="53" spans="1:9" s="559" customFormat="1" ht="16.5" thickBot="1">
      <c r="A53" s="460">
        <f>+A51+1</f>
        <v>29</v>
      </c>
      <c r="B53" s="516" t="s">
        <v>627</v>
      </c>
      <c r="C53" s="516"/>
      <c r="D53" s="516"/>
      <c r="E53" s="923"/>
      <c r="F53" s="911" t="str">
        <f>"(Line "&amp;A43&amp;" + "&amp;A49&amp;" + "&amp;A51&amp;")"</f>
        <v>(Line 22 + 27 + 28)</v>
      </c>
      <c r="G53" s="516"/>
      <c r="H53" s="941">
        <f>SUM(H43,H49,H51)</f>
        <v>1589088387.8051054</v>
      </c>
      <c r="I53" s="281"/>
    </row>
    <row r="54" spans="1:9" ht="15.75" thickTop="1">
      <c r="A54" s="902"/>
      <c r="B54" s="281"/>
      <c r="C54" s="281"/>
      <c r="D54" s="281"/>
    </row>
    <row r="55" spans="1:9">
      <c r="A55" s="460"/>
      <c r="B55" s="491" t="s">
        <v>94</v>
      </c>
      <c r="C55" s="491"/>
      <c r="D55" s="476"/>
      <c r="E55" s="527"/>
      <c r="F55" s="475"/>
      <c r="G55" s="536"/>
      <c r="H55" s="475"/>
    </row>
    <row r="56" spans="1:9">
      <c r="A56" s="902"/>
      <c r="B56" s="487"/>
      <c r="C56" s="487"/>
      <c r="D56" s="487"/>
      <c r="F56" s="475"/>
      <c r="G56" s="475"/>
      <c r="H56" s="475"/>
    </row>
    <row r="57" spans="1:9">
      <c r="A57" s="460">
        <f>+A53+1</f>
        <v>30</v>
      </c>
      <c r="B57" s="468"/>
      <c r="C57" s="479" t="s">
        <v>628</v>
      </c>
      <c r="E57" s="915" t="str">
        <f>"(Note "&amp;B$299&amp;")"</f>
        <v>(Note B)</v>
      </c>
      <c r="F57" s="476" t="s">
        <v>629</v>
      </c>
      <c r="G57" s="464"/>
      <c r="H57" s="920">
        <v>466991003</v>
      </c>
    </row>
    <row r="58" spans="1:9" s="453" customFormat="1">
      <c r="A58" s="460"/>
      <c r="B58" s="460"/>
      <c r="C58" s="487"/>
      <c r="D58" s="491"/>
      <c r="E58" s="902"/>
      <c r="F58" s="476"/>
      <c r="G58" s="487"/>
      <c r="H58" s="476"/>
    </row>
    <row r="59" spans="1:9">
      <c r="A59" s="460">
        <f>+A57+1</f>
        <v>31</v>
      </c>
      <c r="B59" s="468"/>
      <c r="C59" s="479" t="s">
        <v>230</v>
      </c>
      <c r="F59" s="476" t="s">
        <v>630</v>
      </c>
      <c r="G59" s="464"/>
      <c r="H59" s="920">
        <f>'5 - Cost Support 1'!J233</f>
        <v>115540571.34</v>
      </c>
    </row>
    <row r="60" spans="1:9">
      <c r="A60" s="460">
        <f t="shared" ref="A60:A65" si="0">+A59+1</f>
        <v>32</v>
      </c>
      <c r="B60" s="468"/>
      <c r="C60" s="479" t="str">
        <f>+C24</f>
        <v>Accumulated Intangible Amortization</v>
      </c>
      <c r="F60" s="466" t="str">
        <f>"(Line "&amp;A$24&amp;")"</f>
        <v>(Line 10)</v>
      </c>
      <c r="G60" s="464"/>
      <c r="H60" s="476">
        <f>+H24</f>
        <v>24819816.239999998</v>
      </c>
    </row>
    <row r="61" spans="1:9">
      <c r="A61" s="460">
        <f t="shared" si="0"/>
        <v>33</v>
      </c>
      <c r="B61" s="468"/>
      <c r="C61" s="479" t="str">
        <f>+C25</f>
        <v>Accumulated Common Amortization - Electric</v>
      </c>
      <c r="E61" s="915"/>
      <c r="F61" s="466" t="str">
        <f>"(Line "&amp;A$25&amp;")"</f>
        <v>(Line 11)</v>
      </c>
      <c r="G61" s="464"/>
      <c r="H61" s="476">
        <f>+H25</f>
        <v>0</v>
      </c>
    </row>
    <row r="62" spans="1:9">
      <c r="A62" s="460">
        <f t="shared" si="0"/>
        <v>34</v>
      </c>
      <c r="B62" s="468"/>
      <c r="C62" s="506" t="s">
        <v>631</v>
      </c>
      <c r="D62" s="470"/>
      <c r="E62" s="942"/>
      <c r="F62" s="473" t="str">
        <f>"(Line "&amp;A$26&amp;")"</f>
        <v>(Line 12)</v>
      </c>
      <c r="G62" s="464"/>
      <c r="H62" s="482">
        <f>+H26</f>
        <v>0</v>
      </c>
    </row>
    <row r="63" spans="1:9">
      <c r="A63" s="460">
        <f t="shared" si="0"/>
        <v>35</v>
      </c>
      <c r="B63" s="468"/>
      <c r="C63" s="943" t="s">
        <v>606</v>
      </c>
      <c r="D63" s="463"/>
      <c r="E63" s="944"/>
      <c r="F63" s="466" t="str">
        <f>"(Sum Lines "&amp;A59&amp;" to "&amp;A62&amp;")"</f>
        <v>(Sum Lines 31 to 34)</v>
      </c>
      <c r="G63" s="466"/>
      <c r="H63" s="466">
        <f>SUM(H59:H62)</f>
        <v>140360387.58000001</v>
      </c>
    </row>
    <row r="64" spans="1:9">
      <c r="A64" s="460">
        <f t="shared" si="0"/>
        <v>36</v>
      </c>
      <c r="B64" s="468"/>
      <c r="C64" s="943" t="str">
        <f>+C48</f>
        <v>Wage &amp; Salary Allocation Factor</v>
      </c>
      <c r="D64" s="463"/>
      <c r="E64" s="944"/>
      <c r="F64" s="473" t="str">
        <f>"(Line "&amp;A$16&amp;")"</f>
        <v>(Line 5)</v>
      </c>
      <c r="G64" s="466"/>
      <c r="H64" s="945">
        <f>+H16</f>
        <v>0.10615912662453647</v>
      </c>
    </row>
    <row r="65" spans="1:9">
      <c r="A65" s="460">
        <f t="shared" si="0"/>
        <v>37</v>
      </c>
      <c r="B65" s="281"/>
      <c r="C65" s="906" t="s">
        <v>632</v>
      </c>
      <c r="D65" s="918"/>
      <c r="E65" s="921"/>
      <c r="F65" s="466" t="str">
        <f>"(Line "&amp;A63&amp;" * "&amp;A64&amp;")"</f>
        <v>(Line 35 * 36)</v>
      </c>
      <c r="G65" s="918"/>
      <c r="H65" s="495">
        <f>+H64*H63</f>
        <v>14900536.158174237</v>
      </c>
    </row>
    <row r="66" spans="1:9">
      <c r="A66" s="902"/>
      <c r="B66" s="281"/>
      <c r="C66" s="281"/>
      <c r="D66" s="281"/>
    </row>
    <row r="67" spans="1:9" ht="15.75" thickBot="1">
      <c r="A67" s="460">
        <f>+A65+1</f>
        <v>38</v>
      </c>
      <c r="B67" s="516" t="s">
        <v>633</v>
      </c>
      <c r="C67" s="516"/>
      <c r="D67" s="516"/>
      <c r="E67" s="923"/>
      <c r="F67" s="911" t="str">
        <f>"(Line "&amp;A57&amp;" + "&amp;A65&amp;")"</f>
        <v>(Line 30 + 37)</v>
      </c>
      <c r="G67" s="516"/>
      <c r="H67" s="941">
        <f>+H65+H57</f>
        <v>481891539.15817422</v>
      </c>
    </row>
    <row r="68" spans="1:9" ht="15.75" thickTop="1">
      <c r="A68" s="902"/>
      <c r="B68" s="281"/>
      <c r="C68" s="281"/>
      <c r="D68" s="281"/>
    </row>
    <row r="69" spans="1:9" ht="15.75" thickBot="1">
      <c r="A69" s="460">
        <f>+A67+1</f>
        <v>39</v>
      </c>
      <c r="B69" s="516" t="s">
        <v>634</v>
      </c>
      <c r="C69" s="516"/>
      <c r="D69" s="516"/>
      <c r="E69" s="923"/>
      <c r="F69" s="911" t="str">
        <f>"(Line "&amp;A53&amp;" - "&amp;A67&amp;")"</f>
        <v>(Line 29 - 38)</v>
      </c>
      <c r="G69" s="516"/>
      <c r="H69" s="941">
        <f>+H53-H67</f>
        <v>1107196848.6469312</v>
      </c>
    </row>
    <row r="70" spans="1:9" ht="15.75" thickTop="1">
      <c r="A70" s="452"/>
      <c r="B70" s="281"/>
      <c r="C70" s="281"/>
      <c r="D70" s="281"/>
    </row>
    <row r="71" spans="1:9" ht="15.75">
      <c r="A71" s="926" t="s">
        <v>635</v>
      </c>
      <c r="B71" s="896"/>
      <c r="C71" s="896"/>
      <c r="D71" s="896"/>
      <c r="E71" s="928"/>
      <c r="F71" s="898"/>
      <c r="G71" s="898"/>
      <c r="H71" s="457"/>
    </row>
    <row r="72" spans="1:9">
      <c r="A72" s="946"/>
      <c r="B72" s="947"/>
      <c r="C72" s="947"/>
      <c r="D72" s="947"/>
    </row>
    <row r="73" spans="1:9">
      <c r="A73" s="902"/>
      <c r="B73" s="948" t="s">
        <v>74</v>
      </c>
      <c r="D73" s="453"/>
      <c r="E73" s="949"/>
      <c r="H73" s="475"/>
    </row>
    <row r="74" spans="1:9" ht="15.75">
      <c r="A74" s="902">
        <f>+A69+1</f>
        <v>40</v>
      </c>
      <c r="B74" s="950"/>
      <c r="C74" s="464" t="s">
        <v>636</v>
      </c>
      <c r="D74" s="453"/>
      <c r="F74" s="486" t="s">
        <v>637</v>
      </c>
      <c r="H74" s="476">
        <f>'1 - ADIT'!H17</f>
        <v>-330583531.88481832</v>
      </c>
      <c r="I74" s="922"/>
    </row>
    <row r="75" spans="1:9" s="487" customFormat="1">
      <c r="A75" s="460">
        <f>+A74+1</f>
        <v>41</v>
      </c>
      <c r="B75" s="453"/>
      <c r="C75" s="497" t="s">
        <v>638</v>
      </c>
      <c r="D75" s="951" t="s">
        <v>639</v>
      </c>
      <c r="E75" s="915" t="str">
        <f>"(Notes "&amp;B$298&amp;" &amp; "&amp;B$309&amp;")"</f>
        <v>(Notes A &amp; I)</v>
      </c>
      <c r="F75" s="467" t="s">
        <v>640</v>
      </c>
      <c r="H75" s="920">
        <f>'1 - ADIT'!E125</f>
        <v>0</v>
      </c>
      <c r="I75" s="922"/>
    </row>
    <row r="76" spans="1:9">
      <c r="A76" s="460">
        <f>+A75+1</f>
        <v>42</v>
      </c>
      <c r="B76" s="453"/>
      <c r="C76" s="461" t="s">
        <v>375</v>
      </c>
      <c r="D76" s="453"/>
      <c r="E76" s="902"/>
      <c r="F76" s="482" t="str">
        <f>"(Line "&amp;A35&amp;")"</f>
        <v>(Line 18)</v>
      </c>
      <c r="H76" s="537">
        <f>+H$35</f>
        <v>0.19875264309565774</v>
      </c>
    </row>
    <row r="77" spans="1:9" s="453" customFormat="1">
      <c r="A77" s="460">
        <f>+A76+1</f>
        <v>43</v>
      </c>
      <c r="C77" s="952" t="s">
        <v>641</v>
      </c>
      <c r="D77" s="916"/>
      <c r="E77" s="917"/>
      <c r="F77" s="467" t="str">
        <f>"(Line "&amp;A75&amp;" * "&amp;A76&amp;") + Line "&amp;A74</f>
        <v>(Line 41 * 42) + Line 40</v>
      </c>
      <c r="G77" s="916"/>
      <c r="H77" s="953">
        <f>+H74+H75*H76</f>
        <v>-330583531.88481832</v>
      </c>
      <c r="I77" s="922"/>
    </row>
    <row r="78" spans="1:9" ht="15.75">
      <c r="A78" s="902"/>
      <c r="B78" s="453"/>
      <c r="C78" s="950"/>
      <c r="D78" s="899"/>
      <c r="E78" s="919"/>
      <c r="F78" s="899"/>
      <c r="G78" s="954"/>
      <c r="H78" s="955"/>
    </row>
    <row r="79" spans="1:9">
      <c r="A79" s="460" t="s">
        <v>642</v>
      </c>
      <c r="B79" s="948" t="s">
        <v>643</v>
      </c>
      <c r="D79" s="899"/>
      <c r="E79" s="915" t="s">
        <v>644</v>
      </c>
      <c r="F79" s="467" t="s">
        <v>645</v>
      </c>
      <c r="G79" s="954"/>
      <c r="H79" s="956">
        <f>'6- Est &amp; Reconcile WS'!R117</f>
        <v>0</v>
      </c>
    </row>
    <row r="80" spans="1:9" ht="15" customHeight="1">
      <c r="A80" s="460"/>
      <c r="B80" s="281"/>
      <c r="D80" s="899"/>
      <c r="E80" s="915"/>
      <c r="F80" s="467"/>
      <c r="G80" s="954"/>
      <c r="H80" s="955"/>
    </row>
    <row r="81" spans="1:9" ht="18">
      <c r="A81" s="460" t="s">
        <v>646</v>
      </c>
      <c r="B81" s="957" t="s">
        <v>647</v>
      </c>
      <c r="C81" s="958"/>
      <c r="D81" s="959"/>
      <c r="E81" s="959"/>
      <c r="F81" s="957" t="s">
        <v>648</v>
      </c>
      <c r="G81" s="954"/>
      <c r="H81" s="955">
        <f>'5 - Cost Support 1'!E180</f>
        <v>0</v>
      </c>
    </row>
    <row r="82" spans="1:9" ht="18">
      <c r="A82" s="281"/>
      <c r="B82" s="281"/>
      <c r="C82" s="958"/>
      <c r="D82" s="959"/>
      <c r="E82" s="959"/>
      <c r="F82" s="959"/>
      <c r="G82" s="954"/>
      <c r="H82" s="955"/>
    </row>
    <row r="83" spans="1:9" s="453" customFormat="1" ht="15.75">
      <c r="A83" s="460"/>
      <c r="B83" s="453" t="s">
        <v>649</v>
      </c>
      <c r="C83" s="950"/>
      <c r="D83" s="899"/>
      <c r="E83" s="919"/>
      <c r="F83" s="467"/>
      <c r="G83" s="899"/>
      <c r="H83" s="955"/>
    </row>
    <row r="84" spans="1:9">
      <c r="A84" s="902">
        <f>+A77+1</f>
        <v>44</v>
      </c>
      <c r="B84" s="453"/>
      <c r="C84" s="948" t="s">
        <v>650</v>
      </c>
      <c r="D84" s="899"/>
      <c r="E84" s="919" t="s">
        <v>639</v>
      </c>
      <c r="F84" s="899" t="s">
        <v>648</v>
      </c>
      <c r="G84" s="954"/>
      <c r="H84" s="955">
        <f>-'5 - Cost Support 1'!I105</f>
        <v>-8362856.1132669495</v>
      </c>
    </row>
    <row r="85" spans="1:9" ht="15.75">
      <c r="A85" s="460"/>
      <c r="B85" s="960"/>
      <c r="C85" s="487"/>
      <c r="D85" s="487"/>
      <c r="E85" s="902"/>
      <c r="F85" s="961"/>
      <c r="G85" s="562"/>
    </row>
    <row r="86" spans="1:9" ht="15.75">
      <c r="A86" s="460"/>
      <c r="B86" s="461" t="s">
        <v>144</v>
      </c>
      <c r="C86" s="461"/>
      <c r="D86" s="487"/>
      <c r="E86" s="902"/>
      <c r="F86" s="962"/>
      <c r="G86" s="963"/>
    </row>
    <row r="87" spans="1:9" ht="15.75">
      <c r="A87" s="460">
        <f>+A84+1</f>
        <v>45</v>
      </c>
      <c r="B87" s="964"/>
      <c r="C87" s="965" t="s">
        <v>150</v>
      </c>
      <c r="D87" s="942"/>
      <c r="E87" s="942" t="str">
        <f>"(Note "&amp;B$298&amp;")"</f>
        <v>(Note A)</v>
      </c>
      <c r="F87" s="965" t="s">
        <v>648</v>
      </c>
      <c r="G87" s="966"/>
      <c r="H87" s="955">
        <f>+'5 - Cost Support 1'!F117</f>
        <v>40704918.532598726</v>
      </c>
      <c r="I87" s="922"/>
    </row>
    <row r="88" spans="1:9" ht="15.75">
      <c r="A88" s="468">
        <f>+A87+1</f>
        <v>46</v>
      </c>
      <c r="B88" s="960"/>
      <c r="C88" s="453" t="s">
        <v>651</v>
      </c>
      <c r="D88" s="492"/>
      <c r="E88" s="967"/>
      <c r="F88" s="467" t="str">
        <f>"(Line "&amp;A87&amp;")"</f>
        <v>(Line 45)</v>
      </c>
      <c r="G88" s="550"/>
      <c r="H88" s="968">
        <f>+H87</f>
        <v>40704918.532598726</v>
      </c>
      <c r="I88" s="922"/>
    </row>
    <row r="89" spans="1:9" ht="15.75">
      <c r="A89" s="460"/>
      <c r="B89" s="960"/>
      <c r="C89" s="487"/>
      <c r="F89" s="562"/>
      <c r="G89" s="562"/>
    </row>
    <row r="90" spans="1:9" ht="15.75">
      <c r="A90" s="468"/>
      <c r="B90" s="960"/>
      <c r="C90" s="461"/>
      <c r="E90" s="468"/>
      <c r="F90" s="963"/>
      <c r="G90" s="963"/>
      <c r="H90" s="969"/>
    </row>
    <row r="91" spans="1:9" ht="15.75">
      <c r="A91" s="460"/>
      <c r="B91" s="461" t="s">
        <v>75</v>
      </c>
      <c r="C91" s="453"/>
      <c r="D91" s="453"/>
      <c r="E91" s="970"/>
      <c r="F91" s="966"/>
      <c r="G91" s="963"/>
      <c r="H91" s="969"/>
    </row>
    <row r="92" spans="1:9">
      <c r="A92" s="902">
        <f>+A88+1</f>
        <v>47</v>
      </c>
      <c r="B92" s="453"/>
      <c r="C92" s="453" t="s">
        <v>652</v>
      </c>
      <c r="D92" s="487"/>
      <c r="E92" s="915" t="str">
        <f>"(Note "&amp;B$298&amp;")"</f>
        <v>(Note A)</v>
      </c>
      <c r="F92" s="461" t="s">
        <v>653</v>
      </c>
      <c r="H92" s="971">
        <f>'5 - Cost Support 1'!H15</f>
        <v>0</v>
      </c>
      <c r="I92" s="922"/>
    </row>
    <row r="93" spans="1:9" s="453" customFormat="1" ht="15.75">
      <c r="A93" s="460">
        <f>+A92+1</f>
        <v>48</v>
      </c>
      <c r="B93" s="960"/>
      <c r="C93" s="965" t="s">
        <v>623</v>
      </c>
      <c r="D93" s="543"/>
      <c r="E93" s="972"/>
      <c r="F93" s="473" t="str">
        <f>"(Line "&amp;A$16&amp;")"</f>
        <v>(Line 5)</v>
      </c>
      <c r="G93" s="973"/>
      <c r="H93" s="537">
        <f>+H16</f>
        <v>0.10615912662453647</v>
      </c>
    </row>
    <row r="94" spans="1:9" ht="15.75">
      <c r="A94" s="460">
        <f>+A93+1</f>
        <v>49</v>
      </c>
      <c r="B94" s="960"/>
      <c r="C94" s="461" t="s">
        <v>654</v>
      </c>
      <c r="D94" s="487"/>
      <c r="E94" s="902"/>
      <c r="F94" s="466" t="str">
        <f>"(Line "&amp;A92&amp;" * "&amp;A93&amp;")"</f>
        <v>(Line 47 * 48)</v>
      </c>
      <c r="G94" s="963"/>
      <c r="H94" s="968">
        <f>+H92*H93</f>
        <v>0</v>
      </c>
    </row>
    <row r="95" spans="1:9" ht="15.75">
      <c r="A95" s="460">
        <f>+A94+1</f>
        <v>50</v>
      </c>
      <c r="B95" s="960"/>
      <c r="C95" s="461" t="s">
        <v>655</v>
      </c>
      <c r="D95" s="487"/>
      <c r="E95" s="460"/>
      <c r="F95" s="965" t="s">
        <v>656</v>
      </c>
      <c r="G95" s="963"/>
      <c r="H95" s="971">
        <v>8987721</v>
      </c>
    </row>
    <row r="96" spans="1:9" ht="18" customHeight="1">
      <c r="A96" s="460">
        <f>+A95+1</f>
        <v>51</v>
      </c>
      <c r="B96" s="960"/>
      <c r="C96" s="916" t="s">
        <v>657</v>
      </c>
      <c r="D96" s="492"/>
      <c r="E96" s="967"/>
      <c r="F96" s="466" t="str">
        <f>"(Line "&amp;A94&amp;" + "&amp;A95&amp;")"</f>
        <v>(Line 49 + 50)</v>
      </c>
      <c r="G96" s="550"/>
      <c r="H96" s="974">
        <f>SUM(H94:H95)</f>
        <v>8987721</v>
      </c>
    </row>
    <row r="97" spans="1:9" ht="15.75">
      <c r="A97" s="460"/>
      <c r="B97" s="960"/>
      <c r="C97" s="461"/>
      <c r="E97" s="468"/>
      <c r="F97" s="963"/>
      <c r="G97" s="963"/>
    </row>
    <row r="98" spans="1:9" ht="15.75">
      <c r="A98" s="460"/>
      <c r="B98" s="461" t="s">
        <v>658</v>
      </c>
      <c r="C98" s="453"/>
      <c r="F98" s="963"/>
      <c r="G98" s="963"/>
    </row>
    <row r="99" spans="1:9" ht="15.75">
      <c r="A99" s="460">
        <f>+A96+1</f>
        <v>52</v>
      </c>
      <c r="B99" s="960"/>
      <c r="C99" s="461" t="s">
        <v>659</v>
      </c>
      <c r="D99" s="459"/>
      <c r="F99" s="466" t="str">
        <f>"(Line "&amp;A$147&amp;")"</f>
        <v>(Line 85)</v>
      </c>
      <c r="G99" s="963"/>
      <c r="H99" s="975">
        <f>+H147</f>
        <v>48369944.198638</v>
      </c>
      <c r="I99" s="922"/>
    </row>
    <row r="100" spans="1:9" ht="15.75">
      <c r="A100" s="460">
        <f>+A99+1</f>
        <v>53</v>
      </c>
      <c r="B100" s="960"/>
      <c r="C100" s="486" t="s">
        <v>660</v>
      </c>
      <c r="D100" s="459"/>
      <c r="F100" s="505" t="s">
        <v>661</v>
      </c>
      <c r="H100" s="976">
        <v>0.125</v>
      </c>
    </row>
    <row r="101" spans="1:9" s="559" customFormat="1" ht="15.75">
      <c r="A101" s="460">
        <f>+A100+1</f>
        <v>54</v>
      </c>
      <c r="B101" s="960"/>
      <c r="C101" s="952" t="s">
        <v>662</v>
      </c>
      <c r="D101" s="494"/>
      <c r="E101" s="921"/>
      <c r="F101" s="466" t="str">
        <f>"(Line "&amp;A99&amp;" * "&amp;A100&amp;")"</f>
        <v>(Line 52 * 53)</v>
      </c>
      <c r="G101" s="918"/>
      <c r="H101" s="977">
        <f>+H99*H100</f>
        <v>6046243.0248297499</v>
      </c>
    </row>
    <row r="102" spans="1:9" s="559" customFormat="1" ht="15.75">
      <c r="A102" s="460"/>
      <c r="B102" s="960"/>
      <c r="C102" s="948"/>
      <c r="D102" s="474"/>
      <c r="E102" s="904"/>
      <c r="F102" s="466"/>
      <c r="G102" s="954"/>
      <c r="H102" s="562"/>
    </row>
    <row r="103" spans="1:9" s="559" customFormat="1" ht="15.75">
      <c r="A103" s="281"/>
      <c r="B103" s="948" t="s">
        <v>158</v>
      </c>
      <c r="C103" s="281"/>
      <c r="D103" s="474"/>
      <c r="E103" s="281"/>
      <c r="F103" s="466"/>
      <c r="G103" s="954"/>
      <c r="H103" s="562"/>
    </row>
    <row r="104" spans="1:9">
      <c r="A104" s="460">
        <f>+A101+1</f>
        <v>55</v>
      </c>
      <c r="B104" s="281"/>
      <c r="C104" s="281" t="s">
        <v>663</v>
      </c>
      <c r="D104" s="281"/>
      <c r="E104" s="915" t="str">
        <f>"(Note "&amp;B$319&amp;")"</f>
        <v>(Note N)</v>
      </c>
      <c r="F104" s="281" t="s">
        <v>664</v>
      </c>
      <c r="H104" s="978">
        <f>+'5 - Cost Support 1'!G124</f>
        <v>0</v>
      </c>
    </row>
    <row r="105" spans="1:9">
      <c r="A105" s="452">
        <f>+A104+1</f>
        <v>56</v>
      </c>
      <c r="B105" s="281"/>
      <c r="C105" s="979" t="s">
        <v>665</v>
      </c>
      <c r="D105" s="979"/>
      <c r="E105" s="980" t="str">
        <f>+E104</f>
        <v>(Note N)</v>
      </c>
      <c r="F105" s="981" t="str">
        <f>+F104</f>
        <v>From PJM</v>
      </c>
      <c r="H105" s="982">
        <f>+'5 - Cost Support 1'!G129</f>
        <v>0</v>
      </c>
    </row>
    <row r="106" spans="1:9">
      <c r="A106" s="452">
        <f>+A105+1</f>
        <v>57</v>
      </c>
      <c r="B106" s="281"/>
      <c r="C106" s="281" t="s">
        <v>666</v>
      </c>
      <c r="D106" s="281"/>
      <c r="F106" s="466" t="str">
        <f>"(Line "&amp;A104&amp;" - "&amp;A105&amp;")"</f>
        <v>(Line 55 - 56)</v>
      </c>
      <c r="H106" s="281">
        <f>+H104+H105</f>
        <v>0</v>
      </c>
    </row>
    <row r="107" spans="1:9">
      <c r="A107" s="452"/>
      <c r="B107" s="281"/>
      <c r="C107" s="281"/>
      <c r="D107" s="281"/>
    </row>
    <row r="108" spans="1:9" ht="15.75" thickBot="1">
      <c r="A108" s="452">
        <f>+A106+1</f>
        <v>58</v>
      </c>
      <c r="B108" s="516" t="s">
        <v>667</v>
      </c>
      <c r="C108" s="516"/>
      <c r="D108" s="516"/>
      <c r="E108" s="923"/>
      <c r="F108" s="983" t="str">
        <f>"(Line "&amp;A77&amp;" + "&amp;A79&amp;" + "&amp;A81&amp;" + "&amp;A84&amp;" + "&amp;A88&amp;" + "&amp;A96&amp;" + "&amp;A101&amp;" - "&amp;A106&amp;")"</f>
        <v>(Line 43 + 43a + 43b + 44 + 46 + 51 + 54 - 57)</v>
      </c>
      <c r="G108" s="984"/>
      <c r="H108" s="985">
        <f>SUM(H77,H79,H81,H84,H87,H96,H101,H106)</f>
        <v>-283207505.44065678</v>
      </c>
      <c r="I108" s="922"/>
    </row>
    <row r="109" spans="1:9" ht="15.75" thickTop="1">
      <c r="A109" s="452"/>
      <c r="B109" s="281"/>
      <c r="C109" s="281"/>
      <c r="D109" s="281"/>
    </row>
    <row r="110" spans="1:9" ht="15.75" thickBot="1">
      <c r="A110" s="468">
        <f>+A108+1</f>
        <v>59</v>
      </c>
      <c r="B110" s="516" t="s">
        <v>668</v>
      </c>
      <c r="C110" s="516"/>
      <c r="D110" s="516"/>
      <c r="E110" s="923"/>
      <c r="F110" s="911" t="str">
        <f>"(Line "&amp;A69&amp;" + "&amp;A108&amp;")"</f>
        <v>(Line 39 + 58)</v>
      </c>
      <c r="G110" s="516"/>
      <c r="H110" s="941">
        <f>+H69+H108</f>
        <v>823989343.20627439</v>
      </c>
      <c r="I110" s="922"/>
    </row>
    <row r="111" spans="1:9" ht="15.75" thickTop="1">
      <c r="B111" s="281"/>
      <c r="C111" s="281"/>
      <c r="D111" s="281"/>
    </row>
    <row r="112" spans="1:9" s="453" customFormat="1" ht="15.75">
      <c r="A112" s="986" t="s">
        <v>669</v>
      </c>
      <c r="B112" s="987"/>
      <c r="C112" s="988"/>
      <c r="D112" s="523"/>
      <c r="E112" s="989"/>
      <c r="F112" s="457"/>
      <c r="G112" s="457"/>
      <c r="H112" s="525"/>
    </row>
    <row r="113" spans="1:9" s="453" customFormat="1" ht="15.75">
      <c r="A113" s="487"/>
      <c r="B113" s="487"/>
      <c r="C113" s="487"/>
      <c r="D113" s="487"/>
      <c r="E113" s="990"/>
      <c r="H113" s="900"/>
    </row>
    <row r="114" spans="1:9">
      <c r="A114" s="468"/>
      <c r="B114" s="491" t="s">
        <v>217</v>
      </c>
      <c r="D114" s="475"/>
      <c r="E114" s="527"/>
      <c r="G114" s="475"/>
      <c r="H114" s="475"/>
    </row>
    <row r="115" spans="1:9">
      <c r="A115" s="468">
        <f>+A110+1</f>
        <v>60</v>
      </c>
      <c r="B115" s="468"/>
      <c r="C115" s="491" t="s">
        <v>217</v>
      </c>
      <c r="D115" s="487"/>
      <c r="E115" s="902"/>
      <c r="F115" s="476" t="s">
        <v>670</v>
      </c>
      <c r="G115" s="460"/>
      <c r="H115" s="920">
        <f>'5 - Cost Support 1'!I210</f>
        <v>31719429.91</v>
      </c>
    </row>
    <row r="116" spans="1:9">
      <c r="A116" s="468">
        <f>A115+1</f>
        <v>61</v>
      </c>
      <c r="B116" s="468"/>
      <c r="C116" s="491" t="s">
        <v>671</v>
      </c>
      <c r="D116" s="487"/>
      <c r="E116" s="902"/>
      <c r="F116" s="476" t="s">
        <v>648</v>
      </c>
      <c r="G116" s="460"/>
      <c r="H116" s="476">
        <f>'5 - Cost Support 1'!G137</f>
        <v>0</v>
      </c>
    </row>
    <row r="117" spans="1:9">
      <c r="A117" s="468">
        <f>A116+1</f>
        <v>62</v>
      </c>
      <c r="B117" s="468"/>
      <c r="C117" s="491" t="s">
        <v>672</v>
      </c>
      <c r="D117" s="487"/>
      <c r="E117" s="902"/>
      <c r="F117" s="476" t="s">
        <v>648</v>
      </c>
      <c r="G117" s="460"/>
      <c r="H117" s="476">
        <f>'5 - Cost Support 1'!J138</f>
        <v>0</v>
      </c>
    </row>
    <row r="118" spans="1:9">
      <c r="A118" s="468">
        <f>+A117+1</f>
        <v>63</v>
      </c>
      <c r="B118" s="468"/>
      <c r="C118" s="491" t="s">
        <v>673</v>
      </c>
      <c r="D118" s="487"/>
      <c r="E118" s="902"/>
      <c r="F118" s="476" t="s">
        <v>674</v>
      </c>
      <c r="G118" s="487"/>
      <c r="H118" s="920">
        <v>0</v>
      </c>
    </row>
    <row r="119" spans="1:9">
      <c r="A119" s="460">
        <f>+A118+1</f>
        <v>64</v>
      </c>
      <c r="B119" s="460"/>
      <c r="C119" s="491" t="s">
        <v>675</v>
      </c>
      <c r="D119" s="487"/>
      <c r="E119" s="915" t="str">
        <f>"(Note "&amp;B$322&amp;")"</f>
        <v>(Note O)</v>
      </c>
      <c r="F119" s="476" t="s">
        <v>676</v>
      </c>
      <c r="G119" s="487"/>
      <c r="H119" s="920">
        <v>0</v>
      </c>
      <c r="I119" s="991"/>
    </row>
    <row r="120" spans="1:9">
      <c r="A120" s="468">
        <f>+A119+1</f>
        <v>65</v>
      </c>
      <c r="B120" s="468"/>
      <c r="C120" s="491" t="s">
        <v>677</v>
      </c>
      <c r="D120" s="476"/>
      <c r="E120" s="942" t="str">
        <f>"(Note "&amp;B$298&amp;")"</f>
        <v>(Note A)</v>
      </c>
      <c r="F120" s="482" t="s">
        <v>678</v>
      </c>
      <c r="G120" s="487"/>
      <c r="H120" s="934">
        <v>0</v>
      </c>
    </row>
    <row r="121" spans="1:9">
      <c r="A121" s="460">
        <f>+A120+1</f>
        <v>66</v>
      </c>
      <c r="B121" s="487"/>
      <c r="C121" s="489" t="s">
        <v>217</v>
      </c>
      <c r="D121" s="488"/>
      <c r="E121" s="917"/>
      <c r="F121" s="467" t="str">
        <f>"(Lines "&amp;A115&amp;" - "&amp;A118&amp;" + "&amp;A119&amp;" + "&amp;A120&amp;")"</f>
        <v>(Lines 60 - 63 + 64 + 65)</v>
      </c>
      <c r="G121" s="916"/>
      <c r="H121" s="490">
        <f>+H115-H116+H117-H118+H119+H120</f>
        <v>31719429.91</v>
      </c>
    </row>
    <row r="122" spans="1:9">
      <c r="A122" s="460"/>
      <c r="B122" s="460"/>
      <c r="C122" s="491"/>
      <c r="D122" s="487"/>
      <c r="E122" s="496"/>
      <c r="F122" s="487"/>
      <c r="G122" s="487"/>
      <c r="H122" s="914"/>
    </row>
    <row r="123" spans="1:9">
      <c r="A123" s="460"/>
      <c r="B123" s="491" t="s">
        <v>76</v>
      </c>
      <c r="C123" s="487"/>
      <c r="D123" s="487"/>
      <c r="E123" s="496"/>
      <c r="F123" s="487"/>
      <c r="G123" s="487"/>
      <c r="H123" s="914"/>
    </row>
    <row r="124" spans="1:9">
      <c r="A124" s="460">
        <f>+A121+1</f>
        <v>67</v>
      </c>
      <c r="B124" s="460"/>
      <c r="C124" s="491" t="s">
        <v>679</v>
      </c>
      <c r="D124" s="487"/>
      <c r="E124" s="915" t="str">
        <f>"(Note "&amp;B$298&amp;")"</f>
        <v>(Note A)</v>
      </c>
      <c r="F124" s="475" t="s">
        <v>604</v>
      </c>
      <c r="G124" s="487"/>
      <c r="H124" s="920">
        <v>0</v>
      </c>
    </row>
    <row r="125" spans="1:9">
      <c r="A125" s="460">
        <f t="shared" ref="A125:A134" si="1">+A124+1</f>
        <v>68</v>
      </c>
      <c r="B125" s="460"/>
      <c r="C125" s="491" t="s">
        <v>219</v>
      </c>
      <c r="D125" s="487"/>
      <c r="E125" s="902"/>
      <c r="F125" s="476" t="s">
        <v>680</v>
      </c>
      <c r="G125" s="487"/>
      <c r="H125" s="920">
        <f>'5 - Cost Support 1'!I211</f>
        <v>159379058.69999999</v>
      </c>
    </row>
    <row r="126" spans="1:9" ht="15.75">
      <c r="A126" s="460" t="s">
        <v>681</v>
      </c>
      <c r="B126" s="460"/>
      <c r="C126" s="491" t="s">
        <v>682</v>
      </c>
      <c r="D126" s="487"/>
      <c r="E126" s="915" t="s">
        <v>683</v>
      </c>
      <c r="F126" s="476" t="s">
        <v>648</v>
      </c>
      <c r="G126" s="992"/>
      <c r="H126" s="920">
        <f>'5 - Cost Support 1'!I239</f>
        <v>1830717</v>
      </c>
    </row>
    <row r="127" spans="1:9">
      <c r="A127" s="460">
        <f>+A125+1</f>
        <v>69</v>
      </c>
      <c r="B127" s="460"/>
      <c r="C127" s="491" t="s">
        <v>684</v>
      </c>
      <c r="D127" s="476"/>
      <c r="E127" s="902"/>
      <c r="F127" s="491" t="s">
        <v>685</v>
      </c>
      <c r="G127" s="464"/>
      <c r="H127" s="920">
        <v>1210424</v>
      </c>
    </row>
    <row r="128" spans="1:9">
      <c r="A128" s="460">
        <f t="shared" si="1"/>
        <v>70</v>
      </c>
      <c r="B128" s="460"/>
      <c r="C128" s="491" t="s">
        <v>686</v>
      </c>
      <c r="D128" s="476"/>
      <c r="E128" s="915" t="str">
        <f>"(Note "&amp;B$306&amp;")"</f>
        <v>(Note E)</v>
      </c>
      <c r="F128" s="491" t="s">
        <v>85</v>
      </c>
      <c r="G128" s="464"/>
      <c r="H128" s="920">
        <v>4320061</v>
      </c>
    </row>
    <row r="129" spans="1:8">
      <c r="A129" s="460">
        <f t="shared" si="1"/>
        <v>71</v>
      </c>
      <c r="B129" s="460"/>
      <c r="C129" s="491" t="s">
        <v>687</v>
      </c>
      <c r="D129" s="476"/>
      <c r="E129" s="902"/>
      <c r="F129" s="491" t="s">
        <v>688</v>
      </c>
      <c r="G129" s="464"/>
      <c r="H129" s="920">
        <v>409143</v>
      </c>
    </row>
    <row r="130" spans="1:8">
      <c r="A130" s="460">
        <f>+A129+1</f>
        <v>72</v>
      </c>
      <c r="B130" s="460"/>
      <c r="C130" s="491" t="s">
        <v>689</v>
      </c>
      <c r="D130" s="476"/>
      <c r="E130" s="902"/>
      <c r="F130" s="491" t="s">
        <v>690</v>
      </c>
      <c r="G130" s="464"/>
      <c r="H130" s="920">
        <v>0</v>
      </c>
    </row>
    <row r="131" spans="1:8">
      <c r="A131" s="460">
        <f>+A130+1</f>
        <v>73</v>
      </c>
      <c r="B131" s="460"/>
      <c r="C131" s="491" t="s">
        <v>691</v>
      </c>
      <c r="D131" s="281"/>
      <c r="E131" s="915" t="str">
        <f>"(Note "&amp;B$305&amp;")"</f>
        <v>(Note D)</v>
      </c>
      <c r="F131" s="482" t="s">
        <v>692</v>
      </c>
      <c r="G131" s="487"/>
      <c r="H131" s="920">
        <f>'5 - Cost Support 1'!H49</f>
        <v>418896</v>
      </c>
    </row>
    <row r="132" spans="1:8">
      <c r="A132" s="460">
        <f t="shared" si="1"/>
        <v>74</v>
      </c>
      <c r="B132" s="460"/>
      <c r="C132" s="489" t="s">
        <v>693</v>
      </c>
      <c r="D132" s="488"/>
      <c r="E132" s="993"/>
      <c r="F132" s="466" t="str">
        <f>"(Lines "&amp;A124&amp;" + "&amp;A125&amp;") -  Sum ("&amp;A127&amp;" to "&amp;A131&amp;")"</f>
        <v>(Lines 67 + 68) -  Sum (69 to 73)</v>
      </c>
      <c r="G132" s="492"/>
      <c r="H132" s="495">
        <f>H124+H125-H127-H128-H129-H130-H131</f>
        <v>153020534.69999999</v>
      </c>
    </row>
    <row r="133" spans="1:8" ht="15.75">
      <c r="A133" s="460">
        <f t="shared" si="1"/>
        <v>75</v>
      </c>
      <c r="B133" s="460"/>
      <c r="C133" s="461" t="s">
        <v>623</v>
      </c>
      <c r="D133" s="486"/>
      <c r="F133" s="994" t="str">
        <f>"(Line "&amp;A$16&amp;")"</f>
        <v>(Line 5)</v>
      </c>
      <c r="G133" s="963"/>
      <c r="H133" s="969">
        <f>+H16</f>
        <v>0.10615912662453647</v>
      </c>
    </row>
    <row r="134" spans="1:8">
      <c r="A134" s="460">
        <f t="shared" si="1"/>
        <v>76</v>
      </c>
      <c r="B134" s="460"/>
      <c r="C134" s="489" t="s">
        <v>694</v>
      </c>
      <c r="D134" s="488"/>
      <c r="E134" s="907"/>
      <c r="F134" s="466" t="str">
        <f>"(Line "&amp;A132&amp;" * "&amp;A133&amp;")"</f>
        <v>(Line 74 * 75)</v>
      </c>
      <c r="G134" s="492"/>
      <c r="H134" s="495">
        <f>+H133*H132</f>
        <v>16244526.319371575</v>
      </c>
    </row>
    <row r="135" spans="1:8">
      <c r="A135" s="460"/>
      <c r="B135" s="460"/>
      <c r="C135" s="497"/>
      <c r="D135" s="553"/>
      <c r="E135" s="944"/>
      <c r="F135" s="463"/>
      <c r="G135" s="463"/>
      <c r="H135" s="466"/>
    </row>
    <row r="136" spans="1:8">
      <c r="A136" s="460"/>
      <c r="B136" s="491" t="s">
        <v>82</v>
      </c>
      <c r="C136" s="453"/>
      <c r="D136" s="553"/>
      <c r="E136" s="944"/>
      <c r="F136" s="463"/>
      <c r="G136" s="463"/>
      <c r="H136" s="466"/>
    </row>
    <row r="137" spans="1:8">
      <c r="A137" s="460">
        <f>+A134+1</f>
        <v>77</v>
      </c>
      <c r="B137" s="960"/>
      <c r="C137" s="461" t="s">
        <v>83</v>
      </c>
      <c r="D137" s="995"/>
      <c r="E137" s="915" t="str">
        <f>"(Note "&amp;B$308&amp;")"</f>
        <v>(Note G)</v>
      </c>
      <c r="F137" s="461" t="s">
        <v>85</v>
      </c>
      <c r="G137" s="453"/>
      <c r="H137" s="971">
        <f>+'5 - Cost Support 1'!H57</f>
        <v>165413</v>
      </c>
    </row>
    <row r="138" spans="1:8">
      <c r="A138" s="468">
        <f>+A137+1</f>
        <v>78</v>
      </c>
      <c r="B138" s="960"/>
      <c r="C138" s="965" t="s">
        <v>695</v>
      </c>
      <c r="D138" s="996"/>
      <c r="E138" s="942" t="str">
        <f>"(Note "&amp;B$316&amp;")"</f>
        <v>(Note K)</v>
      </c>
      <c r="F138" s="965" t="s">
        <v>688</v>
      </c>
      <c r="G138" s="453"/>
      <c r="H138" s="997">
        <f>'5 - Cost Support 1'!H63</f>
        <v>0</v>
      </c>
    </row>
    <row r="139" spans="1:8">
      <c r="A139" s="468">
        <f>+A138+1</f>
        <v>79</v>
      </c>
      <c r="B139" s="960"/>
      <c r="C139" s="461" t="s">
        <v>696</v>
      </c>
      <c r="D139" s="487"/>
      <c r="E139" s="970"/>
      <c r="F139" s="466" t="str">
        <f>"(Line "&amp;A137&amp;" + "&amp;A138&amp;")"</f>
        <v>(Line 77 + 78)</v>
      </c>
      <c r="G139" s="453"/>
      <c r="H139" s="567">
        <f>+H138+H137</f>
        <v>165413</v>
      </c>
    </row>
    <row r="140" spans="1:8" ht="15.75">
      <c r="A140" s="460"/>
      <c r="B140" s="960"/>
      <c r="C140" s="461"/>
      <c r="D140" s="487"/>
      <c r="E140" s="970"/>
      <c r="F140" s="461"/>
      <c r="G140" s="453"/>
      <c r="H140" s="966"/>
    </row>
    <row r="141" spans="1:8">
      <c r="A141" s="468">
        <f>+A139+1</f>
        <v>80</v>
      </c>
      <c r="B141" s="960"/>
      <c r="C141" s="461" t="s">
        <v>697</v>
      </c>
      <c r="D141" s="487"/>
      <c r="F141" s="461" t="s">
        <v>685</v>
      </c>
      <c r="G141" s="453"/>
      <c r="H141" s="971">
        <f>H127</f>
        <v>1210424</v>
      </c>
    </row>
    <row r="142" spans="1:8" ht="15.75" thickBot="1">
      <c r="A142" s="468">
        <f>+A141+1</f>
        <v>81</v>
      </c>
      <c r="B142" s="960"/>
      <c r="C142" s="461" t="s">
        <v>695</v>
      </c>
      <c r="D142" s="487"/>
      <c r="E142" s="915" t="str">
        <f>"(Note "&amp;B$307&amp;")"</f>
        <v>(Note F)</v>
      </c>
      <c r="F142" s="965" t="s">
        <v>688</v>
      </c>
      <c r="G142" s="453"/>
      <c r="H142" s="971">
        <f>+'5 - Cost Support 1'!H76</f>
        <v>0</v>
      </c>
    </row>
    <row r="143" spans="1:8">
      <c r="A143" s="460">
        <f>+A142+1</f>
        <v>82</v>
      </c>
      <c r="B143" s="960"/>
      <c r="C143" s="952" t="s">
        <v>61</v>
      </c>
      <c r="D143" s="488"/>
      <c r="E143" s="921"/>
      <c r="F143" s="466" t="str">
        <f>"(Line "&amp;A141&amp;" + "&amp;A142&amp;")"</f>
        <v>(Line 80 + 81)</v>
      </c>
      <c r="G143" s="916"/>
      <c r="H143" s="998">
        <f>+H141+H142</f>
        <v>1210424</v>
      </c>
    </row>
    <row r="144" spans="1:8" ht="15.75">
      <c r="A144" s="468">
        <f>+A143+1</f>
        <v>83</v>
      </c>
      <c r="B144" s="460"/>
      <c r="C144" s="950" t="s">
        <v>375</v>
      </c>
      <c r="D144" s="486"/>
      <c r="E144" s="468"/>
      <c r="F144" s="473" t="str">
        <f>"(Line "&amp;A$35&amp;")"</f>
        <v>(Line 18)</v>
      </c>
      <c r="G144" s="963"/>
      <c r="H144" s="999">
        <f>+H35</f>
        <v>0.19875264309565774</v>
      </c>
    </row>
    <row r="145" spans="1:8">
      <c r="A145" s="460">
        <f>+A144+1</f>
        <v>84</v>
      </c>
      <c r="B145" s="460"/>
      <c r="C145" s="489" t="s">
        <v>698</v>
      </c>
      <c r="D145" s="488"/>
      <c r="E145" s="907"/>
      <c r="F145" s="466" t="str">
        <f>"(Line "&amp;A143&amp;" * "&amp;A144&amp;")"</f>
        <v>(Line 82 * 83)</v>
      </c>
      <c r="G145" s="492"/>
      <c r="H145" s="953">
        <f>+H144*H143</f>
        <v>240574.96926641843</v>
      </c>
    </row>
    <row r="146" spans="1:8">
      <c r="A146" s="468"/>
      <c r="B146" s="468"/>
      <c r="C146" s="491"/>
      <c r="D146" s="487"/>
      <c r="E146" s="527"/>
      <c r="F146" s="464"/>
      <c r="G146" s="464"/>
      <c r="H146" s="466"/>
    </row>
    <row r="147" spans="1:8" ht="15.75" thickBot="1">
      <c r="A147" s="468">
        <f>+A145+1</f>
        <v>85</v>
      </c>
      <c r="B147" s="468"/>
      <c r="C147" s="908" t="s">
        <v>699</v>
      </c>
      <c r="D147" s="909"/>
      <c r="E147" s="1000"/>
      <c r="F147" s="911" t="str">
        <f>"(Line "&amp;A121&amp;" + "&amp;A134&amp;" + "&amp;A139&amp;" + "&amp;A145&amp;")"</f>
        <v>(Line 66 + 76 + 79 + 84)</v>
      </c>
      <c r="G147" s="912"/>
      <c r="H147" s="911">
        <f>+H121+H134+H139+H145</f>
        <v>48369944.198638</v>
      </c>
    </row>
    <row r="148" spans="1:8" ht="15.75" thickTop="1">
      <c r="A148" s="469"/>
      <c r="B148" s="468"/>
      <c r="C148" s="491"/>
      <c r="D148" s="487"/>
      <c r="E148" s="527"/>
      <c r="F148" s="464"/>
      <c r="G148" s="464"/>
      <c r="H148" s="914"/>
    </row>
    <row r="149" spans="1:8" ht="15.75">
      <c r="A149" s="986" t="s">
        <v>700</v>
      </c>
      <c r="B149" s="987"/>
      <c r="C149" s="988"/>
      <c r="D149" s="523"/>
      <c r="E149" s="989"/>
      <c r="F149" s="457"/>
      <c r="G149" s="457"/>
      <c r="H149" s="525"/>
    </row>
    <row r="150" spans="1:8">
      <c r="A150" s="491"/>
      <c r="B150" s="468"/>
      <c r="C150" s="491"/>
      <c r="D150" s="487"/>
      <c r="E150" s="527"/>
      <c r="F150" s="464"/>
      <c r="G150" s="464"/>
      <c r="H150" s="914"/>
    </row>
    <row r="151" spans="1:8" ht="15.75">
      <c r="A151" s="452"/>
      <c r="B151" s="469" t="s">
        <v>77</v>
      </c>
      <c r="C151" s="281"/>
      <c r="F151" s="504"/>
      <c r="G151" s="504"/>
      <c r="H151" s="1001"/>
    </row>
    <row r="152" spans="1:8">
      <c r="A152" s="468">
        <f>+A147+1</f>
        <v>86</v>
      </c>
      <c r="B152" s="936"/>
      <c r="C152" s="461" t="s">
        <v>701</v>
      </c>
      <c r="E152" s="468"/>
      <c r="F152" s="469" t="s">
        <v>702</v>
      </c>
      <c r="H152" s="971">
        <v>31604170</v>
      </c>
    </row>
    <row r="153" spans="1:8" ht="15.75">
      <c r="A153" s="468"/>
      <c r="B153" s="936"/>
      <c r="C153" s="461"/>
      <c r="E153" s="468"/>
      <c r="F153" s="469"/>
      <c r="H153" s="975"/>
    </row>
    <row r="154" spans="1:8">
      <c r="A154" s="1002" t="s">
        <v>703</v>
      </c>
      <c r="B154" s="1002"/>
      <c r="C154" s="957" t="s">
        <v>704</v>
      </c>
      <c r="D154" s="957"/>
      <c r="E154" s="1002"/>
      <c r="F154" s="957" t="s">
        <v>648</v>
      </c>
      <c r="H154" s="567">
        <f>'5 - Cost Support 1'!E178</f>
        <v>0</v>
      </c>
    </row>
    <row r="155" spans="1:8" ht="15.75">
      <c r="A155" s="468"/>
      <c r="B155" s="936"/>
      <c r="C155" s="469"/>
      <c r="E155" s="468"/>
      <c r="F155" s="469"/>
      <c r="G155" s="963"/>
      <c r="H155" s="969"/>
    </row>
    <row r="156" spans="1:8">
      <c r="A156" s="468">
        <f>+A152+1</f>
        <v>87</v>
      </c>
      <c r="B156" s="936"/>
      <c r="C156" s="948" t="s">
        <v>221</v>
      </c>
      <c r="D156" s="463"/>
      <c r="E156" s="541"/>
      <c r="F156" s="498" t="s">
        <v>705</v>
      </c>
      <c r="H156" s="971">
        <f>'5 - Cost Support 1'!I212</f>
        <v>9471130.3399999999</v>
      </c>
    </row>
    <row r="157" spans="1:8">
      <c r="A157" s="468">
        <f>+A156+1</f>
        <v>88</v>
      </c>
      <c r="B157" s="936"/>
      <c r="C157" s="965" t="s">
        <v>706</v>
      </c>
      <c r="D157" s="470"/>
      <c r="E157" s="942" t="str">
        <f>"(Note "&amp;B$298&amp;")"</f>
        <v>(Note A)</v>
      </c>
      <c r="F157" s="965" t="s">
        <v>707</v>
      </c>
      <c r="H157" s="997">
        <f>'5 - Cost Support 1'!I213</f>
        <v>551834.24</v>
      </c>
    </row>
    <row r="158" spans="1:8">
      <c r="A158" s="468">
        <f>+A157+1</f>
        <v>89</v>
      </c>
      <c r="B158" s="936"/>
      <c r="C158" s="498" t="s">
        <v>61</v>
      </c>
      <c r="D158" s="463"/>
      <c r="E158" s="541"/>
      <c r="F158" s="466" t="str">
        <f>"(Line "&amp;A156&amp;" + "&amp;A157&amp;")"</f>
        <v>(Line 87 + 88)</v>
      </c>
      <c r="H158" s="953">
        <f>SUM(H156:H157)</f>
        <v>10022964.58</v>
      </c>
    </row>
    <row r="159" spans="1:8" ht="15.75">
      <c r="A159" s="468">
        <f>+A158+1</f>
        <v>90</v>
      </c>
      <c r="B159" s="936"/>
      <c r="C159" s="542" t="s">
        <v>623</v>
      </c>
      <c r="D159" s="543"/>
      <c r="E159" s="932"/>
      <c r="F159" s="994" t="str">
        <f>"(Line "&amp;A$16&amp;")"</f>
        <v>(Line 5)</v>
      </c>
      <c r="G159" s="973"/>
      <c r="H159" s="1003">
        <f>+H16</f>
        <v>0.10615912662453647</v>
      </c>
    </row>
    <row r="160" spans="1:8" ht="15.75">
      <c r="A160" s="468">
        <f>+A159+1</f>
        <v>91</v>
      </c>
      <c r="B160" s="936"/>
      <c r="C160" s="469" t="s">
        <v>708</v>
      </c>
      <c r="E160" s="468"/>
      <c r="F160" s="466" t="str">
        <f>"(Line "&amp;A158&amp;" * "&amp;A159&amp;")"</f>
        <v>(Line 89 * 90)</v>
      </c>
      <c r="G160" s="963"/>
      <c r="H160" s="953">
        <f>+H158*H159</f>
        <v>1064029.166001464</v>
      </c>
    </row>
    <row r="161" spans="1:9" ht="15.75">
      <c r="A161" s="460"/>
      <c r="B161" s="960"/>
      <c r="C161" s="461"/>
      <c r="D161" s="487"/>
      <c r="E161" s="460"/>
      <c r="F161" s="461"/>
      <c r="G161" s="963"/>
      <c r="H161" s="1004"/>
    </row>
    <row r="162" spans="1:9" ht="15.75">
      <c r="A162" s="468">
        <f>+A160+1</f>
        <v>92</v>
      </c>
      <c r="B162" s="960"/>
      <c r="C162" s="461" t="s">
        <v>709</v>
      </c>
      <c r="D162" s="487"/>
      <c r="E162" s="915" t="str">
        <f>"(Note "&amp;B$298&amp;")"</f>
        <v>(Note A)</v>
      </c>
      <c r="F162" s="461" t="s">
        <v>710</v>
      </c>
      <c r="H162" s="1005">
        <f>+'5 - Cost Support 1'!H21</f>
        <v>0</v>
      </c>
    </row>
    <row r="163" spans="1:9" ht="15.75">
      <c r="A163" s="460">
        <f>+A162+1</f>
        <v>93</v>
      </c>
      <c r="B163" s="960"/>
      <c r="C163" s="965" t="s">
        <v>711</v>
      </c>
      <c r="D163" s="994"/>
      <c r="E163" s="942" t="str">
        <f>"(Note "&amp;B$298&amp;")"</f>
        <v>(Note A)</v>
      </c>
      <c r="F163" s="965" t="s">
        <v>712</v>
      </c>
      <c r="H163" s="1006">
        <f>+'5 - Cost Support 1'!H22</f>
        <v>0</v>
      </c>
    </row>
    <row r="164" spans="1:9" ht="15.75">
      <c r="A164" s="460">
        <f>+A163+1</f>
        <v>94</v>
      </c>
      <c r="B164" s="960"/>
      <c r="C164" s="461" t="s">
        <v>61</v>
      </c>
      <c r="D164" s="487"/>
      <c r="E164" s="460"/>
      <c r="F164" s="466" t="str">
        <f>"(Line "&amp;A162&amp;" + "&amp;A163&amp;")"</f>
        <v>(Line 92 + 93)</v>
      </c>
      <c r="H164" s="975">
        <f>+H163+H162</f>
        <v>0</v>
      </c>
    </row>
    <row r="165" spans="1:9" ht="15.75">
      <c r="A165" s="468">
        <f>+A164+1</f>
        <v>95</v>
      </c>
      <c r="B165" s="960"/>
      <c r="C165" s="542" t="s">
        <v>623</v>
      </c>
      <c r="D165" s="543"/>
      <c r="E165" s="932"/>
      <c r="F165" s="994" t="str">
        <f>"(Line "&amp;A$16&amp;")"</f>
        <v>(Line 5)</v>
      </c>
      <c r="G165" s="973"/>
      <c r="H165" s="1003">
        <f>+H16</f>
        <v>0.10615912662453647</v>
      </c>
    </row>
    <row r="166" spans="1:9" ht="15.75">
      <c r="A166" s="468">
        <f>+A165+1</f>
        <v>96</v>
      </c>
      <c r="B166" s="960"/>
      <c r="C166" s="469" t="s">
        <v>713</v>
      </c>
      <c r="D166" s="487"/>
      <c r="E166" s="460"/>
      <c r="F166" s="466" t="str">
        <f>"(Line "&amp;A164&amp;" * "&amp;A165&amp;")"</f>
        <v>(Line 94 * 95)</v>
      </c>
      <c r="G166" s="963"/>
      <c r="H166" s="562">
        <f>+H165*H164</f>
        <v>0</v>
      </c>
    </row>
    <row r="167" spans="1:9" ht="15.75">
      <c r="A167" s="460"/>
      <c r="B167" s="960"/>
      <c r="C167" s="281"/>
      <c r="D167" s="487"/>
      <c r="E167" s="460"/>
      <c r="F167" s="461"/>
      <c r="G167" s="963"/>
      <c r="H167" s="562"/>
    </row>
    <row r="168" spans="1:9" ht="15.75">
      <c r="A168" s="1007"/>
      <c r="B168" s="1008"/>
      <c r="C168" s="461"/>
      <c r="D168" s="487"/>
      <c r="E168" s="460"/>
      <c r="F168" s="461"/>
      <c r="G168" s="963"/>
      <c r="H168" s="969"/>
    </row>
    <row r="169" spans="1:9" s="559" customFormat="1" ht="16.5" thickBot="1">
      <c r="A169" s="468">
        <f>+A166+1</f>
        <v>97</v>
      </c>
      <c r="B169" s="1009" t="s">
        <v>714</v>
      </c>
      <c r="C169" s="1010"/>
      <c r="D169" s="912"/>
      <c r="E169" s="1011"/>
      <c r="F169" s="911" t="str">
        <f>"(Line "&amp;A152&amp;" + "&amp;A154&amp;" + "&amp;A160&amp;" + "&amp;A166&amp;")"</f>
        <v>(Line 86 + 86a + 91 + 96)</v>
      </c>
      <c r="G169" s="1012"/>
      <c r="H169" s="1013">
        <f>+H152+H154+H160+H166</f>
        <v>32668199.166001465</v>
      </c>
      <c r="I169" s="281"/>
    </row>
    <row r="170" spans="1:9" ht="15.75" thickTop="1"/>
    <row r="171" spans="1:9" ht="15.75">
      <c r="A171" s="986" t="s">
        <v>715</v>
      </c>
      <c r="B171" s="987"/>
      <c r="C171" s="988"/>
      <c r="D171" s="523"/>
      <c r="E171" s="1014"/>
      <c r="F171" s="457"/>
      <c r="G171" s="457"/>
      <c r="H171" s="525"/>
    </row>
    <row r="172" spans="1:9">
      <c r="A172" s="946"/>
      <c r="B172" s="468"/>
      <c r="C172" s="491"/>
      <c r="D172" s="487"/>
      <c r="E172" s="527"/>
      <c r="F172" s="464"/>
      <c r="G172" s="464"/>
      <c r="H172" s="914"/>
    </row>
    <row r="173" spans="1:9">
      <c r="A173" s="460">
        <f>+A169+1</f>
        <v>98</v>
      </c>
      <c r="B173" s="461" t="s">
        <v>716</v>
      </c>
      <c r="C173" s="1015"/>
      <c r="E173" s="915"/>
      <c r="F173" s="453" t="s">
        <v>717</v>
      </c>
      <c r="G173" s="453"/>
      <c r="H173" s="1016">
        <f>+'2 - Other Tax'!G43</f>
        <v>12209747.183197267</v>
      </c>
    </row>
    <row r="174" spans="1:9">
      <c r="A174" s="902"/>
      <c r="B174" s="487"/>
      <c r="E174" s="468"/>
      <c r="F174" s="469"/>
      <c r="G174" s="453"/>
    </row>
    <row r="175" spans="1:9" ht="15.75" thickBot="1">
      <c r="A175" s="460">
        <f>+A173+1</f>
        <v>99</v>
      </c>
      <c r="B175" s="908" t="s">
        <v>718</v>
      </c>
      <c r="C175" s="908"/>
      <c r="D175" s="912"/>
      <c r="E175" s="923"/>
      <c r="F175" s="911" t="str">
        <f>"(Line "&amp;A173&amp;")"</f>
        <v>(Line 98)</v>
      </c>
      <c r="G175" s="516"/>
      <c r="H175" s="941">
        <f>+H173</f>
        <v>12209747.183197267</v>
      </c>
    </row>
    <row r="176" spans="1:9" ht="15.75" thickTop="1">
      <c r="A176" s="452"/>
    </row>
    <row r="177" spans="1:8" ht="15.75">
      <c r="A177" s="986" t="s">
        <v>719</v>
      </c>
      <c r="B177" s="987"/>
      <c r="C177" s="988"/>
      <c r="D177" s="523"/>
      <c r="E177" s="989"/>
      <c r="F177" s="457"/>
      <c r="G177" s="457"/>
      <c r="H177" s="525"/>
    </row>
    <row r="178" spans="1:8">
      <c r="A178" s="469"/>
      <c r="B178" s="468"/>
      <c r="C178" s="491"/>
      <c r="D178" s="487"/>
      <c r="E178" s="527"/>
      <c r="F178" s="464"/>
      <c r="G178" s="464"/>
      <c r="H178" s="914"/>
    </row>
    <row r="179" spans="1:8">
      <c r="A179" s="460"/>
      <c r="B179" s="466" t="s">
        <v>2</v>
      </c>
      <c r="D179" s="463"/>
      <c r="E179" s="944"/>
      <c r="G179" s="466"/>
    </row>
    <row r="180" spans="1:8">
      <c r="A180" s="460">
        <f>+A175+1</f>
        <v>100</v>
      </c>
      <c r="B180" s="466"/>
      <c r="C180" s="464" t="s">
        <v>2</v>
      </c>
      <c r="D180" s="463"/>
      <c r="E180" s="944"/>
      <c r="F180" s="466" t="s">
        <v>720</v>
      </c>
      <c r="G180" s="466"/>
      <c r="H180" s="934">
        <f>126223831+2256554+1982460-235243</f>
        <v>130227602</v>
      </c>
    </row>
    <row r="181" spans="1:8">
      <c r="A181" s="460">
        <f>+A180+1</f>
        <v>101</v>
      </c>
      <c r="B181" s="460"/>
      <c r="C181" s="1017" t="s">
        <v>721</v>
      </c>
      <c r="D181" s="994"/>
      <c r="E181" s="1018" t="str">
        <f>"(Note "&amp;B$324&amp;")"</f>
        <v>(Note P)</v>
      </c>
      <c r="F181" s="482" t="s">
        <v>722</v>
      </c>
      <c r="G181" s="473"/>
      <c r="H181" s="997">
        <f>+'8 - Securitization'!E14</f>
        <v>0</v>
      </c>
    </row>
    <row r="182" spans="1:8">
      <c r="A182" s="468">
        <f>+A181+1</f>
        <v>102</v>
      </c>
      <c r="B182" s="468"/>
      <c r="C182" s="466" t="s">
        <v>2</v>
      </c>
      <c r="D182" s="463"/>
      <c r="E182" s="904"/>
      <c r="F182" s="467" t="s">
        <v>723</v>
      </c>
      <c r="G182" s="466"/>
      <c r="H182" s="466">
        <f>+H180-H181</f>
        <v>130227602</v>
      </c>
    </row>
    <row r="183" spans="1:8">
      <c r="A183" s="468"/>
      <c r="B183" s="468"/>
      <c r="C183" s="475"/>
      <c r="F183" s="487"/>
      <c r="G183" s="475"/>
      <c r="H183" s="475"/>
    </row>
    <row r="184" spans="1:8">
      <c r="A184" s="468">
        <f>+A182+1</f>
        <v>103</v>
      </c>
      <c r="B184" s="475" t="s">
        <v>724</v>
      </c>
      <c r="E184" s="527" t="s">
        <v>725</v>
      </c>
      <c r="F184" s="476" t="s">
        <v>726</v>
      </c>
      <c r="G184" s="475"/>
      <c r="H184" s="1019">
        <v>0</v>
      </c>
    </row>
    <row r="185" spans="1:8">
      <c r="A185" s="468"/>
      <c r="B185" s="468"/>
      <c r="C185" s="479"/>
      <c r="E185" s="527"/>
      <c r="F185" s="476"/>
      <c r="G185" s="475"/>
      <c r="H185" s="475"/>
    </row>
    <row r="186" spans="1:8">
      <c r="A186" s="468"/>
      <c r="B186" s="479" t="s">
        <v>727</v>
      </c>
      <c r="E186" s="527"/>
      <c r="F186" s="476"/>
      <c r="G186" s="475"/>
      <c r="H186" s="475"/>
    </row>
    <row r="187" spans="1:8">
      <c r="A187" s="468">
        <f>+A184+1</f>
        <v>104</v>
      </c>
      <c r="B187" s="468"/>
      <c r="C187" s="475" t="s">
        <v>728</v>
      </c>
      <c r="D187" s="475"/>
      <c r="E187" s="527"/>
      <c r="F187" s="476" t="s">
        <v>729</v>
      </c>
      <c r="G187" s="475"/>
      <c r="H187" s="905">
        <v>2533342208</v>
      </c>
    </row>
    <row r="188" spans="1:8">
      <c r="A188" s="460">
        <f>+A187+1</f>
        <v>105</v>
      </c>
      <c r="B188" s="460"/>
      <c r="C188" s="476" t="s">
        <v>730</v>
      </c>
      <c r="D188" s="476"/>
      <c r="E188" s="496" t="s">
        <v>373</v>
      </c>
      <c r="F188" s="553" t="str">
        <f>"(Line "&amp;A199&amp;")"</f>
        <v>(Line 114)</v>
      </c>
      <c r="G188" s="475"/>
      <c r="H188" s="476">
        <f>-H199</f>
        <v>0</v>
      </c>
    </row>
    <row r="189" spans="1:8">
      <c r="A189" s="468">
        <f>+A188+1</f>
        <v>106</v>
      </c>
      <c r="B189" s="460"/>
      <c r="C189" s="482" t="s">
        <v>731</v>
      </c>
      <c r="D189" s="482"/>
      <c r="E189" s="1020" t="s">
        <v>373</v>
      </c>
      <c r="F189" s="482" t="s">
        <v>732</v>
      </c>
      <c r="G189" s="473"/>
      <c r="H189" s="1021">
        <v>-1646367</v>
      </c>
    </row>
    <row r="190" spans="1:8">
      <c r="A190" s="468">
        <f>+A189+1</f>
        <v>107</v>
      </c>
      <c r="B190" s="460"/>
      <c r="C190" s="467" t="s">
        <v>727</v>
      </c>
      <c r="D190" s="467"/>
      <c r="E190" s="919"/>
      <c r="F190" s="466" t="str">
        <f>"(Sum Lines "&amp;A187&amp;" to "&amp;A189&amp;")"</f>
        <v>(Sum Lines 104 to 106)</v>
      </c>
      <c r="G190" s="485"/>
      <c r="H190" s="475">
        <f>SUM(H187:H189)</f>
        <v>2531695841</v>
      </c>
    </row>
    <row r="191" spans="1:8">
      <c r="A191" s="468"/>
      <c r="B191" s="468"/>
      <c r="C191" s="479"/>
      <c r="E191" s="527"/>
      <c r="F191" s="475"/>
      <c r="G191" s="464"/>
      <c r="H191" s="475"/>
    </row>
    <row r="192" spans="1:8">
      <c r="A192" s="468"/>
      <c r="B192" s="479" t="s">
        <v>3</v>
      </c>
      <c r="E192" s="527"/>
      <c r="F192" s="475"/>
      <c r="G192" s="464"/>
      <c r="H192" s="475"/>
    </row>
    <row r="193" spans="1:8">
      <c r="A193" s="468">
        <f>+A190+1</f>
        <v>108</v>
      </c>
      <c r="B193" s="468"/>
      <c r="C193" s="479" t="s">
        <v>733</v>
      </c>
      <c r="E193" s="468"/>
      <c r="F193" s="479" t="s">
        <v>734</v>
      </c>
      <c r="G193" s="464"/>
      <c r="H193" s="920">
        <f>2534500000+8452327</f>
        <v>2542952327</v>
      </c>
    </row>
    <row r="194" spans="1:8">
      <c r="A194" s="460">
        <f t="shared" ref="A194:A201" si="2">+A193+1</f>
        <v>109</v>
      </c>
      <c r="B194" s="468"/>
      <c r="C194" s="479" t="s">
        <v>735</v>
      </c>
      <c r="E194" s="527" t="str">
        <f>+E189</f>
        <v>enter negative</v>
      </c>
      <c r="F194" s="491" t="s">
        <v>736</v>
      </c>
      <c r="G194" s="464"/>
      <c r="H194" s="920">
        <v>-15226454</v>
      </c>
    </row>
    <row r="195" spans="1:8">
      <c r="A195" s="460">
        <f t="shared" si="2"/>
        <v>110</v>
      </c>
      <c r="B195" s="468"/>
      <c r="C195" s="479" t="s">
        <v>737</v>
      </c>
      <c r="E195" s="468" t="s">
        <v>738</v>
      </c>
      <c r="F195" s="497" t="s">
        <v>739</v>
      </c>
      <c r="G195" s="464"/>
      <c r="H195" s="920">
        <v>0</v>
      </c>
    </row>
    <row r="196" spans="1:8">
      <c r="A196" s="460">
        <f>+A195+1</f>
        <v>111</v>
      </c>
      <c r="B196" s="460"/>
      <c r="C196" s="491" t="s">
        <v>740</v>
      </c>
      <c r="D196" s="487"/>
      <c r="E196" s="496" t="str">
        <f>+E194</f>
        <v>enter negative</v>
      </c>
      <c r="F196" s="497" t="s">
        <v>637</v>
      </c>
      <c r="G196" s="487"/>
      <c r="H196" s="476">
        <f>-'1 - ADIT'!E21</f>
        <v>4111752</v>
      </c>
    </row>
    <row r="197" spans="1:8">
      <c r="A197" s="460">
        <f>+A196+1</f>
        <v>112</v>
      </c>
      <c r="B197" s="460"/>
      <c r="C197" s="453" t="s">
        <v>741</v>
      </c>
      <c r="D197" s="1018" t="str">
        <f>"(Note "&amp;B$324&amp;")"</f>
        <v>(Note P)</v>
      </c>
      <c r="E197" s="496" t="s">
        <v>373</v>
      </c>
      <c r="F197" s="482" t="str">
        <f>+F181</f>
        <v>Attachment 8</v>
      </c>
      <c r="G197" s="464"/>
      <c r="H197" s="920">
        <f>+'8 - Securitization'!E18</f>
        <v>0</v>
      </c>
    </row>
    <row r="198" spans="1:8">
      <c r="A198" s="460">
        <f>+A197+1</f>
        <v>113</v>
      </c>
      <c r="B198" s="460"/>
      <c r="C198" s="489" t="s">
        <v>742</v>
      </c>
      <c r="D198" s="488"/>
      <c r="E198" s="917"/>
      <c r="F198" s="467" t="str">
        <f>"(Sum Lines "&amp;A193&amp;" to "&amp;A197&amp;")"</f>
        <v>(Sum Lines 108 to 112)</v>
      </c>
      <c r="G198" s="488"/>
      <c r="H198" s="490">
        <f>SUM(H193:H197)</f>
        <v>2531837625</v>
      </c>
    </row>
    <row r="199" spans="1:8">
      <c r="A199" s="468">
        <f t="shared" si="2"/>
        <v>114</v>
      </c>
      <c r="B199" s="468"/>
      <c r="C199" s="479" t="s">
        <v>743</v>
      </c>
      <c r="E199" s="468"/>
      <c r="F199" s="491" t="s">
        <v>744</v>
      </c>
      <c r="G199" s="464"/>
      <c r="H199" s="920">
        <v>0</v>
      </c>
    </row>
    <row r="200" spans="1:8">
      <c r="A200" s="468">
        <f t="shared" si="2"/>
        <v>115</v>
      </c>
      <c r="B200" s="468"/>
      <c r="C200" s="479" t="s">
        <v>727</v>
      </c>
      <c r="F200" s="473" t="str">
        <f>"(Line "&amp;A190&amp;")"</f>
        <v>(Line 107)</v>
      </c>
      <c r="G200" s="464"/>
      <c r="H200" s="466">
        <f>H190</f>
        <v>2531695841</v>
      </c>
    </row>
    <row r="201" spans="1:8">
      <c r="A201" s="468">
        <f t="shared" si="2"/>
        <v>116</v>
      </c>
      <c r="B201" s="468"/>
      <c r="C201" s="489" t="s">
        <v>745</v>
      </c>
      <c r="D201" s="492"/>
      <c r="E201" s="921"/>
      <c r="F201" s="466" t="str">
        <f>"(Sum Lines "&amp;A198&amp;" to "&amp;A200&amp;")"</f>
        <v>(Sum Lines 113 to 115)</v>
      </c>
      <c r="G201" s="495"/>
      <c r="H201" s="495">
        <f>H200+H199+H198</f>
        <v>5063533466</v>
      </c>
    </row>
    <row r="202" spans="1:8">
      <c r="A202" s="468"/>
      <c r="B202" s="468"/>
      <c r="C202" s="479"/>
      <c r="G202" s="475"/>
      <c r="H202" s="527"/>
    </row>
    <row r="203" spans="1:8">
      <c r="A203" s="460">
        <f>+A201+1</f>
        <v>117</v>
      </c>
      <c r="B203" s="468"/>
      <c r="C203" s="498" t="s">
        <v>746</v>
      </c>
      <c r="D203" s="497" t="s">
        <v>742</v>
      </c>
      <c r="E203" s="1022"/>
      <c r="F203" s="466" t="str">
        <f>"(Line "&amp;A198&amp;" / "&amp;A201&amp;")"</f>
        <v>(Line 113 / 116)</v>
      </c>
      <c r="G203" s="475"/>
      <c r="H203" s="1023">
        <f>IF(A5="Atlantic City Electric Company",0.5,IF(H201&gt;0,H198/H201,0))</f>
        <v>0.5000140004999426</v>
      </c>
    </row>
    <row r="204" spans="1:8">
      <c r="A204" s="460">
        <f>+A203+1</f>
        <v>118</v>
      </c>
      <c r="B204" s="468"/>
      <c r="C204" s="498" t="s">
        <v>747</v>
      </c>
      <c r="D204" s="479" t="s">
        <v>743</v>
      </c>
      <c r="E204" s="1022"/>
      <c r="F204" s="466" t="str">
        <f>"(Line "&amp;A199&amp;" / "&amp;A201&amp;")"</f>
        <v>(Line 114 / 116)</v>
      </c>
      <c r="G204" s="475"/>
      <c r="H204" s="1023">
        <f>IF(A5="Atlantic City Electric Company",0,IF(H201&gt;0,H199/H201,0))</f>
        <v>0</v>
      </c>
    </row>
    <row r="205" spans="1:8">
      <c r="A205" s="460">
        <f>+A204+1</f>
        <v>119</v>
      </c>
      <c r="B205" s="468"/>
      <c r="C205" s="498" t="s">
        <v>748</v>
      </c>
      <c r="D205" s="479" t="s">
        <v>727</v>
      </c>
      <c r="E205" s="1022"/>
      <c r="F205" s="466" t="str">
        <f>"(Line "&amp;A200&amp;" / "&amp;A201&amp;")"</f>
        <v>(Line 115 / 116)</v>
      </c>
      <c r="G205" s="475"/>
      <c r="H205" s="1023">
        <f>IF(A5="Atlantic City Electric Company",0.5,IF(H201&gt;0,H200/H201,0))</f>
        <v>0.4999859995000574</v>
      </c>
    </row>
    <row r="206" spans="1:8">
      <c r="A206" s="460"/>
      <c r="B206" s="468"/>
      <c r="C206" s="478"/>
      <c r="F206" s="475"/>
      <c r="G206" s="475"/>
      <c r="H206" s="527"/>
    </row>
    <row r="207" spans="1:8">
      <c r="A207" s="460">
        <f>+A205+1</f>
        <v>120</v>
      </c>
      <c r="B207" s="468"/>
      <c r="C207" s="478" t="s">
        <v>749</v>
      </c>
      <c r="D207" s="497" t="s">
        <v>742</v>
      </c>
      <c r="F207" s="466" t="str">
        <f>"(Line "&amp;A182&amp;" / "&amp;A198&amp;")"</f>
        <v>(Line 102 / 113)</v>
      </c>
      <c r="G207" s="475"/>
      <c r="H207" s="503">
        <f>IF(H198&gt;0,H182/H198,0)</f>
        <v>5.1436000758539956E-2</v>
      </c>
    </row>
    <row r="208" spans="1:8">
      <c r="A208" s="460">
        <f>+A207+1</f>
        <v>121</v>
      </c>
      <c r="B208" s="468"/>
      <c r="C208" s="478" t="s">
        <v>750</v>
      </c>
      <c r="D208" s="479" t="s">
        <v>743</v>
      </c>
      <c r="F208" s="466" t="str">
        <f>"(Line "&amp;A184&amp;" / "&amp;A199&amp;")"</f>
        <v>(Line 103 / 114)</v>
      </c>
      <c r="G208" s="475"/>
      <c r="H208" s="503">
        <f>IF(H199&gt;0,H184/H199,0)</f>
        <v>0</v>
      </c>
    </row>
    <row r="209" spans="1:9">
      <c r="A209" s="460">
        <f>+A208+1</f>
        <v>122</v>
      </c>
      <c r="B209" s="468"/>
      <c r="C209" s="478" t="s">
        <v>751</v>
      </c>
      <c r="D209" s="479" t="s">
        <v>727</v>
      </c>
      <c r="E209" s="915" t="str">
        <f>"(Note "&amp;B$315&amp;")"</f>
        <v>(Note J)</v>
      </c>
      <c r="F209" s="476" t="s">
        <v>752</v>
      </c>
      <c r="G209" s="475"/>
      <c r="H209" s="1024">
        <v>0.105</v>
      </c>
    </row>
    <row r="210" spans="1:9">
      <c r="A210" s="460"/>
      <c r="B210" s="468"/>
      <c r="C210" s="478"/>
      <c r="F210" s="475"/>
      <c r="G210" s="475"/>
      <c r="H210" s="464"/>
    </row>
    <row r="211" spans="1:9">
      <c r="A211" s="460">
        <f>+A209+1</f>
        <v>123</v>
      </c>
      <c r="B211" s="468"/>
      <c r="C211" s="498" t="s">
        <v>753</v>
      </c>
      <c r="D211" s="497" t="s">
        <v>754</v>
      </c>
      <c r="F211" s="466" t="str">
        <f>"(Line "&amp;A203&amp;" * "&amp;A207&amp;")"</f>
        <v>(Line 117 * 120)</v>
      </c>
      <c r="G211" s="502"/>
      <c r="H211" s="503">
        <f>H207*H203</f>
        <v>2.5718720508995645E-2</v>
      </c>
    </row>
    <row r="212" spans="1:9">
      <c r="A212" s="460">
        <f>+A211+1</f>
        <v>124</v>
      </c>
      <c r="B212" s="468"/>
      <c r="C212" s="498" t="s">
        <v>755</v>
      </c>
      <c r="D212" s="479" t="s">
        <v>743</v>
      </c>
      <c r="F212" s="466" t="str">
        <f>"(Line "&amp;A204&amp;" * "&amp;A208&amp;")"</f>
        <v>(Line 118 * 121)</v>
      </c>
      <c r="G212" s="504"/>
      <c r="H212" s="503">
        <f>H208*H204</f>
        <v>0</v>
      </c>
    </row>
    <row r="213" spans="1:9">
      <c r="A213" s="460">
        <f>+A212+1</f>
        <v>125</v>
      </c>
      <c r="B213" s="544"/>
      <c r="C213" s="505" t="s">
        <v>756</v>
      </c>
      <c r="D213" s="506" t="s">
        <v>727</v>
      </c>
      <c r="E213" s="932"/>
      <c r="F213" s="473" t="str">
        <f>"(Line "&amp;A205&amp;" * "&amp;A209&amp;")"</f>
        <v>(Line 119 * 122)</v>
      </c>
      <c r="G213" s="507"/>
      <c r="H213" s="508">
        <f>H209*H205</f>
        <v>5.2498529947506027E-2</v>
      </c>
    </row>
    <row r="214" spans="1:9" s="559" customFormat="1" ht="15.75">
      <c r="A214" s="468">
        <f>+A213+1</f>
        <v>126</v>
      </c>
      <c r="B214" s="943" t="s">
        <v>757</v>
      </c>
      <c r="C214" s="943"/>
      <c r="D214" s="463"/>
      <c r="E214" s="904"/>
      <c r="F214" s="466" t="str">
        <f>"(Sum Lines "&amp;A211&amp;" to "&amp;A213&amp;")"</f>
        <v>(Sum Lines 123 to 125)</v>
      </c>
      <c r="G214" s="1025"/>
      <c r="H214" s="503">
        <f>SUM(H211:H213)</f>
        <v>7.8217250456501672E-2</v>
      </c>
      <c r="I214" s="1026"/>
    </row>
    <row r="215" spans="1:9" s="559" customFormat="1" ht="15.75">
      <c r="A215" s="468"/>
      <c r="B215" s="468"/>
      <c r="C215" s="943"/>
      <c r="D215" s="463"/>
      <c r="E215" s="904"/>
      <c r="F215" s="466"/>
      <c r="G215" s="1025"/>
      <c r="H215" s="503"/>
    </row>
    <row r="216" spans="1:9" ht="15.75" thickBot="1">
      <c r="A216" s="468">
        <f>+A214+1</f>
        <v>127</v>
      </c>
      <c r="B216" s="1027" t="s">
        <v>758</v>
      </c>
      <c r="C216" s="516"/>
      <c r="D216" s="912"/>
      <c r="E216" s="1000"/>
      <c r="F216" s="911" t="str">
        <f>"(Line "&amp;A110&amp;" * "&amp;A214&amp;")"</f>
        <v>(Line 59 * 126)</v>
      </c>
      <c r="G216" s="1028"/>
      <c r="H216" s="911">
        <f>+H110*H214</f>
        <v>64450180.831053481</v>
      </c>
    </row>
    <row r="217" spans="1:9" ht="15.75" thickTop="1">
      <c r="A217" s="468"/>
      <c r="B217" s="468"/>
      <c r="C217" s="479"/>
      <c r="F217" s="475"/>
      <c r="G217" s="475"/>
      <c r="H217" s="503"/>
    </row>
    <row r="218" spans="1:9" ht="15.75">
      <c r="A218" s="986" t="s">
        <v>759</v>
      </c>
      <c r="B218" s="987"/>
      <c r="C218" s="988"/>
      <c r="D218" s="523"/>
      <c r="E218" s="1014"/>
      <c r="F218" s="457"/>
      <c r="G218" s="457"/>
      <c r="H218" s="525"/>
    </row>
    <row r="219" spans="1:9">
      <c r="A219" s="461"/>
      <c r="B219" s="468"/>
      <c r="C219" s="491"/>
      <c r="D219" s="487"/>
      <c r="E219" s="527"/>
      <c r="F219" s="464"/>
      <c r="G219" s="464"/>
      <c r="H219" s="914"/>
    </row>
    <row r="220" spans="1:9">
      <c r="A220" s="468" t="s">
        <v>108</v>
      </c>
      <c r="B220" s="1029" t="s">
        <v>109</v>
      </c>
      <c r="E220" s="527"/>
      <c r="F220" s="475"/>
      <c r="G220" s="530"/>
      <c r="H220" s="464"/>
    </row>
    <row r="221" spans="1:9">
      <c r="A221" s="468">
        <f>+A216+1</f>
        <v>128</v>
      </c>
      <c r="B221" s="468"/>
      <c r="C221" s="464" t="s">
        <v>365</v>
      </c>
      <c r="F221" s="464"/>
      <c r="G221" s="532"/>
      <c r="H221" s="1030">
        <v>0.21</v>
      </c>
    </row>
    <row r="222" spans="1:9">
      <c r="A222" s="468">
        <f>+A221+1</f>
        <v>129</v>
      </c>
      <c r="B222" s="468"/>
      <c r="C222" s="532" t="s">
        <v>366</v>
      </c>
      <c r="D222" s="534"/>
      <c r="E222" s="915" t="str">
        <f>"(Note "&amp;B$309&amp;")"</f>
        <v>(Note I)</v>
      </c>
      <c r="F222" s="464"/>
      <c r="G222" s="532"/>
      <c r="H222" s="1030">
        <f>'5 - Cost Support 1'!F70</f>
        <v>7.5999999999999998E-2</v>
      </c>
    </row>
    <row r="223" spans="1:9">
      <c r="A223" s="468">
        <f>+A222+1</f>
        <v>130</v>
      </c>
      <c r="B223" s="468"/>
      <c r="C223" s="532" t="s">
        <v>760</v>
      </c>
      <c r="D223" s="532" t="s">
        <v>761</v>
      </c>
      <c r="F223" s="464" t="s">
        <v>762</v>
      </c>
      <c r="G223" s="532"/>
      <c r="H223" s="1030">
        <v>0</v>
      </c>
    </row>
    <row r="224" spans="1:9">
      <c r="A224" s="468">
        <f>+A223+1</f>
        <v>131</v>
      </c>
      <c r="B224" s="468"/>
      <c r="C224" s="532" t="s">
        <v>368</v>
      </c>
      <c r="D224" s="535" t="s">
        <v>369</v>
      </c>
      <c r="F224" s="464"/>
      <c r="G224" s="532"/>
      <c r="H224" s="537">
        <f>IF(H221&gt;0,1-(((1-H222)*(1-H221))/(1-H222*H221*H223)),0)</f>
        <v>0.27003999999999995</v>
      </c>
    </row>
    <row r="225" spans="1:9">
      <c r="A225" s="468">
        <f>+A224+1</f>
        <v>132</v>
      </c>
      <c r="B225" s="468"/>
      <c r="C225" s="532" t="s">
        <v>370</v>
      </c>
      <c r="D225" s="534"/>
      <c r="F225" s="464"/>
      <c r="G225" s="532"/>
      <c r="H225" s="533">
        <f>+H224/(1-H224)</f>
        <v>0.36993807879883817</v>
      </c>
    </row>
    <row r="226" spans="1:9">
      <c r="A226" s="468"/>
      <c r="B226" s="468"/>
      <c r="E226" s="536"/>
      <c r="F226" s="535"/>
      <c r="G226" s="530"/>
      <c r="H226" s="537"/>
    </row>
    <row r="227" spans="1:9">
      <c r="A227" s="468"/>
      <c r="B227" s="1029" t="s">
        <v>371</v>
      </c>
      <c r="C227" s="479"/>
      <c r="E227" s="915" t="str">
        <f>"(Note "&amp;B$309&amp;")"</f>
        <v>(Note I)</v>
      </c>
      <c r="F227" s="475"/>
      <c r="G227" s="530"/>
      <c r="H227" s="1031"/>
    </row>
    <row r="228" spans="1:9">
      <c r="A228" s="468">
        <f>+A225+1</f>
        <v>133</v>
      </c>
      <c r="B228" s="468"/>
      <c r="C228" s="491" t="s">
        <v>372</v>
      </c>
      <c r="E228" s="496" t="s">
        <v>373</v>
      </c>
      <c r="F228" s="469" t="s">
        <v>763</v>
      </c>
      <c r="G228" s="530"/>
      <c r="H228" s="920">
        <f>-'1 - ADIT'!F128</f>
        <v>-167520</v>
      </c>
    </row>
    <row r="229" spans="1:9">
      <c r="A229" s="468">
        <f>+A228+1</f>
        <v>134</v>
      </c>
      <c r="B229" s="468"/>
      <c r="C229" s="479" t="s">
        <v>374</v>
      </c>
      <c r="E229" s="468"/>
      <c r="F229" s="466" t="str">
        <f>"(Line "&amp;A225&amp;")"</f>
        <v>(Line 132)</v>
      </c>
      <c r="G229" s="530"/>
      <c r="H229" s="538">
        <f>+H225</f>
        <v>0.36993807879883817</v>
      </c>
    </row>
    <row r="230" spans="1:9" s="954" customFormat="1" ht="15.75">
      <c r="A230" s="468">
        <f>+A229+1</f>
        <v>135</v>
      </c>
      <c r="B230" s="541"/>
      <c r="C230" s="965" t="s">
        <v>375</v>
      </c>
      <c r="D230" s="543"/>
      <c r="E230" s="544"/>
      <c r="F230" s="473" t="str">
        <f>"(Line "&amp;A$35&amp;")"</f>
        <v>(Line 18)</v>
      </c>
      <c r="G230" s="546"/>
      <c r="H230" s="547">
        <f>+H35</f>
        <v>0.19875264309565774</v>
      </c>
    </row>
    <row r="231" spans="1:9" ht="15.75">
      <c r="A231" s="468">
        <f>+A230+1</f>
        <v>136</v>
      </c>
      <c r="B231" s="468"/>
      <c r="C231" s="1032" t="s">
        <v>376</v>
      </c>
      <c r="D231" s="488"/>
      <c r="E231" s="915"/>
      <c r="F231" s="466" t="str">
        <f>"(Line "&amp;A228&amp;" * (1 + "&amp;A229&amp;") * "&amp;A230&amp;")"</f>
        <v>(Line 133 * (1 + 134) * 135)</v>
      </c>
      <c r="G231" s="550"/>
      <c r="H231" s="490">
        <f>+H228*(1+H229)*H230</f>
        <v>-45612.146927755741</v>
      </c>
    </row>
    <row r="232" spans="1:9" ht="15.75">
      <c r="A232" s="468"/>
      <c r="B232" s="468"/>
      <c r="C232" s="498"/>
      <c r="D232" s="553"/>
      <c r="E232" s="554"/>
      <c r="F232" s="555"/>
      <c r="G232" s="546"/>
      <c r="H232" s="556"/>
    </row>
    <row r="233" spans="1:9" ht="15.75">
      <c r="A233" s="468"/>
      <c r="B233" s="468"/>
      <c r="C233" s="498"/>
      <c r="D233" s="553"/>
      <c r="E233" s="554"/>
      <c r="F233" s="555"/>
      <c r="G233" s="546"/>
      <c r="H233" s="556"/>
    </row>
    <row r="234" spans="1:9">
      <c r="A234" s="468"/>
      <c r="B234" s="468"/>
      <c r="E234" s="536"/>
      <c r="F234" s="535"/>
      <c r="G234" s="530"/>
      <c r="H234" s="1033"/>
    </row>
    <row r="235" spans="1:9">
      <c r="A235" s="468">
        <f>+A231+1</f>
        <v>137</v>
      </c>
      <c r="B235" s="281" t="s">
        <v>378</v>
      </c>
      <c r="C235" s="281"/>
      <c r="D235" s="464" t="s">
        <v>379</v>
      </c>
      <c r="E235" s="527"/>
      <c r="F235" s="466" t="str">
        <f>"[Line "&amp;A225&amp;" * "&amp;A216&amp;" * (1-("&amp;A211&amp;" / "&amp;A214&amp;"))]"</f>
        <v>[Line 132 * 127 * (1-(123 / 126))]</v>
      </c>
      <c r="G235" s="464"/>
      <c r="H235" s="560">
        <f>+H225*(1-H211/H214)*H216</f>
        <v>16002866.206461092</v>
      </c>
      <c r="I235" s="454"/>
    </row>
    <row r="236" spans="1:9" ht="15.75">
      <c r="A236" s="468"/>
      <c r="B236" s="468"/>
      <c r="C236" s="498"/>
      <c r="D236" s="553"/>
      <c r="E236" s="561"/>
      <c r="F236" s="546"/>
      <c r="G236" s="546"/>
      <c r="H236" s="562"/>
    </row>
    <row r="237" spans="1:9" ht="15.75" thickBot="1">
      <c r="A237" s="468">
        <f>+A235+1</f>
        <v>138</v>
      </c>
      <c r="B237" s="1027" t="s">
        <v>380</v>
      </c>
      <c r="C237" s="1027"/>
      <c r="D237" s="912"/>
      <c r="E237" s="923"/>
      <c r="F237" s="911" t="str">
        <f>"(Line "&amp;A231&amp;" + "&amp;A235&amp;")"</f>
        <v>(Line 136 + 137)</v>
      </c>
      <c r="G237" s="1034"/>
      <c r="H237" s="1035">
        <f>+H235+H231</f>
        <v>15957254.059533337</v>
      </c>
    </row>
    <row r="238" spans="1:9" ht="15.75" thickTop="1">
      <c r="A238" s="468"/>
      <c r="B238" s="468"/>
      <c r="C238" s="535"/>
      <c r="F238" s="567"/>
      <c r="G238" s="568"/>
      <c r="H238" s="569"/>
    </row>
    <row r="239" spans="1:9" ht="15.75">
      <c r="A239" s="986" t="s">
        <v>764</v>
      </c>
      <c r="B239" s="987"/>
      <c r="C239" s="988"/>
      <c r="D239" s="523"/>
      <c r="E239" s="989"/>
      <c r="F239" s="457"/>
      <c r="G239" s="457"/>
      <c r="H239" s="525"/>
    </row>
    <row r="240" spans="1:9">
      <c r="A240" s="452"/>
      <c r="B240" s="281"/>
      <c r="C240" s="281"/>
      <c r="D240" s="281"/>
    </row>
    <row r="241" spans="1:9">
      <c r="A241" s="452"/>
      <c r="B241" s="281" t="s">
        <v>765</v>
      </c>
      <c r="C241" s="954"/>
      <c r="D241" s="954"/>
    </row>
    <row r="242" spans="1:9">
      <c r="A242" s="452">
        <f>+A237+1</f>
        <v>139</v>
      </c>
      <c r="B242" s="281"/>
      <c r="C242" s="954" t="s">
        <v>766</v>
      </c>
      <c r="D242" s="954"/>
      <c r="F242" s="466" t="str">
        <f>"(Line "&amp;A69&amp;")"</f>
        <v>(Line 39)</v>
      </c>
      <c r="H242" s="922">
        <f>+H69</f>
        <v>1107196848.6469312</v>
      </c>
    </row>
    <row r="243" spans="1:9">
      <c r="A243" s="468">
        <f>+A242+1</f>
        <v>140</v>
      </c>
      <c r="B243" s="281"/>
      <c r="C243" s="954" t="s">
        <v>767</v>
      </c>
      <c r="D243" s="954"/>
      <c r="F243" s="473" t="str">
        <f>"(Line "&amp;A108&amp;")"</f>
        <v>(Line 58)</v>
      </c>
      <c r="H243" s="922">
        <f>+H108</f>
        <v>-283207505.44065678</v>
      </c>
    </row>
    <row r="244" spans="1:9">
      <c r="A244" s="468">
        <f>+A243+1</f>
        <v>141</v>
      </c>
      <c r="B244" s="468"/>
      <c r="C244" s="918" t="s">
        <v>668</v>
      </c>
      <c r="D244" s="488"/>
      <c r="E244" s="907"/>
      <c r="F244" s="466" t="str">
        <f>"(Line "&amp;A110&amp;")"</f>
        <v>(Line 59)</v>
      </c>
      <c r="G244" s="492"/>
      <c r="H244" s="974">
        <f>+H110</f>
        <v>823989343.20627439</v>
      </c>
    </row>
    <row r="245" spans="1:9">
      <c r="A245" s="468"/>
      <c r="B245" s="468"/>
      <c r="C245" s="497"/>
      <c r="D245" s="553"/>
      <c r="E245" s="527"/>
      <c r="F245" s="464"/>
      <c r="G245" s="464"/>
      <c r="H245" s="922"/>
    </row>
    <row r="246" spans="1:9">
      <c r="A246" s="468">
        <f>+A244+1</f>
        <v>142</v>
      </c>
      <c r="C246" s="497" t="s">
        <v>669</v>
      </c>
      <c r="D246" s="463"/>
      <c r="F246" s="466" t="str">
        <f>"(Line "&amp;A147&amp;")"</f>
        <v>(Line 85)</v>
      </c>
      <c r="H246" s="922">
        <f>+H147</f>
        <v>48369944.198638</v>
      </c>
    </row>
    <row r="247" spans="1:9">
      <c r="A247" s="468">
        <f>+A246+1</f>
        <v>143</v>
      </c>
      <c r="C247" s="498" t="s">
        <v>768</v>
      </c>
      <c r="D247" s="463"/>
      <c r="F247" s="466" t="str">
        <f>"(Line "&amp;A169&amp;")"</f>
        <v>(Line 97)</v>
      </c>
      <c r="H247" s="922">
        <f>+H169</f>
        <v>32668199.166001465</v>
      </c>
    </row>
    <row r="248" spans="1:9">
      <c r="A248" s="468">
        <f>+A247+1</f>
        <v>144</v>
      </c>
      <c r="B248" s="468"/>
      <c r="C248" s="497" t="s">
        <v>716</v>
      </c>
      <c r="D248" s="553"/>
      <c r="E248" s="527"/>
      <c r="F248" s="466" t="str">
        <f>"(Line "&amp;A175&amp;")"</f>
        <v>(Line 99)</v>
      </c>
      <c r="G248" s="464"/>
      <c r="H248" s="922">
        <f>+H175</f>
        <v>12209747.183197267</v>
      </c>
    </row>
    <row r="249" spans="1:9">
      <c r="A249" s="468">
        <f>+A248+1</f>
        <v>145</v>
      </c>
      <c r="B249" s="468"/>
      <c r="C249" s="1029" t="s">
        <v>769</v>
      </c>
      <c r="D249" s="553"/>
      <c r="E249" s="527"/>
      <c r="F249" s="466" t="str">
        <f>"(Line "&amp;A216&amp;")"</f>
        <v>(Line 127)</v>
      </c>
      <c r="G249" s="464"/>
      <c r="H249" s="922">
        <f>+H216</f>
        <v>64450180.831053481</v>
      </c>
    </row>
    <row r="250" spans="1:9">
      <c r="A250" s="468">
        <f>+A249+1</f>
        <v>146</v>
      </c>
      <c r="B250" s="468"/>
      <c r="C250" s="1029" t="s">
        <v>770</v>
      </c>
      <c r="D250" s="553"/>
      <c r="E250" s="527"/>
      <c r="F250" s="466" t="str">
        <f>"(Line "&amp;A237&amp;")"</f>
        <v>(Line 138)</v>
      </c>
      <c r="G250" s="464"/>
      <c r="H250" s="922">
        <f>+H237</f>
        <v>15957254.059533337</v>
      </c>
    </row>
    <row r="251" spans="1:9" ht="15.75" thickBot="1">
      <c r="A251" s="468"/>
      <c r="B251" s="468"/>
      <c r="C251" s="1029"/>
      <c r="D251" s="553"/>
      <c r="E251" s="527"/>
      <c r="F251" s="464"/>
      <c r="G251" s="464"/>
      <c r="H251" s="922"/>
    </row>
    <row r="252" spans="1:9" ht="18.75" thickBot="1">
      <c r="A252" s="1036">
        <f>+A250+1</f>
        <v>147</v>
      </c>
      <c r="B252" s="1037"/>
      <c r="C252" s="1038" t="s">
        <v>771</v>
      </c>
      <c r="D252" s="1039"/>
      <c r="E252" s="1040"/>
      <c r="F252" s="1041" t="str">
        <f>"(Sum Lines "&amp;A246&amp;" to "&amp;A250&amp;")"</f>
        <v>(Sum Lines 142 to 146)</v>
      </c>
      <c r="G252" s="1042"/>
      <c r="H252" s="1043">
        <f>SUM(H250,H249,H248,H247,H246)</f>
        <v>173655325.43842354</v>
      </c>
      <c r="I252" s="1044"/>
    </row>
    <row r="253" spans="1:9" ht="18">
      <c r="A253" s="1045"/>
      <c r="B253" s="1045"/>
      <c r="C253" s="1046"/>
      <c r="D253" s="1047"/>
      <c r="E253" s="1048"/>
      <c r="F253" s="466"/>
      <c r="G253" s="1049"/>
      <c r="H253" s="1050"/>
    </row>
    <row r="254" spans="1:9" ht="18">
      <c r="A254" s="1045"/>
      <c r="B254" s="498" t="s">
        <v>121</v>
      </c>
      <c r="C254" s="1046"/>
      <c r="D254" s="1047"/>
      <c r="E254" s="1048"/>
      <c r="F254" s="466"/>
      <c r="G254" s="1049"/>
      <c r="H254" s="1050"/>
    </row>
    <row r="255" spans="1:9" ht="18">
      <c r="A255" s="561">
        <f>+A252+1</f>
        <v>148</v>
      </c>
      <c r="B255" s="561"/>
      <c r="C255" s="497" t="str">
        <f>+C40</f>
        <v>Transmission Plant In Service</v>
      </c>
      <c r="D255" s="1047"/>
      <c r="E255" s="1048"/>
      <c r="F255" s="466" t="str">
        <f>"(Line "&amp;A40&amp;")"</f>
        <v>(Line 19)</v>
      </c>
      <c r="G255" s="1049"/>
      <c r="H255" s="1051">
        <f>+H40</f>
        <v>1554445764</v>
      </c>
    </row>
    <row r="256" spans="1:9" ht="18">
      <c r="A256" s="561">
        <f>+A255+1</f>
        <v>149</v>
      </c>
      <c r="B256" s="561"/>
      <c r="C256" s="1052" t="s">
        <v>772</v>
      </c>
      <c r="D256" s="1053"/>
      <c r="E256" s="942" t="str">
        <f>"(Note "&amp;B$318&amp;")"</f>
        <v>(Note M)</v>
      </c>
      <c r="F256" s="482" t="s">
        <v>648</v>
      </c>
      <c r="G256" s="1049"/>
      <c r="H256" s="1054">
        <f>+'5 - Cost Support 1'!G85</f>
        <v>0</v>
      </c>
    </row>
    <row r="257" spans="1:8" ht="18">
      <c r="A257" s="561">
        <f>+A256+1</f>
        <v>150</v>
      </c>
      <c r="B257" s="561"/>
      <c r="C257" s="497" t="s">
        <v>773</v>
      </c>
      <c r="D257" s="1047"/>
      <c r="E257" s="1055"/>
      <c r="F257" s="467" t="str">
        <f>"(Line "&amp;A255&amp;" - "&amp;A256&amp;")"</f>
        <v>(Line 148 - 149)</v>
      </c>
      <c r="G257" s="1049"/>
      <c r="H257" s="1051">
        <f>+H255-H256</f>
        <v>1554445764</v>
      </c>
    </row>
    <row r="258" spans="1:8" ht="18">
      <c r="A258" s="561">
        <f>+A257+1</f>
        <v>151</v>
      </c>
      <c r="B258" s="561"/>
      <c r="C258" s="497" t="s">
        <v>774</v>
      </c>
      <c r="D258" s="1047"/>
      <c r="E258" s="1048"/>
      <c r="F258" s="467" t="str">
        <f>"(Line "&amp;A257&amp;" / "&amp;A255&amp;")"</f>
        <v>(Line 150 / 148)</v>
      </c>
      <c r="G258" s="1049"/>
      <c r="H258" s="1056">
        <f>+H257/H255</f>
        <v>1</v>
      </c>
    </row>
    <row r="259" spans="1:8" ht="18">
      <c r="A259" s="561">
        <f>+A258+1</f>
        <v>152</v>
      </c>
      <c r="B259" s="561"/>
      <c r="C259" s="1052" t="s">
        <v>771</v>
      </c>
      <c r="D259" s="1053"/>
      <c r="E259" s="1057"/>
      <c r="F259" s="482" t="str">
        <f>"(Line "&amp;A252&amp;")"</f>
        <v>(Line 147)</v>
      </c>
      <c r="G259" s="1049"/>
      <c r="H259" s="1054">
        <f>+H252</f>
        <v>173655325.43842354</v>
      </c>
    </row>
    <row r="260" spans="1:8" ht="18">
      <c r="A260" s="561">
        <f>+A259+1</f>
        <v>153</v>
      </c>
      <c r="B260" s="561"/>
      <c r="C260" s="497" t="s">
        <v>775</v>
      </c>
      <c r="D260" s="1047"/>
      <c r="E260" s="1048"/>
      <c r="F260" s="467" t="str">
        <f>"(Line "&amp;A258&amp;" * "&amp;A259&amp;")"</f>
        <v>(Line 151 * 152)</v>
      </c>
      <c r="G260" s="1049"/>
      <c r="H260" s="1051">
        <f>+H259*H258</f>
        <v>173655325.43842354</v>
      </c>
    </row>
    <row r="261" spans="1:8">
      <c r="A261" s="946"/>
      <c r="B261" s="468"/>
      <c r="C261" s="497"/>
      <c r="D261" s="553"/>
      <c r="E261" s="527"/>
      <c r="F261" s="464"/>
      <c r="G261" s="464"/>
      <c r="H261" s="914"/>
    </row>
    <row r="262" spans="1:8">
      <c r="A262" s="946"/>
      <c r="B262" s="469" t="s">
        <v>776</v>
      </c>
      <c r="C262" s="497"/>
      <c r="D262" s="553"/>
      <c r="E262" s="527"/>
      <c r="F262" s="464"/>
      <c r="G262" s="464"/>
      <c r="H262" s="914"/>
    </row>
    <row r="263" spans="1:8">
      <c r="A263" s="460">
        <f>+A260+1</f>
        <v>154</v>
      </c>
      <c r="B263" s="281"/>
      <c r="C263" s="469" t="s">
        <v>777</v>
      </c>
      <c r="D263" s="553"/>
      <c r="E263" s="527"/>
      <c r="F263" s="464" t="s">
        <v>778</v>
      </c>
      <c r="G263" s="464"/>
      <c r="H263" s="560">
        <f>+'3 - Revenue Credits'!D23</f>
        <v>5031744.9220536007</v>
      </c>
    </row>
    <row r="264" spans="1:8">
      <c r="A264" s="460">
        <f>+A263+1</f>
        <v>155</v>
      </c>
      <c r="B264" s="281"/>
      <c r="C264" s="469" t="s">
        <v>779</v>
      </c>
      <c r="D264" s="553"/>
      <c r="E264" s="915" t="str">
        <f>"(Note "&amp;B$319&amp;")"</f>
        <v>(Note N)</v>
      </c>
      <c r="F264" s="464" t="s">
        <v>676</v>
      </c>
      <c r="G264" s="464"/>
      <c r="H264" s="1058">
        <f>+'5 - Cost Support 1'!G144</f>
        <v>0</v>
      </c>
    </row>
    <row r="265" spans="1:8" ht="15.75" thickBot="1">
      <c r="A265" s="468"/>
      <c r="B265" s="468"/>
      <c r="C265" s="899"/>
      <c r="D265" s="899"/>
      <c r="F265" s="464"/>
      <c r="G265" s="464"/>
      <c r="H265" s="914"/>
    </row>
    <row r="266" spans="1:8" s="559" customFormat="1" ht="18.75" thickBot="1">
      <c r="A266" s="1036">
        <f>+A264+1</f>
        <v>156</v>
      </c>
      <c r="B266" s="1059"/>
      <c r="C266" s="1060" t="s">
        <v>780</v>
      </c>
      <c r="D266" s="1061"/>
      <c r="E266" s="1062"/>
      <c r="F266" s="1041" t="str">
        <f>"(Line "&amp;A260&amp;" - "&amp;A263&amp;" + "&amp;A264&amp;")"</f>
        <v>(Line 153 - 154 + 155)</v>
      </c>
      <c r="G266" s="1042"/>
      <c r="H266" s="1043">
        <f>+H260-H263+H264</f>
        <v>168623580.51636994</v>
      </c>
    </row>
    <row r="267" spans="1:8">
      <c r="A267" s="946"/>
      <c r="B267" s="468"/>
      <c r="C267" s="899"/>
      <c r="D267" s="899"/>
      <c r="F267" s="464"/>
      <c r="G267" s="464"/>
      <c r="H267" s="914"/>
    </row>
    <row r="268" spans="1:8">
      <c r="A268" s="460"/>
      <c r="B268" s="899" t="s">
        <v>781</v>
      </c>
      <c r="C268" s="453"/>
      <c r="D268" s="899"/>
      <c r="F268" s="464"/>
      <c r="G268" s="464"/>
      <c r="H268" s="914"/>
    </row>
    <row r="269" spans="1:8">
      <c r="A269" s="460">
        <f>+A266+1</f>
        <v>157</v>
      </c>
      <c r="B269" s="460"/>
      <c r="C269" s="899" t="str">
        <f>+C266</f>
        <v>Net Revenue Requirement</v>
      </c>
      <c r="D269" s="899"/>
      <c r="F269" s="464" t="str">
        <f>"(Line "&amp;A266&amp;")"</f>
        <v>(Line 156)</v>
      </c>
      <c r="G269" s="464"/>
      <c r="H269" s="1063">
        <f>+H266</f>
        <v>168623580.51636994</v>
      </c>
    </row>
    <row r="270" spans="1:8">
      <c r="A270" s="460">
        <f>+A269+1</f>
        <v>158</v>
      </c>
      <c r="B270" s="460"/>
      <c r="C270" s="899" t="s">
        <v>782</v>
      </c>
      <c r="D270" s="899"/>
      <c r="F270" s="464" t="str">
        <f>"(Line "&amp;A40&amp;" - "&amp;A57&amp;")"</f>
        <v>(Line 19 - 30)</v>
      </c>
      <c r="G270" s="464"/>
      <c r="H270" s="1063">
        <f>+H40-H57</f>
        <v>1087454761</v>
      </c>
    </row>
    <row r="271" spans="1:8">
      <c r="A271" s="460">
        <f>+A270+1</f>
        <v>159</v>
      </c>
      <c r="B271" s="460"/>
      <c r="C271" s="899" t="s">
        <v>783</v>
      </c>
      <c r="D271" s="899"/>
      <c r="F271" s="464" t="str">
        <f>"(Line "&amp;A269&amp;" / "&amp;A270&amp;")"</f>
        <v>(Line 157 / 158)</v>
      </c>
      <c r="G271" s="464"/>
      <c r="H271" s="914">
        <f>+H269/H270</f>
        <v>0.15506261645432251</v>
      </c>
    </row>
    <row r="272" spans="1:8">
      <c r="A272" s="460">
        <f>+A271+1</f>
        <v>160</v>
      </c>
      <c r="B272" s="460"/>
      <c r="C272" s="899" t="s">
        <v>784</v>
      </c>
      <c r="D272" s="899"/>
      <c r="F272" s="464" t="str">
        <f>"(Line "&amp;A269&amp;" - "&amp;A152&amp;") / "&amp;A270</f>
        <v>(Line 157 - 86) / 158</v>
      </c>
      <c r="G272" s="464"/>
      <c r="H272" s="914">
        <f>(H269-H152)/H270</f>
        <v>0.12600010173330781</v>
      </c>
    </row>
    <row r="273" spans="1:188">
      <c r="A273" s="460">
        <f>+A272+1</f>
        <v>161</v>
      </c>
      <c r="B273" s="460"/>
      <c r="C273" s="899" t="s">
        <v>785</v>
      </c>
      <c r="D273" s="899"/>
      <c r="E273" s="902"/>
      <c r="F273" s="487" t="str">
        <f>"(Line "&amp;A269&amp;" - "&amp;A152&amp;" - "&amp;A216&amp;" - "&amp;A237&amp;") / "&amp;A270</f>
        <v>(Line 157 - 86 - 127 - 138) / 158</v>
      </c>
      <c r="G273" s="464"/>
      <c r="H273" s="914">
        <f>(H269-H152-H216-H237)/H270</f>
        <v>5.2059154694144676E-2</v>
      </c>
    </row>
    <row r="274" spans="1:188">
      <c r="A274" s="460"/>
      <c r="B274" s="460"/>
      <c r="C274" s="899"/>
      <c r="D274" s="899"/>
      <c r="F274" s="464"/>
      <c r="G274" s="464"/>
      <c r="H274" s="914"/>
    </row>
    <row r="275" spans="1:188">
      <c r="A275" s="460"/>
      <c r="B275" s="460"/>
      <c r="C275" s="899"/>
      <c r="D275" s="899"/>
      <c r="F275" s="464"/>
      <c r="G275" s="464"/>
      <c r="H275" s="1064"/>
    </row>
    <row r="276" spans="1:188">
      <c r="A276" s="460"/>
      <c r="B276" s="899" t="s">
        <v>786</v>
      </c>
      <c r="C276" s="899"/>
      <c r="D276" s="899"/>
      <c r="F276" s="464"/>
      <c r="G276" s="464"/>
      <c r="H276" s="914"/>
    </row>
    <row r="277" spans="1:188">
      <c r="A277" s="460">
        <f>+A273+1</f>
        <v>162</v>
      </c>
      <c r="B277" s="460"/>
      <c r="C277" s="899" t="s">
        <v>787</v>
      </c>
      <c r="D277" s="899"/>
      <c r="F277" s="487" t="str">
        <f>"(Line "&amp;A266&amp;" - "&amp;A249&amp;" - "&amp;A250&amp;")"</f>
        <v>(Line 156 - 145 - 146)</v>
      </c>
      <c r="G277" s="464"/>
      <c r="H277" s="1063">
        <f>+H266-H249-H250</f>
        <v>88216145.625783116</v>
      </c>
    </row>
    <row r="278" spans="1:188">
      <c r="A278" s="460">
        <f>+A277+1</f>
        <v>163</v>
      </c>
      <c r="B278" s="460"/>
      <c r="C278" s="899" t="s">
        <v>788</v>
      </c>
      <c r="D278" s="899"/>
      <c r="F278" s="487" t="s">
        <v>789</v>
      </c>
      <c r="G278" s="464"/>
      <c r="H278" s="560">
        <f>+'4 - 100 Basis Pt ROE'!I9</f>
        <v>86051348.739844084</v>
      </c>
    </row>
    <row r="279" spans="1:188">
      <c r="A279" s="460">
        <f>+A278+1</f>
        <v>164</v>
      </c>
      <c r="B279" s="460"/>
      <c r="C279" s="899" t="s">
        <v>790</v>
      </c>
      <c r="D279" s="899"/>
      <c r="F279" s="487" t="str">
        <f>"(Line "&amp;A277&amp;" + "&amp;A278&amp;")"</f>
        <v>(Line 162 + 163)</v>
      </c>
      <c r="G279" s="464"/>
      <c r="H279" s="1063">
        <f>+H278+H277</f>
        <v>174267494.3656272</v>
      </c>
    </row>
    <row r="280" spans="1:188">
      <c r="A280" s="460">
        <f>+A279+1</f>
        <v>165</v>
      </c>
      <c r="B280" s="460"/>
      <c r="C280" s="899" t="str">
        <f>+C270</f>
        <v>Net Transmission Plant</v>
      </c>
      <c r="D280" s="899"/>
      <c r="F280" s="464" t="str">
        <f>"(Line "&amp;A40&amp;" - "&amp;A57&amp;")"</f>
        <v>(Line 19 - 30)</v>
      </c>
      <c r="G280" s="464"/>
      <c r="H280" s="1063">
        <f>+H270</f>
        <v>1087454761</v>
      </c>
    </row>
    <row r="281" spans="1:188">
      <c r="A281" s="460">
        <f>+A280+1</f>
        <v>166</v>
      </c>
      <c r="B281" s="460"/>
      <c r="C281" s="899" t="s">
        <v>791</v>
      </c>
      <c r="D281" s="899"/>
      <c r="F281" s="464" t="str">
        <f>"(Line "&amp;A279&amp;" / "&amp;A280&amp;")"</f>
        <v>(Line 164 / 165)</v>
      </c>
      <c r="G281" s="464"/>
      <c r="H281" s="914">
        <f>+H279/H280</f>
        <v>0.16025263819285188</v>
      </c>
    </row>
    <row r="282" spans="1:188">
      <c r="A282" s="460">
        <f>+A281+1</f>
        <v>167</v>
      </c>
      <c r="B282" s="460"/>
      <c r="C282" s="899" t="s">
        <v>792</v>
      </c>
      <c r="D282" s="899"/>
      <c r="F282" s="464" t="str">
        <f>"(Line "&amp;A278&amp;" - "&amp;A152&amp;") / "&amp;A280</f>
        <v>(Line 163 - 86) / 165</v>
      </c>
      <c r="G282" s="464"/>
      <c r="H282" s="914">
        <f>(H279-H152)/H280</f>
        <v>0.1311901234718372</v>
      </c>
    </row>
    <row r="283" spans="1:188">
      <c r="A283" s="460"/>
      <c r="B283" s="460"/>
      <c r="C283" s="899"/>
      <c r="D283" s="899"/>
      <c r="E283" s="1065"/>
      <c r="F283" s="464"/>
      <c r="G283" s="464"/>
      <c r="H283" s="914"/>
    </row>
    <row r="284" spans="1:188">
      <c r="A284" s="460">
        <f>+A282+1</f>
        <v>168</v>
      </c>
      <c r="B284" s="460"/>
      <c r="C284" s="899" t="s">
        <v>780</v>
      </c>
      <c r="D284" s="899"/>
      <c r="E284" s="902"/>
      <c r="F284" s="464" t="str">
        <f>"(Line "&amp;A266&amp;")"</f>
        <v>(Line 156)</v>
      </c>
      <c r="G284" s="464"/>
      <c r="H284" s="1063">
        <f>+H266</f>
        <v>168623580.51636994</v>
      </c>
      <c r="I284" s="1066"/>
    </row>
    <row r="285" spans="1:188">
      <c r="A285" s="460">
        <f>+A284+1</f>
        <v>169</v>
      </c>
      <c r="B285" s="460"/>
      <c r="C285" s="899" t="s">
        <v>793</v>
      </c>
      <c r="D285" s="899"/>
      <c r="E285" s="527"/>
      <c r="F285" s="486" t="s">
        <v>618</v>
      </c>
      <c r="G285" s="464"/>
      <c r="H285" s="560">
        <f>'6- Est &amp; Reconcile WS'!H160</f>
        <v>4213939.2232648795</v>
      </c>
      <c r="I285" s="1066"/>
    </row>
    <row r="286" spans="1:188">
      <c r="A286" s="460">
        <f>+A285+1</f>
        <v>170</v>
      </c>
      <c r="B286" s="460"/>
      <c r="C286" s="899" t="s">
        <v>794</v>
      </c>
      <c r="D286" s="899"/>
      <c r="E286" s="527"/>
      <c r="F286" s="486" t="s">
        <v>795</v>
      </c>
      <c r="G286" s="464"/>
      <c r="H286" s="560">
        <f>'7 - Cap Add WS'!BR57-'7 - Cap Add WS'!BS56</f>
        <v>952351.4156806767</v>
      </c>
      <c r="I286" s="453"/>
      <c r="J286" s="560"/>
      <c r="K286" s="1044"/>
      <c r="L286" s="1044"/>
    </row>
    <row r="287" spans="1:188">
      <c r="A287" s="460">
        <f>+A286+1</f>
        <v>171</v>
      </c>
      <c r="B287" s="460"/>
      <c r="C287" s="553" t="s">
        <v>796</v>
      </c>
      <c r="D287" s="1067"/>
      <c r="E287" s="915"/>
      <c r="F287" s="553" t="s">
        <v>797</v>
      </c>
      <c r="G287" s="464"/>
      <c r="H287" s="1068">
        <f>+'5 - Cost Support 1'!G153</f>
        <v>0</v>
      </c>
      <c r="I287" s="453"/>
      <c r="GF287" s="281">
        <f>SUM(A287:GE287)</f>
        <v>171</v>
      </c>
    </row>
    <row r="288" spans="1:188">
      <c r="A288" s="460" t="s">
        <v>199</v>
      </c>
      <c r="B288" s="460"/>
      <c r="C288" s="553" t="s">
        <v>196</v>
      </c>
      <c r="D288" s="1067"/>
      <c r="E288" s="915"/>
      <c r="F288" s="553" t="s">
        <v>797</v>
      </c>
      <c r="G288" s="464"/>
      <c r="H288" s="1068">
        <v>0</v>
      </c>
    </row>
    <row r="289" spans="1:12">
      <c r="A289" s="460">
        <f>+A287+1</f>
        <v>172</v>
      </c>
      <c r="B289" s="460"/>
      <c r="C289" s="899" t="s">
        <v>798</v>
      </c>
      <c r="D289" s="899"/>
      <c r="E289" s="902"/>
      <c r="F289" s="464" t="str">
        <f>"(Line "&amp;A284&amp;" - "&amp;A285&amp;" + "&amp;A287&amp;")"</f>
        <v>(Line 168 - 169 + 171)</v>
      </c>
      <c r="G289" s="464"/>
      <c r="H289" s="1063">
        <f>SUM(H284:H288)</f>
        <v>173789871.15531549</v>
      </c>
      <c r="I289" s="1066"/>
      <c r="J289" s="1044"/>
      <c r="K289" s="1044"/>
      <c r="L289" s="1044"/>
    </row>
    <row r="290" spans="1:12">
      <c r="A290" s="460"/>
      <c r="B290" s="468"/>
      <c r="C290" s="899"/>
      <c r="D290" s="899"/>
      <c r="F290" s="464"/>
      <c r="G290" s="464"/>
      <c r="H290" s="1069"/>
      <c r="I290" s="453"/>
    </row>
    <row r="291" spans="1:12">
      <c r="A291" s="460"/>
      <c r="B291" s="469" t="s">
        <v>169</v>
      </c>
      <c r="C291" s="899"/>
      <c r="D291" s="899"/>
      <c r="F291" s="464"/>
      <c r="G291" s="464"/>
      <c r="H291" s="914"/>
    </row>
    <row r="292" spans="1:12" ht="15.75">
      <c r="A292" s="460">
        <f>+A289+1</f>
        <v>173</v>
      </c>
      <c r="B292" s="468"/>
      <c r="C292" s="464" t="s">
        <v>799</v>
      </c>
      <c r="D292" s="1070"/>
      <c r="E292" s="915" t="str">
        <f>"(Note "&amp;B$317&amp;")"</f>
        <v>(Note L)</v>
      </c>
      <c r="F292" s="899" t="s">
        <v>676</v>
      </c>
      <c r="G292" s="899"/>
      <c r="H292" s="1071">
        <f>'5 - Cost Support 1'!G161</f>
        <v>6097.4</v>
      </c>
      <c r="I292" s="453"/>
    </row>
    <row r="293" spans="1:12" ht="15.75">
      <c r="A293" s="460">
        <f>+A292+1</f>
        <v>174</v>
      </c>
      <c r="B293" s="468"/>
      <c r="C293" s="464" t="s">
        <v>800</v>
      </c>
      <c r="D293" s="1072"/>
      <c r="E293" s="1073"/>
      <c r="F293" s="466" t="str">
        <f>"(Line "&amp;A289&amp;" / "&amp;A292&amp;")"</f>
        <v>(Line 172 / 173)</v>
      </c>
      <c r="G293" s="1074"/>
      <c r="H293" s="1075">
        <f>+H289/H292</f>
        <v>28502.291329962853</v>
      </c>
    </row>
    <row r="294" spans="1:12" ht="16.5" thickBot="1">
      <c r="A294" s="468"/>
      <c r="B294" s="468"/>
      <c r="C294" s="1070"/>
      <c r="D294" s="1070"/>
      <c r="E294" s="1076"/>
      <c r="F294" s="1074"/>
      <c r="G294" s="1074"/>
      <c r="H294" s="1075"/>
    </row>
    <row r="295" spans="1:12" s="954" customFormat="1" ht="18.75" thickBot="1">
      <c r="A295" s="1036">
        <f>+A293+1</f>
        <v>175</v>
      </c>
      <c r="B295" s="1037"/>
      <c r="C295" s="1060" t="s">
        <v>801</v>
      </c>
      <c r="D295" s="1037"/>
      <c r="E295" s="1037"/>
      <c r="F295" s="1037" t="str">
        <f>"(Line "&amp;A293&amp;")"</f>
        <v>(Line 174)</v>
      </c>
      <c r="G295" s="1037"/>
      <c r="H295" s="1077">
        <f>+H293</f>
        <v>28502.291329962853</v>
      </c>
    </row>
    <row r="296" spans="1:12" s="954" customFormat="1" ht="15.75">
      <c r="A296" s="1078"/>
      <c r="B296" s="541"/>
      <c r="C296" s="1079"/>
      <c r="D296" s="1079"/>
      <c r="E296" s="1080"/>
      <c r="F296" s="1074"/>
      <c r="G296" s="1074"/>
      <c r="H296" s="1081"/>
    </row>
    <row r="297" spans="1:12" s="954" customFormat="1" ht="18">
      <c r="A297" s="1082"/>
      <c r="B297" s="552" t="s">
        <v>588</v>
      </c>
      <c r="C297" s="1079"/>
      <c r="D297" s="1079"/>
      <c r="E297" s="1080"/>
      <c r="F297" s="1074"/>
      <c r="G297" s="1074"/>
      <c r="H297" s="1081"/>
    </row>
    <row r="298" spans="1:12" s="954" customFormat="1" ht="15.75">
      <c r="A298" s="1083"/>
      <c r="B298" s="156" t="s">
        <v>9</v>
      </c>
      <c r="C298" s="154" t="s">
        <v>802</v>
      </c>
      <c r="D298" s="116"/>
      <c r="E298" s="117"/>
      <c r="F298" s="118"/>
      <c r="G298" s="1074"/>
      <c r="H298" s="1081"/>
    </row>
    <row r="299" spans="1:12" s="954" customFormat="1" ht="15.75">
      <c r="A299" s="1084"/>
      <c r="B299" s="156" t="s">
        <v>10</v>
      </c>
      <c r="C299" s="1085" t="s">
        <v>803</v>
      </c>
      <c r="D299" s="154"/>
      <c r="E299" s="1086"/>
      <c r="F299" s="1087"/>
      <c r="G299" s="1074"/>
      <c r="H299" s="1081"/>
    </row>
    <row r="300" spans="1:12" s="954" customFormat="1" ht="15.75">
      <c r="A300" s="1084"/>
      <c r="B300" s="156"/>
      <c r="C300" s="1085" t="s">
        <v>804</v>
      </c>
      <c r="D300" s="154"/>
      <c r="E300" s="1086"/>
      <c r="F300" s="1087"/>
      <c r="G300" s="1074"/>
      <c r="H300" s="1088"/>
    </row>
    <row r="301" spans="1:12" s="954" customFormat="1" ht="15.75">
      <c r="A301" s="1084"/>
      <c r="B301" s="156"/>
      <c r="C301" s="1085" t="s">
        <v>805</v>
      </c>
      <c r="D301" s="154"/>
      <c r="E301" s="1086"/>
      <c r="F301" s="1087"/>
      <c r="G301" s="1074"/>
      <c r="H301" s="1081"/>
    </row>
    <row r="302" spans="1:12" s="954" customFormat="1" ht="15.75">
      <c r="A302" s="1084"/>
      <c r="B302" s="156"/>
      <c r="C302" s="1085" t="s">
        <v>806</v>
      </c>
      <c r="D302" s="154"/>
      <c r="E302" s="1086"/>
      <c r="F302" s="1087"/>
      <c r="G302" s="1074"/>
      <c r="H302" s="1081"/>
    </row>
    <row r="303" spans="1:12" s="954" customFormat="1" ht="15.75">
      <c r="A303" s="1084"/>
      <c r="B303" s="156"/>
      <c r="C303" s="1085" t="s">
        <v>807</v>
      </c>
      <c r="D303" s="154"/>
      <c r="E303" s="1086"/>
      <c r="F303" s="1087"/>
      <c r="G303" s="1074"/>
      <c r="H303" s="1081"/>
    </row>
    <row r="304" spans="1:12" s="954" customFormat="1" ht="15.75">
      <c r="A304" s="1084"/>
      <c r="B304" s="156" t="s">
        <v>11</v>
      </c>
      <c r="C304" s="1085" t="s">
        <v>808</v>
      </c>
      <c r="D304" s="116"/>
      <c r="E304" s="117"/>
      <c r="F304" s="118"/>
      <c r="G304" s="1074"/>
      <c r="H304" s="1081"/>
    </row>
    <row r="305" spans="1:8" s="954" customFormat="1" ht="15.75">
      <c r="A305" s="1084"/>
      <c r="B305" s="156" t="s">
        <v>14</v>
      </c>
      <c r="C305" s="8" t="s">
        <v>809</v>
      </c>
      <c r="D305" s="116"/>
      <c r="E305" s="117"/>
      <c r="F305" s="118"/>
      <c r="G305" s="1074"/>
      <c r="H305" s="1081"/>
    </row>
    <row r="306" spans="1:8" s="954" customFormat="1" ht="15.75">
      <c r="A306" s="1084"/>
      <c r="B306" s="156" t="s">
        <v>186</v>
      </c>
      <c r="C306" s="1089" t="s">
        <v>810</v>
      </c>
      <c r="D306" s="116"/>
      <c r="E306" s="117"/>
      <c r="F306" s="118"/>
      <c r="G306" s="1074"/>
      <c r="H306" s="1081"/>
    </row>
    <row r="307" spans="1:8" s="954" customFormat="1" ht="15.75">
      <c r="A307" s="1084"/>
      <c r="B307" s="156" t="s">
        <v>190</v>
      </c>
      <c r="C307" s="8" t="s">
        <v>811</v>
      </c>
      <c r="D307" s="116"/>
      <c r="E307" s="117"/>
      <c r="F307" s="118"/>
      <c r="G307" s="1074"/>
      <c r="H307" s="1081"/>
    </row>
    <row r="308" spans="1:8" s="954" customFormat="1" ht="15.75">
      <c r="A308" s="1084"/>
      <c r="B308" s="156" t="s">
        <v>192</v>
      </c>
      <c r="C308" s="8" t="s">
        <v>812</v>
      </c>
      <c r="D308" s="116"/>
      <c r="E308" s="117"/>
      <c r="F308" s="118"/>
      <c r="G308" s="1074"/>
      <c r="H308" s="1081"/>
    </row>
    <row r="309" spans="1:8" s="954" customFormat="1" ht="15.75">
      <c r="A309" s="1084"/>
      <c r="B309" s="156" t="s">
        <v>813</v>
      </c>
      <c r="C309" s="8" t="s">
        <v>814</v>
      </c>
      <c r="D309" s="116"/>
      <c r="E309" s="117"/>
      <c r="F309" s="118"/>
      <c r="G309" s="1074"/>
      <c r="H309" s="1081"/>
    </row>
    <row r="310" spans="1:8" s="954" customFormat="1" ht="15.75">
      <c r="A310" s="1084"/>
      <c r="B310" s="156"/>
      <c r="C310" s="8" t="s">
        <v>815</v>
      </c>
      <c r="D310" s="116"/>
      <c r="E310" s="117"/>
      <c r="F310" s="118"/>
      <c r="G310" s="1074"/>
      <c r="H310" s="1081"/>
    </row>
    <row r="311" spans="1:8" s="954" customFormat="1" ht="15.75">
      <c r="A311" s="1084"/>
      <c r="B311" s="156"/>
      <c r="C311" s="8" t="s">
        <v>816</v>
      </c>
      <c r="D311" s="116"/>
      <c r="E311" s="117"/>
      <c r="F311" s="118"/>
      <c r="G311" s="1074"/>
      <c r="H311" s="1081"/>
    </row>
    <row r="312" spans="1:8" s="954" customFormat="1" ht="15.75">
      <c r="A312" s="1084"/>
      <c r="B312" s="156"/>
      <c r="C312" s="8" t="s">
        <v>817</v>
      </c>
      <c r="D312" s="116"/>
      <c r="E312" s="117"/>
      <c r="F312" s="118"/>
      <c r="G312" s="1074"/>
      <c r="H312" s="1081"/>
    </row>
    <row r="313" spans="1:8" s="954" customFormat="1" ht="15.75">
      <c r="A313" s="1084"/>
      <c r="B313" s="156"/>
      <c r="C313" s="8" t="s">
        <v>818</v>
      </c>
      <c r="D313" s="116"/>
      <c r="E313" s="117"/>
      <c r="F313" s="118"/>
      <c r="G313" s="1074"/>
      <c r="H313" s="1081"/>
    </row>
    <row r="314" spans="1:8" s="954" customFormat="1" ht="15.75">
      <c r="A314" s="1084"/>
      <c r="B314" s="156"/>
      <c r="C314" s="8" t="s">
        <v>819</v>
      </c>
      <c r="D314" s="116"/>
      <c r="E314" s="117"/>
      <c r="F314" s="118"/>
      <c r="G314" s="1074"/>
      <c r="H314" s="1081"/>
    </row>
    <row r="315" spans="1:8" s="954" customFormat="1" ht="46.5" customHeight="1">
      <c r="A315" s="1084"/>
      <c r="B315" s="156" t="s">
        <v>820</v>
      </c>
      <c r="C315" s="1150" t="s">
        <v>17</v>
      </c>
      <c r="D315" s="1151"/>
      <c r="E315" s="1151"/>
      <c r="F315" s="1151"/>
      <c r="G315" s="1074"/>
      <c r="H315" s="1081"/>
    </row>
    <row r="316" spans="1:8" s="954" customFormat="1" ht="15.75">
      <c r="A316" s="1084"/>
      <c r="B316" s="156" t="s">
        <v>821</v>
      </c>
      <c r="C316" s="154" t="s">
        <v>822</v>
      </c>
      <c r="D316" s="116"/>
      <c r="E316" s="117"/>
      <c r="F316" s="118"/>
      <c r="G316" s="1074"/>
      <c r="H316" s="1081"/>
    </row>
    <row r="317" spans="1:8" s="954" customFormat="1" ht="15.75">
      <c r="A317" s="1084"/>
      <c r="B317" s="156" t="s">
        <v>823</v>
      </c>
      <c r="C317" s="154" t="s">
        <v>824</v>
      </c>
      <c r="D317" s="116"/>
      <c r="E317" s="117"/>
      <c r="F317" s="118"/>
      <c r="G317" s="1074"/>
      <c r="H317" s="1081"/>
    </row>
    <row r="318" spans="1:8" ht="15.75">
      <c r="A318" s="1090"/>
      <c r="B318" s="1090" t="s">
        <v>825</v>
      </c>
      <c r="C318" s="1089" t="s">
        <v>826</v>
      </c>
      <c r="D318" s="1091"/>
      <c r="E318" s="117"/>
      <c r="F318" s="118"/>
      <c r="G318" s="1074"/>
      <c r="H318" s="1081"/>
    </row>
    <row r="319" spans="1:8" ht="15.75">
      <c r="A319" s="1090"/>
      <c r="B319" s="1090" t="s">
        <v>827</v>
      </c>
      <c r="C319" s="1092" t="s">
        <v>828</v>
      </c>
      <c r="D319" s="1091"/>
      <c r="E319" s="117"/>
      <c r="F319" s="118"/>
      <c r="G319" s="1074"/>
      <c r="H319" s="1081"/>
    </row>
    <row r="320" spans="1:8" ht="15.75">
      <c r="A320" s="1090"/>
      <c r="B320" s="1090"/>
      <c r="C320" s="1092" t="s">
        <v>829</v>
      </c>
      <c r="D320" s="1091"/>
      <c r="E320" s="117"/>
      <c r="F320" s="118"/>
      <c r="G320" s="1074"/>
      <c r="H320" s="1081"/>
    </row>
    <row r="321" spans="1:8" ht="15.75">
      <c r="A321" s="1090"/>
      <c r="B321" s="1090"/>
      <c r="C321" s="1092" t="str">
        <f>"  Interest on the Network Credits as booked each year is added to the revenue requirement to make the Transmisison Owner whole on Line "&amp;A264&amp;"."</f>
        <v xml:space="preserve">  Interest on the Network Credits as booked each year is added to the revenue requirement to make the Transmisison Owner whole on Line 155.</v>
      </c>
      <c r="D321" s="1089"/>
      <c r="E321" s="1086"/>
      <c r="F321" s="1087"/>
      <c r="G321" s="1074"/>
      <c r="H321" s="1081"/>
    </row>
    <row r="322" spans="1:8" ht="15.75">
      <c r="A322" s="1090"/>
      <c r="B322" s="1090" t="s">
        <v>830</v>
      </c>
      <c r="C322" s="1092"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22" s="1093"/>
      <c r="E322" s="1094"/>
      <c r="F322" s="1095"/>
      <c r="G322" s="1074"/>
      <c r="H322" s="1081"/>
    </row>
    <row r="323" spans="1:8" ht="15.75">
      <c r="A323" s="1090"/>
      <c r="B323" s="1090"/>
      <c r="C323" s="1092" t="str">
        <f>"  If they are booked to Acct 565, they are included in on line "&amp;A119&amp;""</f>
        <v xml:space="preserve">  If they are booked to Acct 565, they are included in on line 64</v>
      </c>
      <c r="D323" s="1093"/>
      <c r="E323" s="1094"/>
      <c r="F323" s="1095"/>
      <c r="G323" s="1074"/>
      <c r="H323" s="1081"/>
    </row>
    <row r="324" spans="1:8" s="954" customFormat="1" ht="18">
      <c r="A324" s="1096"/>
      <c r="B324" s="156" t="s">
        <v>831</v>
      </c>
      <c r="C324" s="459" t="s">
        <v>832</v>
      </c>
      <c r="D324" s="1097"/>
      <c r="E324" s="1097"/>
      <c r="F324" s="1097"/>
      <c r="G324" s="1082"/>
      <c r="H324" s="1098"/>
    </row>
    <row r="325" spans="1:8" ht="15.75">
      <c r="A325" s="156"/>
      <c r="B325" s="156" t="s">
        <v>833</v>
      </c>
      <c r="C325" s="154" t="s">
        <v>834</v>
      </c>
      <c r="D325" s="1099"/>
      <c r="E325" s="1094"/>
      <c r="F325" s="1095"/>
      <c r="G325" s="1074"/>
      <c r="H325" s="1081"/>
    </row>
    <row r="326" spans="1:8" ht="15.75">
      <c r="A326" s="561"/>
      <c r="B326" s="561" t="s">
        <v>835</v>
      </c>
      <c r="C326" s="154" t="s">
        <v>836</v>
      </c>
      <c r="D326" s="1099"/>
      <c r="E326" s="1094"/>
      <c r="F326" s="1095"/>
      <c r="G326" s="1074"/>
      <c r="H326" s="1081"/>
    </row>
    <row r="327" spans="1:8" ht="15.75">
      <c r="A327" s="561"/>
      <c r="B327" s="1100"/>
      <c r="C327" s="154" t="s">
        <v>837</v>
      </c>
      <c r="D327" s="1099"/>
      <c r="E327" s="1094"/>
      <c r="F327" s="1095"/>
      <c r="G327" s="1074"/>
      <c r="H327" s="1081"/>
    </row>
    <row r="328" spans="1:8" ht="15.75">
      <c r="A328" s="561"/>
      <c r="B328" s="561" t="s">
        <v>838</v>
      </c>
      <c r="C328" s="154" t="s">
        <v>839</v>
      </c>
      <c r="D328" s="1099"/>
      <c r="E328" s="1094"/>
      <c r="F328" s="1095"/>
      <c r="G328" s="1074"/>
      <c r="H328" s="1081"/>
    </row>
    <row r="329" spans="1:8" ht="15.75">
      <c r="A329" s="561"/>
      <c r="B329" s="561"/>
      <c r="C329" s="1099"/>
      <c r="D329" s="1099"/>
      <c r="E329" s="1094"/>
      <c r="F329" s="1095"/>
      <c r="G329" s="1074"/>
      <c r="H329" s="1081"/>
    </row>
    <row r="330" spans="1:8" ht="15.75">
      <c r="A330" s="561"/>
      <c r="B330" s="1100"/>
      <c r="C330" s="1099"/>
      <c r="D330" s="1099"/>
      <c r="E330" s="1094"/>
      <c r="F330" s="1095"/>
      <c r="G330" s="1074"/>
      <c r="H330" s="1081"/>
    </row>
    <row r="331" spans="1:8" ht="15.75">
      <c r="A331" s="561"/>
      <c r="B331" s="561"/>
      <c r="C331" s="1099"/>
      <c r="D331" s="1099"/>
      <c r="E331" s="1094"/>
      <c r="F331" s="1095"/>
      <c r="G331" s="1074"/>
      <c r="H331" s="1081"/>
    </row>
    <row r="332" spans="1:8" ht="15.75">
      <c r="A332" s="561"/>
      <c r="B332" s="561"/>
      <c r="C332" s="1099"/>
      <c r="D332" s="1099"/>
      <c r="E332" s="1094"/>
      <c r="F332" s="1095"/>
      <c r="G332" s="1074"/>
      <c r="H332" s="1081"/>
    </row>
    <row r="333" spans="1:8" ht="15.75">
      <c r="A333" s="469"/>
      <c r="B333" s="468"/>
      <c r="C333" s="526"/>
      <c r="D333" s="487"/>
      <c r="E333" s="527"/>
      <c r="F333" s="464"/>
      <c r="G333" s="464"/>
      <c r="H333" s="528"/>
    </row>
    <row r="334" spans="1:8" ht="15.75">
      <c r="A334" s="1101" t="s">
        <v>840</v>
      </c>
      <c r="B334" s="1102"/>
      <c r="C334" s="457"/>
      <c r="D334" s="523"/>
      <c r="E334" s="1103"/>
      <c r="F334" s="523"/>
      <c r="G334" s="523"/>
      <c r="H334" s="457"/>
    </row>
    <row r="335" spans="1:8">
      <c r="A335" s="469"/>
      <c r="B335" s="468"/>
      <c r="C335" s="281"/>
      <c r="D335" s="281"/>
    </row>
    <row r="336" spans="1:8">
      <c r="H336" s="1104"/>
    </row>
    <row r="337" spans="8:8">
      <c r="H337" s="1105"/>
    </row>
    <row r="338" spans="8:8">
      <c r="H338" s="1106"/>
    </row>
  </sheetData>
  <mergeCells count="1">
    <mergeCell ref="C315:F315"/>
  </mergeCells>
  <pageMargins left="0.5" right="0.5" top="0.75" bottom="0.5" header="0.5" footer="0.5"/>
  <pageSetup scale="40" fitToHeight="4" orientation="portrait" r:id="rId1"/>
  <rowBreaks count="3" manualBreakCount="3">
    <brk id="110" max="7" man="1"/>
    <brk id="217" max="7" man="1"/>
    <brk id="295" max="7" man="1"/>
  </rowBreaks>
  <colBreaks count="1" manualBreakCount="1">
    <brk id="10"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318"/>
  <sheetViews>
    <sheetView zoomScaleNormal="100" zoomScaleSheetLayoutView="50" workbookViewId="0"/>
  </sheetViews>
  <sheetFormatPr defaultRowHeight="15"/>
  <cols>
    <col min="1" max="1" width="9.28515625" bestFit="1" customWidth="1"/>
    <col min="2" max="2" width="27.5703125" customWidth="1"/>
    <col min="3" max="3" width="15.140625" customWidth="1"/>
    <col min="4" max="4" width="13" style="3" customWidth="1"/>
    <col min="5" max="5" width="13.42578125" customWidth="1"/>
    <col min="6" max="6" width="12.7109375" customWidth="1"/>
    <col min="7" max="7" width="13.42578125" bestFit="1" customWidth="1"/>
    <col min="8" max="8" width="17.85546875" style="13" customWidth="1"/>
    <col min="9" max="9" width="13.42578125" customWidth="1"/>
    <col min="10" max="11" width="12.7109375" customWidth="1"/>
    <col min="12" max="12" width="17.42578125" style="13" bestFit="1" customWidth="1"/>
    <col min="13" max="14" width="12.28515625" customWidth="1"/>
    <col min="15" max="15" width="12.85546875" customWidth="1"/>
    <col min="16" max="16" width="12.42578125" customWidth="1"/>
    <col min="17" max="17" width="14.42578125" bestFit="1" customWidth="1"/>
    <col min="18" max="18" width="12.28515625" customWidth="1"/>
    <col min="19" max="19" width="12.85546875" customWidth="1"/>
    <col min="20" max="20" width="12.42578125" customWidth="1"/>
    <col min="21" max="21" width="14.42578125" bestFit="1" customWidth="1"/>
    <col min="22" max="22" width="12.28515625" customWidth="1"/>
    <col min="23" max="23" width="12.85546875" customWidth="1"/>
    <col min="24" max="24" width="12.42578125" customWidth="1"/>
    <col min="25" max="26" width="12.28515625" customWidth="1"/>
    <col min="27" max="27" width="12.85546875" customWidth="1"/>
    <col min="28" max="28" width="12.42578125" customWidth="1"/>
    <col min="29" max="30" width="12.28515625" customWidth="1"/>
    <col min="31" max="31" width="12.85546875" customWidth="1"/>
    <col min="32" max="32" width="12.42578125" customWidth="1"/>
    <col min="33" max="34" width="12.28515625" customWidth="1"/>
    <col min="35" max="35" width="12.85546875" customWidth="1"/>
    <col min="36" max="36" width="12.42578125" customWidth="1"/>
    <col min="37" max="38" width="12.28515625" customWidth="1"/>
    <col min="39" max="39" width="12.85546875" customWidth="1"/>
    <col min="40" max="40" width="12.42578125" customWidth="1"/>
    <col min="41" max="41" width="14.42578125" bestFit="1" customWidth="1"/>
    <col min="42" max="42" width="12.28515625" customWidth="1"/>
    <col min="43" max="43" width="12.85546875" customWidth="1"/>
    <col min="44" max="44" width="12.42578125" customWidth="1"/>
    <col min="45" max="45" width="14.42578125" bestFit="1" customWidth="1"/>
    <col min="46" max="46" width="12.28515625" customWidth="1"/>
    <col min="47" max="47" width="12.85546875" customWidth="1"/>
    <col min="48" max="48" width="12.42578125" customWidth="1"/>
    <col min="49" max="49" width="14.42578125" bestFit="1" customWidth="1"/>
    <col min="50" max="50" width="12.28515625" customWidth="1"/>
    <col min="51" max="51" width="12.85546875" customWidth="1"/>
    <col min="52" max="52" width="12.42578125" customWidth="1"/>
    <col min="53" max="54" width="12.28515625" customWidth="1"/>
    <col min="55" max="55" width="12.85546875" customWidth="1"/>
    <col min="56" max="56" width="12.42578125" customWidth="1"/>
    <col min="57" max="58" width="12.28515625" customWidth="1"/>
    <col min="59" max="59" width="12.85546875" customWidth="1"/>
    <col min="60" max="60" width="12.42578125" customWidth="1"/>
    <col min="61" max="62" width="12.28515625" customWidth="1"/>
    <col min="63" max="63" width="12.85546875" customWidth="1"/>
    <col min="64" max="64" width="12.42578125" customWidth="1"/>
    <col min="65" max="66" width="12.28515625" customWidth="1"/>
    <col min="67" max="67" width="12.85546875" customWidth="1"/>
    <col min="68" max="68" width="12.42578125" customWidth="1"/>
    <col min="69" max="69" width="14.42578125" bestFit="1" customWidth="1"/>
    <col min="70" max="70" width="21.85546875" customWidth="1"/>
    <col min="71" max="71" width="18.42578125" customWidth="1"/>
    <col min="72" max="73" width="12.28515625" bestFit="1" customWidth="1"/>
    <col min="74" max="74" width="14" customWidth="1"/>
    <col min="75" max="75" width="12.28515625" customWidth="1"/>
    <col min="76" max="76" width="12.85546875" bestFit="1" customWidth="1"/>
    <col min="77" max="77" width="13" customWidth="1"/>
    <col min="78" max="78" width="12.85546875" bestFit="1" customWidth="1"/>
  </cols>
  <sheetData>
    <row r="1" spans="1:71" ht="18">
      <c r="C1" s="9" t="str">
        <f>'ATT H-9A'!A4</f>
        <v>Potomac Electric Power Company</v>
      </c>
      <c r="D1" s="10"/>
      <c r="E1" s="10"/>
      <c r="F1" s="10"/>
      <c r="G1" s="10"/>
      <c r="H1" s="10"/>
      <c r="I1" s="10"/>
      <c r="J1" s="10"/>
      <c r="K1" s="10"/>
      <c r="L1" s="10"/>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row>
    <row r="3" spans="1:71" ht="15.75">
      <c r="C3" s="12" t="s">
        <v>5</v>
      </c>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row>
    <row r="5" spans="1:71">
      <c r="C5" s="1"/>
    </row>
    <row r="8" spans="1:71">
      <c r="A8">
        <v>1</v>
      </c>
      <c r="C8" t="s">
        <v>6</v>
      </c>
    </row>
    <row r="10" spans="1:71">
      <c r="A10">
        <v>2</v>
      </c>
      <c r="C10" s="14" t="s">
        <v>7</v>
      </c>
    </row>
    <row r="11" spans="1:71">
      <c r="A11">
        <v>3</v>
      </c>
      <c r="C11" s="14"/>
      <c r="D11" s="3" t="s">
        <v>8</v>
      </c>
    </row>
    <row r="12" spans="1:71">
      <c r="A12">
        <v>4</v>
      </c>
      <c r="C12" s="3" t="s">
        <v>9</v>
      </c>
      <c r="D12" s="3">
        <f>+'ATT H-9A'!A272</f>
        <v>160</v>
      </c>
      <c r="E12" s="15" t="str">
        <f>+'ATT H-9A'!C272</f>
        <v>Net Plant Carrying Charge without Depreciation</v>
      </c>
      <c r="H12" s="16"/>
      <c r="I12" s="17">
        <f>+'ATT H-9A'!H272</f>
        <v>0.12600010173330781</v>
      </c>
      <c r="K12" s="18"/>
      <c r="L12" s="16"/>
    </row>
    <row r="13" spans="1:71">
      <c r="A13">
        <v>5</v>
      </c>
      <c r="C13" s="3" t="s">
        <v>10</v>
      </c>
      <c r="D13" s="3">
        <f>+'ATT H-9A'!A282</f>
        <v>167</v>
      </c>
      <c r="E13" s="15" t="str">
        <f>+'ATT H-9A'!C282</f>
        <v>Net Plant Carrying Charge per 100 Basis Point in ROE without Depreciation</v>
      </c>
      <c r="H13" s="16"/>
      <c r="I13" s="17">
        <f>+'ATT H-9A'!H282</f>
        <v>0.1311901234718372</v>
      </c>
      <c r="K13" s="18"/>
      <c r="L13" s="16"/>
    </row>
    <row r="14" spans="1:71">
      <c r="A14">
        <v>6</v>
      </c>
      <c r="C14" s="3" t="s">
        <v>11</v>
      </c>
      <c r="E14" t="s">
        <v>12</v>
      </c>
      <c r="H14" s="16"/>
      <c r="I14" s="17">
        <f>+I13-I12</f>
        <v>5.1900217385293934E-3</v>
      </c>
      <c r="K14" s="18"/>
      <c r="L14" s="16"/>
    </row>
    <row r="15" spans="1:71">
      <c r="H15" s="16"/>
      <c r="I15" s="17"/>
      <c r="L15" s="16"/>
    </row>
    <row r="16" spans="1:71">
      <c r="A16">
        <v>7</v>
      </c>
      <c r="C16" s="14" t="s">
        <v>13</v>
      </c>
      <c r="H16" s="16"/>
      <c r="L16" s="16"/>
    </row>
    <row r="17" spans="1:86">
      <c r="C17" s="14"/>
      <c r="H17" s="16"/>
      <c r="L17" s="16"/>
    </row>
    <row r="18" spans="1:86">
      <c r="A18">
        <v>8</v>
      </c>
      <c r="C18" s="3" t="s">
        <v>14</v>
      </c>
      <c r="D18" s="3">
        <f>+'ATT H-9A'!A273</f>
        <v>161</v>
      </c>
      <c r="E18" s="15" t="str">
        <f>+'ATT H-9A'!C273</f>
        <v>Net Plant Carrying Charge without Depreciation, Return, nor Income Taxes</v>
      </c>
      <c r="H18" s="16"/>
      <c r="I18" s="17">
        <f>+'ATT H-9A'!H273</f>
        <v>5.2059154694144676E-2</v>
      </c>
      <c r="L18" s="16"/>
    </row>
    <row r="19" spans="1:86">
      <c r="C19" s="3"/>
      <c r="E19" s="15"/>
      <c r="H19" s="16"/>
      <c r="I19" s="15"/>
      <c r="L19" s="16"/>
      <c r="N19" s="17"/>
      <c r="R19" s="17"/>
      <c r="V19" s="17"/>
      <c r="Z19" s="17"/>
      <c r="AD19" s="17"/>
      <c r="AH19" s="17"/>
      <c r="AL19" s="17"/>
      <c r="AP19" s="17"/>
      <c r="AT19" s="17"/>
      <c r="AX19" s="17"/>
      <c r="BB19" s="17"/>
      <c r="BF19" s="17"/>
      <c r="BJ19" s="17"/>
      <c r="BN19" s="17"/>
    </row>
    <row r="20" spans="1:86" ht="15.75">
      <c r="C20" s="19"/>
    </row>
    <row r="21" spans="1:86">
      <c r="A21">
        <v>9</v>
      </c>
      <c r="C21" s="6" t="s">
        <v>15</v>
      </c>
    </row>
    <row r="22" spans="1:86">
      <c r="A22">
        <v>10</v>
      </c>
      <c r="C22" s="6" t="s">
        <v>16</v>
      </c>
      <c r="BI22" s="20"/>
      <c r="BM22" s="20"/>
    </row>
    <row r="23" spans="1:86" ht="21" customHeight="1" thickBot="1">
      <c r="A23">
        <v>11</v>
      </c>
      <c r="C23" s="6" t="s">
        <v>17</v>
      </c>
      <c r="D23" s="21"/>
      <c r="E23" s="21"/>
      <c r="F23" s="21"/>
      <c r="G23" s="21"/>
      <c r="H23" s="21"/>
      <c r="I23" s="21"/>
      <c r="J23" s="21"/>
      <c r="K23" s="21"/>
      <c r="L23" s="21"/>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5"/>
      <c r="BU23" s="5"/>
      <c r="BV23" s="5"/>
      <c r="BW23" s="5"/>
      <c r="BX23" s="5"/>
      <c r="BY23" s="5"/>
      <c r="BZ23" s="5"/>
      <c r="CA23" s="5"/>
      <c r="CB23" s="5"/>
      <c r="CC23" s="5"/>
      <c r="CD23" s="5"/>
      <c r="CE23" s="5"/>
      <c r="CF23" s="5"/>
      <c r="CG23" s="5"/>
      <c r="CH23" s="5"/>
    </row>
    <row r="24" spans="1:86">
      <c r="C24" s="23" t="s">
        <v>18</v>
      </c>
      <c r="D24" s="24"/>
      <c r="E24" s="1231" t="s">
        <v>19</v>
      </c>
      <c r="F24" s="1232"/>
      <c r="G24" s="1232"/>
      <c r="H24" s="1233"/>
      <c r="I24" s="1231" t="s">
        <v>20</v>
      </c>
      <c r="J24" s="1232"/>
      <c r="K24" s="1232"/>
      <c r="L24" s="1233"/>
      <c r="M24" s="1231" t="s">
        <v>21</v>
      </c>
      <c r="N24" s="1232"/>
      <c r="O24" s="1232"/>
      <c r="P24" s="1233"/>
      <c r="Q24" s="1231" t="s">
        <v>22</v>
      </c>
      <c r="R24" s="1232"/>
      <c r="S24" s="1232"/>
      <c r="T24" s="1233"/>
      <c r="U24" s="1231" t="s">
        <v>23</v>
      </c>
      <c r="V24" s="1232"/>
      <c r="W24" s="1232"/>
      <c r="X24" s="1233"/>
      <c r="Y24" s="1231" t="s">
        <v>24</v>
      </c>
      <c r="Z24" s="1232"/>
      <c r="AA24" s="1232"/>
      <c r="AB24" s="1233"/>
      <c r="AC24" s="1231" t="s">
        <v>25</v>
      </c>
      <c r="AD24" s="1232"/>
      <c r="AE24" s="1232"/>
      <c r="AF24" s="1233"/>
      <c r="AG24" s="1231" t="s">
        <v>26</v>
      </c>
      <c r="AH24" s="1232"/>
      <c r="AI24" s="1232"/>
      <c r="AJ24" s="1233"/>
      <c r="AK24" s="1231" t="s">
        <v>27</v>
      </c>
      <c r="AL24" s="1232"/>
      <c r="AM24" s="1232"/>
      <c r="AN24" s="1233"/>
      <c r="AO24" s="1231" t="s">
        <v>28</v>
      </c>
      <c r="AP24" s="1232"/>
      <c r="AQ24" s="1232"/>
      <c r="AR24" s="1233"/>
      <c r="AS24" s="1231" t="s">
        <v>29</v>
      </c>
      <c r="AT24" s="1232"/>
      <c r="AU24" s="1232"/>
      <c r="AV24" s="1233"/>
      <c r="AW24" s="1231" t="s">
        <v>30</v>
      </c>
      <c r="AX24" s="1232"/>
      <c r="AY24" s="1232"/>
      <c r="AZ24" s="1233"/>
      <c r="BA24" s="1231" t="s">
        <v>31</v>
      </c>
      <c r="BB24" s="1232"/>
      <c r="BC24" s="1232"/>
      <c r="BD24" s="1233"/>
      <c r="BE24" s="1231" t="s">
        <v>32</v>
      </c>
      <c r="BF24" s="1232"/>
      <c r="BG24" s="1232"/>
      <c r="BH24" s="1233"/>
      <c r="BI24" s="1231" t="s">
        <v>33</v>
      </c>
      <c r="BJ24" s="1232"/>
      <c r="BK24" s="1232"/>
      <c r="BL24" s="1233"/>
      <c r="BM24" s="1231" t="s">
        <v>34</v>
      </c>
      <c r="BN24" s="1232"/>
      <c r="BO24" s="1232"/>
      <c r="BP24" s="1233"/>
      <c r="BQ24" s="25"/>
      <c r="BR24" s="26"/>
      <c r="BS24" s="27"/>
    </row>
    <row r="25" spans="1:86" ht="38.25">
      <c r="A25">
        <v>12</v>
      </c>
      <c r="B25" s="28" t="s">
        <v>35</v>
      </c>
      <c r="C25" s="29" t="s">
        <v>36</v>
      </c>
      <c r="D25" s="30" t="s">
        <v>37</v>
      </c>
      <c r="E25" s="31" t="s">
        <v>38</v>
      </c>
      <c r="F25" s="32"/>
      <c r="G25" s="32"/>
      <c r="H25" s="33"/>
      <c r="I25" s="31" t="s">
        <v>39</v>
      </c>
      <c r="J25" s="34"/>
      <c r="K25" s="34"/>
      <c r="L25" s="35"/>
      <c r="M25" s="31" t="s">
        <v>39</v>
      </c>
      <c r="N25" s="34"/>
      <c r="O25" s="34"/>
      <c r="P25" s="35"/>
      <c r="Q25" s="31" t="s">
        <v>39</v>
      </c>
      <c r="R25" s="34"/>
      <c r="S25" s="34"/>
      <c r="T25" s="35"/>
      <c r="U25" s="31" t="s">
        <v>38</v>
      </c>
      <c r="V25" s="34"/>
      <c r="W25" s="34"/>
      <c r="X25" s="35"/>
      <c r="Y25" s="31" t="s">
        <v>38</v>
      </c>
      <c r="Z25" s="34"/>
      <c r="AA25" s="34"/>
      <c r="AB25" s="35"/>
      <c r="AC25" s="31" t="s">
        <v>38</v>
      </c>
      <c r="AD25" s="34"/>
      <c r="AE25" s="34"/>
      <c r="AF25" s="35"/>
      <c r="AG25" s="31" t="s">
        <v>38</v>
      </c>
      <c r="AH25" s="34"/>
      <c r="AI25" s="34"/>
      <c r="AJ25" s="35"/>
      <c r="AK25" s="31" t="s">
        <v>38</v>
      </c>
      <c r="AL25" s="34"/>
      <c r="AM25" s="34"/>
      <c r="AN25" s="35"/>
      <c r="AO25" s="31" t="s">
        <v>38</v>
      </c>
      <c r="AP25" s="34"/>
      <c r="AQ25" s="34"/>
      <c r="AR25" s="35"/>
      <c r="AS25" s="31" t="s">
        <v>38</v>
      </c>
      <c r="AT25" s="34"/>
      <c r="AU25" s="34"/>
      <c r="AV25" s="35"/>
      <c r="AW25" s="31" t="s">
        <v>38</v>
      </c>
      <c r="AX25" s="34"/>
      <c r="AY25" s="34"/>
      <c r="AZ25" s="35"/>
      <c r="BA25" s="31" t="s">
        <v>38</v>
      </c>
      <c r="BB25" s="34"/>
      <c r="BC25" s="34"/>
      <c r="BD25" s="35"/>
      <c r="BE25" s="31" t="s">
        <v>38</v>
      </c>
      <c r="BF25" s="34"/>
      <c r="BG25" s="34"/>
      <c r="BH25" s="35"/>
      <c r="BI25" s="31" t="s">
        <v>38</v>
      </c>
      <c r="BJ25" s="34"/>
      <c r="BK25" s="34"/>
      <c r="BL25" s="35"/>
      <c r="BM25" s="31" t="s">
        <v>38</v>
      </c>
      <c r="BN25" s="34"/>
      <c r="BO25" s="34"/>
      <c r="BP25" s="35"/>
      <c r="BQ25" s="36"/>
      <c r="BR25" s="37"/>
      <c r="BS25" s="38"/>
    </row>
    <row r="26" spans="1:86">
      <c r="A26">
        <v>13</v>
      </c>
      <c r="B26" t="s">
        <v>40</v>
      </c>
      <c r="C26" s="29" t="s">
        <v>41</v>
      </c>
      <c r="D26" s="30"/>
      <c r="E26" s="31">
        <v>35</v>
      </c>
      <c r="F26" s="39"/>
      <c r="G26" s="39"/>
      <c r="H26" s="40"/>
      <c r="I26" s="31">
        <v>35</v>
      </c>
      <c r="J26" s="39"/>
      <c r="K26" s="39"/>
      <c r="L26" s="30"/>
      <c r="M26" s="31">
        <v>35</v>
      </c>
      <c r="N26" s="39"/>
      <c r="O26" s="39"/>
      <c r="P26" s="30"/>
      <c r="Q26" s="31">
        <v>35</v>
      </c>
      <c r="R26" s="39"/>
      <c r="S26" s="39"/>
      <c r="T26" s="30"/>
      <c r="U26" s="31">
        <v>35</v>
      </c>
      <c r="V26" s="39"/>
      <c r="W26" s="39"/>
      <c r="X26" s="30"/>
      <c r="Y26" s="31">
        <v>35</v>
      </c>
      <c r="Z26" s="39"/>
      <c r="AA26" s="39"/>
      <c r="AB26" s="30"/>
      <c r="AC26" s="31">
        <v>35</v>
      </c>
      <c r="AD26" s="39"/>
      <c r="AE26" s="39"/>
      <c r="AF26" s="30"/>
      <c r="AG26" s="31">
        <v>35</v>
      </c>
      <c r="AH26" s="39"/>
      <c r="AI26" s="39"/>
      <c r="AJ26" s="30"/>
      <c r="AK26" s="31">
        <v>35</v>
      </c>
      <c r="AL26" s="39"/>
      <c r="AM26" s="39"/>
      <c r="AN26" s="30"/>
      <c r="AO26" s="31">
        <v>35</v>
      </c>
      <c r="AP26" s="39"/>
      <c r="AQ26" s="39"/>
      <c r="AR26" s="30"/>
      <c r="AS26" s="31">
        <v>35</v>
      </c>
      <c r="AT26" s="39"/>
      <c r="AU26" s="39"/>
      <c r="AV26" s="30"/>
      <c r="AW26" s="31">
        <v>35</v>
      </c>
      <c r="AX26" s="39"/>
      <c r="AY26" s="39"/>
      <c r="AZ26" s="30"/>
      <c r="BA26" s="31">
        <v>35</v>
      </c>
      <c r="BB26" s="39"/>
      <c r="BC26" s="39"/>
      <c r="BD26" s="30"/>
      <c r="BE26" s="31">
        <v>35</v>
      </c>
      <c r="BF26" s="39"/>
      <c r="BG26" s="39"/>
      <c r="BH26" s="30"/>
      <c r="BI26" s="31">
        <v>35</v>
      </c>
      <c r="BJ26" s="39"/>
      <c r="BK26" s="39"/>
      <c r="BL26" s="30"/>
      <c r="BM26" s="31">
        <v>35</v>
      </c>
      <c r="BN26" s="39"/>
      <c r="BO26" s="39"/>
      <c r="BP26" s="30"/>
      <c r="BQ26" s="36"/>
      <c r="BR26" s="37"/>
      <c r="BS26" s="38"/>
    </row>
    <row r="27" spans="1:86" ht="51">
      <c r="A27">
        <v>14</v>
      </c>
      <c r="B27" s="41" t="s">
        <v>42</v>
      </c>
      <c r="C27" s="29" t="s">
        <v>43</v>
      </c>
      <c r="D27" s="30" t="s">
        <v>37</v>
      </c>
      <c r="E27" s="31" t="s">
        <v>39</v>
      </c>
      <c r="F27" s="39"/>
      <c r="G27" s="39"/>
      <c r="H27" s="40"/>
      <c r="I27" s="31" t="s">
        <v>39</v>
      </c>
      <c r="J27" s="39"/>
      <c r="K27" s="39"/>
      <c r="L27" s="30"/>
      <c r="M27" s="31" t="s">
        <v>39</v>
      </c>
      <c r="N27" s="39"/>
      <c r="O27" s="39"/>
      <c r="P27" s="30"/>
      <c r="Q27" s="31" t="s">
        <v>39</v>
      </c>
      <c r="R27" s="39"/>
      <c r="S27" s="39"/>
      <c r="T27" s="30"/>
      <c r="U27" s="31" t="s">
        <v>39</v>
      </c>
      <c r="V27" s="39"/>
      <c r="W27" s="39"/>
      <c r="X27" s="30"/>
      <c r="Y27" s="31" t="s">
        <v>39</v>
      </c>
      <c r="Z27" s="39"/>
      <c r="AA27" s="39"/>
      <c r="AB27" s="30"/>
      <c r="AC27" s="31" t="s">
        <v>39</v>
      </c>
      <c r="AD27" s="39"/>
      <c r="AE27" s="39"/>
      <c r="AF27" s="30"/>
      <c r="AG27" s="31" t="s">
        <v>39</v>
      </c>
      <c r="AH27" s="39"/>
      <c r="AI27" s="39"/>
      <c r="AJ27" s="30"/>
      <c r="AK27" s="31" t="s">
        <v>39</v>
      </c>
      <c r="AL27" s="39"/>
      <c r="AM27" s="39"/>
      <c r="AN27" s="30"/>
      <c r="AO27" s="31" t="s">
        <v>39</v>
      </c>
      <c r="AP27" s="39"/>
      <c r="AQ27" s="39"/>
      <c r="AR27" s="30"/>
      <c r="AS27" s="31" t="s">
        <v>39</v>
      </c>
      <c r="AT27" s="39"/>
      <c r="AU27" s="39"/>
      <c r="AV27" s="30"/>
      <c r="AW27" s="31" t="s">
        <v>39</v>
      </c>
      <c r="AX27" s="39"/>
      <c r="AY27" s="39"/>
      <c r="AZ27" s="30"/>
      <c r="BA27" s="31" t="s">
        <v>39</v>
      </c>
      <c r="BB27" s="39"/>
      <c r="BC27" s="39"/>
      <c r="BD27" s="30"/>
      <c r="BE27" s="31" t="s">
        <v>39</v>
      </c>
      <c r="BF27" s="39"/>
      <c r="BG27" s="39"/>
      <c r="BH27" s="30"/>
      <c r="BI27" s="31" t="s">
        <v>39</v>
      </c>
      <c r="BJ27" s="39"/>
      <c r="BK27" s="39"/>
      <c r="BL27" s="30"/>
      <c r="BM27" s="31" t="s">
        <v>39</v>
      </c>
      <c r="BN27" s="39"/>
      <c r="BO27" s="39"/>
      <c r="BP27" s="30"/>
      <c r="BQ27" s="36"/>
      <c r="BR27" s="37"/>
      <c r="BS27" s="38"/>
    </row>
    <row r="28" spans="1:86" ht="25.5">
      <c r="A28">
        <v>15</v>
      </c>
      <c r="B28" s="41" t="s">
        <v>44</v>
      </c>
      <c r="C28" s="29" t="s">
        <v>45</v>
      </c>
      <c r="D28" s="30"/>
      <c r="E28" s="31">
        <v>150</v>
      </c>
      <c r="F28" s="39"/>
      <c r="G28" s="39"/>
      <c r="H28" s="40"/>
      <c r="I28" s="31">
        <v>0</v>
      </c>
      <c r="J28" s="39"/>
      <c r="K28" s="39"/>
      <c r="L28" s="30"/>
      <c r="M28" s="31">
        <v>0</v>
      </c>
      <c r="N28" s="39"/>
      <c r="O28" s="39"/>
      <c r="P28" s="30"/>
      <c r="Q28" s="31">
        <v>150</v>
      </c>
      <c r="R28" s="39"/>
      <c r="S28" s="39"/>
      <c r="T28" s="30"/>
      <c r="U28" s="31">
        <v>150</v>
      </c>
      <c r="V28" s="39"/>
      <c r="W28" s="39"/>
      <c r="X28" s="30"/>
      <c r="Y28" s="31">
        <v>0</v>
      </c>
      <c r="Z28" s="39"/>
      <c r="AA28" s="39"/>
      <c r="AB28" s="30"/>
      <c r="AC28" s="31">
        <v>0</v>
      </c>
      <c r="AD28" s="39"/>
      <c r="AE28" s="39"/>
      <c r="AF28" s="30"/>
      <c r="AG28" s="31">
        <v>0</v>
      </c>
      <c r="AH28" s="39"/>
      <c r="AI28" s="39"/>
      <c r="AJ28" s="30"/>
      <c r="AK28" s="31">
        <v>0</v>
      </c>
      <c r="AL28" s="39"/>
      <c r="AM28" s="39"/>
      <c r="AN28" s="30"/>
      <c r="AO28" s="31">
        <v>150</v>
      </c>
      <c r="AP28" s="39"/>
      <c r="AQ28" s="39"/>
      <c r="AR28" s="30"/>
      <c r="AS28" s="31">
        <v>150</v>
      </c>
      <c r="AT28" s="39"/>
      <c r="AU28" s="39"/>
      <c r="AV28" s="30"/>
      <c r="AW28" s="31">
        <v>0</v>
      </c>
      <c r="AX28" s="39"/>
      <c r="AY28" s="39"/>
      <c r="AZ28" s="30"/>
      <c r="BA28" s="31">
        <v>0</v>
      </c>
      <c r="BB28" s="39"/>
      <c r="BC28" s="39"/>
      <c r="BD28" s="30"/>
      <c r="BE28" s="31">
        <v>150</v>
      </c>
      <c r="BF28" s="39"/>
      <c r="BG28" s="39"/>
      <c r="BH28" s="30"/>
      <c r="BI28" s="31">
        <v>0</v>
      </c>
      <c r="BJ28" s="39"/>
      <c r="BK28" s="39"/>
      <c r="BL28" s="30"/>
      <c r="BM28" s="31">
        <v>0</v>
      </c>
      <c r="BN28" s="39"/>
      <c r="BO28" s="39"/>
      <c r="BP28" s="30"/>
      <c r="BQ28" s="36"/>
      <c r="BR28" s="37"/>
      <c r="BS28" s="38"/>
    </row>
    <row r="29" spans="1:86" ht="38.25">
      <c r="A29">
        <v>16</v>
      </c>
      <c r="B29" s="41" t="s">
        <v>46</v>
      </c>
      <c r="C29" s="29" t="s">
        <v>47</v>
      </c>
      <c r="D29" s="30"/>
      <c r="E29" s="42">
        <f>+$I$12</f>
        <v>0.12600010173330781</v>
      </c>
      <c r="F29" s="36"/>
      <c r="G29" s="36"/>
      <c r="H29" s="43"/>
      <c r="I29" s="42">
        <f>+$I$12</f>
        <v>0.12600010173330781</v>
      </c>
      <c r="J29" s="39"/>
      <c r="K29" s="39"/>
      <c r="L29" s="30"/>
      <c r="M29" s="42">
        <f>+$I$12</f>
        <v>0.12600010173330781</v>
      </c>
      <c r="N29" s="39"/>
      <c r="O29" s="39"/>
      <c r="P29" s="30"/>
      <c r="Q29" s="42">
        <f>+$I$12</f>
        <v>0.12600010173330781</v>
      </c>
      <c r="R29" s="39"/>
      <c r="S29" s="39"/>
      <c r="T29" s="30"/>
      <c r="U29" s="42">
        <f>+$I$12</f>
        <v>0.12600010173330781</v>
      </c>
      <c r="V29" s="39"/>
      <c r="W29" s="39"/>
      <c r="X29" s="30"/>
      <c r="Y29" s="42">
        <f>+$I$12</f>
        <v>0.12600010173330781</v>
      </c>
      <c r="Z29" s="39"/>
      <c r="AA29" s="39"/>
      <c r="AB29" s="30"/>
      <c r="AC29" s="42">
        <f>+$I$12</f>
        <v>0.12600010173330781</v>
      </c>
      <c r="AD29" s="39"/>
      <c r="AE29" s="39"/>
      <c r="AF29" s="30"/>
      <c r="AG29" s="42">
        <f>+$I$12</f>
        <v>0.12600010173330781</v>
      </c>
      <c r="AH29" s="39"/>
      <c r="AI29" s="39"/>
      <c r="AJ29" s="30"/>
      <c r="AK29" s="42">
        <f>+$I$12</f>
        <v>0.12600010173330781</v>
      </c>
      <c r="AL29" s="39"/>
      <c r="AM29" s="39"/>
      <c r="AN29" s="30"/>
      <c r="AO29" s="42">
        <f>+$I$12</f>
        <v>0.12600010173330781</v>
      </c>
      <c r="AP29" s="39"/>
      <c r="AQ29" s="39"/>
      <c r="AR29" s="30"/>
      <c r="AS29" s="42">
        <f>+$I$12</f>
        <v>0.12600010173330781</v>
      </c>
      <c r="AT29" s="39"/>
      <c r="AU29" s="39"/>
      <c r="AV29" s="30"/>
      <c r="AW29" s="42">
        <f>+$I$12</f>
        <v>0.12600010173330781</v>
      </c>
      <c r="AX29" s="39"/>
      <c r="AY29" s="39"/>
      <c r="AZ29" s="30"/>
      <c r="BA29" s="42">
        <f>+$I$12</f>
        <v>0.12600010173330781</v>
      </c>
      <c r="BB29" s="39"/>
      <c r="BC29" s="39"/>
      <c r="BD29" s="30"/>
      <c r="BE29" s="42">
        <f>+$I$12</f>
        <v>0.12600010173330781</v>
      </c>
      <c r="BF29" s="39"/>
      <c r="BG29" s="39"/>
      <c r="BH29" s="30"/>
      <c r="BI29" s="42">
        <f>+$I$12</f>
        <v>0.12600010173330781</v>
      </c>
      <c r="BJ29" s="39"/>
      <c r="BK29" s="39"/>
      <c r="BL29" s="30"/>
      <c r="BM29" s="42">
        <f>+$I$12</f>
        <v>0.12600010173330781</v>
      </c>
      <c r="BN29" s="39"/>
      <c r="BO29" s="39"/>
      <c r="BP29" s="30"/>
      <c r="BQ29" s="36"/>
      <c r="BR29" s="37"/>
      <c r="BS29" s="38"/>
    </row>
    <row r="30" spans="1:86" ht="25.5">
      <c r="A30">
        <v>17</v>
      </c>
      <c r="B30" s="44" t="s">
        <v>48</v>
      </c>
      <c r="C30" s="29" t="s">
        <v>49</v>
      </c>
      <c r="D30" s="45"/>
      <c r="E30" s="46">
        <f>+$I14*E28/100+E29</f>
        <v>0.1337851343411019</v>
      </c>
      <c r="F30" s="47"/>
      <c r="G30" s="47"/>
      <c r="H30" s="48"/>
      <c r="I30" s="46">
        <f>+$I14*I28/100+I29</f>
        <v>0.12600010173330781</v>
      </c>
      <c r="J30" s="36"/>
      <c r="K30" s="36"/>
      <c r="L30" s="38"/>
      <c r="M30" s="46">
        <f>+$I14*M28/100+M29</f>
        <v>0.12600010173330781</v>
      </c>
      <c r="N30" s="36"/>
      <c r="O30" s="36"/>
      <c r="P30" s="38"/>
      <c r="Q30" s="46">
        <f>+$I14*Q28/100+Q29</f>
        <v>0.1337851343411019</v>
      </c>
      <c r="R30" s="36"/>
      <c r="S30" s="36"/>
      <c r="T30" s="38"/>
      <c r="U30" s="46">
        <f>+$I14*U28/100+U29</f>
        <v>0.1337851343411019</v>
      </c>
      <c r="V30" s="36"/>
      <c r="W30" s="36"/>
      <c r="X30" s="38"/>
      <c r="Y30" s="46">
        <f>+$I14*Y28/100+Y29</f>
        <v>0.12600010173330781</v>
      </c>
      <c r="Z30" s="36"/>
      <c r="AA30" s="36"/>
      <c r="AB30" s="38"/>
      <c r="AC30" s="46">
        <f>+$I14*AC28/100+AC29</f>
        <v>0.12600010173330781</v>
      </c>
      <c r="AD30" s="36"/>
      <c r="AE30" s="36"/>
      <c r="AF30" s="38"/>
      <c r="AG30" s="46">
        <f>+$I14*AG28/100+AG29</f>
        <v>0.12600010173330781</v>
      </c>
      <c r="AH30" s="36"/>
      <c r="AI30" s="36"/>
      <c r="AJ30" s="38"/>
      <c r="AK30" s="46">
        <f>+$I14*AK28/100+AK29</f>
        <v>0.12600010173330781</v>
      </c>
      <c r="AL30" s="36"/>
      <c r="AM30" s="36"/>
      <c r="AN30" s="38"/>
      <c r="AO30" s="46">
        <f>+$I14*AO28/100+AO29</f>
        <v>0.1337851343411019</v>
      </c>
      <c r="AP30" s="36"/>
      <c r="AQ30" s="36"/>
      <c r="AR30" s="38"/>
      <c r="AS30" s="46">
        <f>+$I14*AS28/100+AS29</f>
        <v>0.1337851343411019</v>
      </c>
      <c r="AT30" s="36"/>
      <c r="AU30" s="36"/>
      <c r="AV30" s="38"/>
      <c r="AW30" s="46">
        <f>+$I14*AW28/100+AW29</f>
        <v>0.12600010173330781</v>
      </c>
      <c r="AX30" s="36"/>
      <c r="AY30" s="36"/>
      <c r="AZ30" s="38"/>
      <c r="BA30" s="46">
        <f>+$I14*BA28/100+BA29</f>
        <v>0.12600010173330781</v>
      </c>
      <c r="BB30" s="36"/>
      <c r="BC30" s="36"/>
      <c r="BD30" s="38"/>
      <c r="BE30" s="46">
        <f>+$I14*BE28/100+BE29</f>
        <v>0.1337851343411019</v>
      </c>
      <c r="BF30" s="36"/>
      <c r="BG30" s="36"/>
      <c r="BH30" s="38"/>
      <c r="BI30" s="46">
        <f>+$I14*BI28/100+BI29</f>
        <v>0.12600010173330781</v>
      </c>
      <c r="BJ30" s="36"/>
      <c r="BK30" s="36"/>
      <c r="BL30" s="38"/>
      <c r="BM30" s="46">
        <f>+$I14*BM28/100+BM29</f>
        <v>0.12600010173330781</v>
      </c>
      <c r="BN30" s="36"/>
      <c r="BO30" s="36"/>
      <c r="BP30" s="38"/>
      <c r="BQ30" s="36"/>
      <c r="BR30" s="37"/>
      <c r="BS30" s="38"/>
    </row>
    <row r="31" spans="1:86" ht="26.25">
      <c r="A31">
        <v>18</v>
      </c>
      <c r="B31" s="49" t="s">
        <v>50</v>
      </c>
      <c r="C31" s="29" t="s">
        <v>51</v>
      </c>
      <c r="D31" s="30"/>
      <c r="E31" s="50">
        <v>33558380</v>
      </c>
      <c r="F31" s="51"/>
      <c r="G31" s="51"/>
      <c r="H31" s="43"/>
      <c r="I31" s="52">
        <v>6986903</v>
      </c>
      <c r="J31" s="53"/>
      <c r="K31" s="53"/>
      <c r="L31" s="54"/>
      <c r="M31" s="52">
        <v>5013166</v>
      </c>
      <c r="N31" s="53"/>
      <c r="O31" s="53"/>
      <c r="P31" s="54"/>
      <c r="Q31" s="52">
        <f>36700000</f>
        <v>36700000</v>
      </c>
      <c r="R31" s="53"/>
      <c r="S31" s="53"/>
      <c r="T31" s="54"/>
      <c r="U31" s="52">
        <f>20000000</f>
        <v>20000000</v>
      </c>
      <c r="V31" s="53"/>
      <c r="W31" s="53"/>
      <c r="X31" s="54"/>
      <c r="Y31" s="52">
        <f>2000000</f>
        <v>2000000</v>
      </c>
      <c r="Z31" s="53"/>
      <c r="AA31" s="53"/>
      <c r="AB31" s="54"/>
      <c r="AC31" s="52">
        <f>2000000</f>
        <v>2000000</v>
      </c>
      <c r="AD31" s="53"/>
      <c r="AE31" s="53"/>
      <c r="AF31" s="54"/>
      <c r="AG31" s="52">
        <f>2000000</f>
        <v>2000000</v>
      </c>
      <c r="AH31" s="53"/>
      <c r="AI31" s="53"/>
      <c r="AJ31" s="54"/>
      <c r="AK31" s="52">
        <f>2000000</f>
        <v>2000000</v>
      </c>
      <c r="AL31" s="53"/>
      <c r="AM31" s="53"/>
      <c r="AN31" s="54"/>
      <c r="AO31" s="52">
        <v>15875382</v>
      </c>
      <c r="AP31" s="53"/>
      <c r="AQ31" s="53"/>
      <c r="AR31" s="54"/>
      <c r="AS31" s="52">
        <v>29544357</v>
      </c>
      <c r="AT31" s="53"/>
      <c r="AU31" s="53"/>
      <c r="AV31" s="54"/>
      <c r="AW31" s="52">
        <v>58581170</v>
      </c>
      <c r="AX31" s="53"/>
      <c r="AY31" s="53"/>
      <c r="AZ31" s="54"/>
      <c r="BA31" s="52">
        <v>5226954</v>
      </c>
      <c r="BB31" s="53"/>
      <c r="BC31" s="53"/>
      <c r="BD31" s="54"/>
      <c r="BE31" s="52">
        <v>19021804</v>
      </c>
      <c r="BF31" s="53"/>
      <c r="BG31" s="53"/>
      <c r="BH31" s="54"/>
      <c r="BI31" s="52">
        <v>51852352.189999998</v>
      </c>
      <c r="BJ31" s="53"/>
      <c r="BK31" s="53"/>
      <c r="BL31" s="54"/>
      <c r="BM31" s="52">
        <v>8623505</v>
      </c>
      <c r="BN31" s="53"/>
      <c r="BO31" s="53"/>
      <c r="BP31" s="54"/>
      <c r="BQ31" s="36"/>
      <c r="BR31" s="37"/>
      <c r="BS31" s="38"/>
    </row>
    <row r="32" spans="1:86" ht="27.75" customHeight="1">
      <c r="A32">
        <v>19</v>
      </c>
      <c r="B32" s="55" t="s">
        <v>52</v>
      </c>
      <c r="C32" s="1234" t="s">
        <v>53</v>
      </c>
      <c r="D32" s="1183"/>
      <c r="E32" s="56">
        <f>IF(E31=0,0,E31/E26)</f>
        <v>958810.85714285716</v>
      </c>
      <c r="F32" s="51"/>
      <c r="G32" s="51"/>
      <c r="H32" s="43"/>
      <c r="I32" s="57">
        <f>IF(I26=0,0,I31/I26)</f>
        <v>199625.8</v>
      </c>
      <c r="J32" s="53"/>
      <c r="K32" s="53"/>
      <c r="L32" s="54"/>
      <c r="M32" s="57">
        <f>IF(M31=0,0,M31/M26)</f>
        <v>143233.3142857143</v>
      </c>
      <c r="N32" s="53"/>
      <c r="O32" s="53"/>
      <c r="P32" s="54"/>
      <c r="Q32" s="57">
        <f>IF(Q31=0,0,Q31/Q26)</f>
        <v>1048571.4285714285</v>
      </c>
      <c r="R32" s="53"/>
      <c r="S32" s="53"/>
      <c r="T32" s="54"/>
      <c r="U32" s="57">
        <f>IF(U31=0,0,U31/U26)</f>
        <v>571428.57142857148</v>
      </c>
      <c r="V32" s="53"/>
      <c r="W32" s="53"/>
      <c r="X32" s="54"/>
      <c r="Y32" s="57">
        <f>IF(Y31=0,0,Y31/Y26)</f>
        <v>57142.857142857145</v>
      </c>
      <c r="Z32" s="53"/>
      <c r="AA32" s="53"/>
      <c r="AB32" s="54"/>
      <c r="AC32" s="57">
        <f>IF(AC31=0,0,AC31/AC26)</f>
        <v>57142.857142857145</v>
      </c>
      <c r="AD32" s="53"/>
      <c r="AE32" s="53"/>
      <c r="AF32" s="54"/>
      <c r="AG32" s="57">
        <f>IF(AG31=0,0,AG31/AG26)</f>
        <v>57142.857142857145</v>
      </c>
      <c r="AH32" s="53"/>
      <c r="AI32" s="53"/>
      <c r="AJ32" s="54"/>
      <c r="AK32" s="57">
        <f>IF(AK31=0,0,AK31/AK26)</f>
        <v>57142.857142857145</v>
      </c>
      <c r="AL32" s="53"/>
      <c r="AM32" s="53"/>
      <c r="AN32" s="54"/>
      <c r="AO32" s="57">
        <f>IF(AO31=0,0,AO31/AO26)</f>
        <v>453582.34285714285</v>
      </c>
      <c r="AP32" s="53"/>
      <c r="AQ32" s="53"/>
      <c r="AR32" s="54"/>
      <c r="AS32" s="57">
        <f>IF(AS31=0,0,AS31/AS26)</f>
        <v>844124.48571428575</v>
      </c>
      <c r="AT32" s="53"/>
      <c r="AU32" s="53"/>
      <c r="AV32" s="54"/>
      <c r="AW32" s="57">
        <f>IF(AW31=0,0,AW31/AW26)</f>
        <v>1673747.7142857143</v>
      </c>
      <c r="AX32" s="53"/>
      <c r="AY32" s="53"/>
      <c r="AZ32" s="54"/>
      <c r="BA32" s="57">
        <f>IF(BA31=0,0,BA31/BA26)</f>
        <v>149341.54285714286</v>
      </c>
      <c r="BB32" s="53"/>
      <c r="BC32" s="53"/>
      <c r="BD32" s="54"/>
      <c r="BE32" s="57">
        <f>IF(BE31=0,0,BE31/BE26)</f>
        <v>543480.11428571434</v>
      </c>
      <c r="BF32" s="53"/>
      <c r="BG32" s="53"/>
      <c r="BH32" s="54"/>
      <c r="BI32" s="57">
        <f>IF(BI31=0,0,BI31/BI26)</f>
        <v>1481495.7768571428</v>
      </c>
      <c r="BJ32" s="53"/>
      <c r="BK32" s="53"/>
      <c r="BL32" s="54"/>
      <c r="BM32" s="57">
        <f>IF(BM31=0,0,BM31/BM26)</f>
        <v>246385.85714285713</v>
      </c>
      <c r="BN32" s="53"/>
      <c r="BO32" s="53"/>
      <c r="BP32" s="54"/>
      <c r="BQ32" s="36"/>
      <c r="BR32" s="37"/>
      <c r="BS32" s="38"/>
    </row>
    <row r="33" spans="1:78" s="5" customFormat="1" ht="27" customHeight="1">
      <c r="A33" s="5">
        <f>+A32+1</f>
        <v>20</v>
      </c>
      <c r="B33" s="44" t="s">
        <v>54</v>
      </c>
      <c r="C33" s="1229" t="s">
        <v>55</v>
      </c>
      <c r="D33" s="1230"/>
      <c r="E33" s="58">
        <v>6.5</v>
      </c>
      <c r="F33" s="59"/>
      <c r="G33" s="59"/>
      <c r="H33" s="60"/>
      <c r="I33" s="61">
        <v>5.5</v>
      </c>
      <c r="J33" s="62"/>
      <c r="K33" s="62"/>
      <c r="L33" s="63"/>
      <c r="M33" s="61">
        <v>5.5</v>
      </c>
      <c r="N33" s="64"/>
      <c r="O33" s="64"/>
      <c r="P33" s="65"/>
      <c r="Q33" s="61">
        <v>8</v>
      </c>
      <c r="R33" s="64"/>
      <c r="S33" s="64"/>
      <c r="T33" s="65"/>
      <c r="U33" s="61">
        <v>8</v>
      </c>
      <c r="V33" s="64"/>
      <c r="W33" s="64"/>
      <c r="X33" s="65"/>
      <c r="Y33" s="61">
        <v>8</v>
      </c>
      <c r="Z33" s="64"/>
      <c r="AA33" s="64"/>
      <c r="AB33" s="65"/>
      <c r="AC33" s="61">
        <v>8</v>
      </c>
      <c r="AD33" s="64"/>
      <c r="AE33" s="64"/>
      <c r="AF33" s="65"/>
      <c r="AG33" s="61">
        <v>8</v>
      </c>
      <c r="AH33" s="64"/>
      <c r="AI33" s="64"/>
      <c r="AJ33" s="65"/>
      <c r="AK33" s="61">
        <v>12</v>
      </c>
      <c r="AL33" s="64"/>
      <c r="AM33" s="64"/>
      <c r="AN33" s="65"/>
      <c r="AO33" s="61">
        <v>6</v>
      </c>
      <c r="AP33" s="64"/>
      <c r="AQ33" s="64"/>
      <c r="AR33" s="65"/>
      <c r="AS33" s="61">
        <v>6</v>
      </c>
      <c r="AT33" s="64"/>
      <c r="AU33" s="64"/>
      <c r="AV33" s="65"/>
      <c r="AW33" s="61">
        <v>6</v>
      </c>
      <c r="AX33" s="64"/>
      <c r="AY33" s="64"/>
      <c r="AZ33" s="65"/>
      <c r="BA33" s="61">
        <v>6</v>
      </c>
      <c r="BB33" s="64"/>
      <c r="BC33" s="64"/>
      <c r="BD33" s="65"/>
      <c r="BE33" s="61">
        <v>2</v>
      </c>
      <c r="BF33" s="64"/>
      <c r="BG33" s="64"/>
      <c r="BH33" s="65"/>
      <c r="BI33" s="61">
        <v>10</v>
      </c>
      <c r="BJ33" s="64"/>
      <c r="BK33" s="64"/>
      <c r="BL33" s="65"/>
      <c r="BM33" s="61">
        <v>2</v>
      </c>
      <c r="BN33" s="64"/>
      <c r="BO33" s="64"/>
      <c r="BP33" s="65"/>
      <c r="BQ33" s="66"/>
      <c r="BR33" s="29"/>
      <c r="BS33" s="67"/>
    </row>
    <row r="34" spans="1:78" ht="15.75" thickBot="1">
      <c r="C34" s="68"/>
      <c r="D34" s="69"/>
      <c r="E34" s="70"/>
      <c r="F34" s="71"/>
      <c r="G34" s="71"/>
      <c r="H34" s="72"/>
      <c r="I34" s="73"/>
      <c r="J34" s="74"/>
      <c r="K34" s="74"/>
      <c r="L34" s="75"/>
      <c r="M34" s="73"/>
      <c r="N34" s="74"/>
      <c r="O34" s="74"/>
      <c r="P34" s="75"/>
      <c r="Q34" s="73"/>
      <c r="R34" s="74"/>
      <c r="S34" s="74"/>
      <c r="T34" s="75"/>
      <c r="U34" s="73"/>
      <c r="V34" s="74"/>
      <c r="W34" s="74"/>
      <c r="X34" s="75"/>
      <c r="Y34" s="73"/>
      <c r="Z34" s="74"/>
      <c r="AA34" s="74"/>
      <c r="AB34" s="75"/>
      <c r="AC34" s="73"/>
      <c r="AD34" s="74"/>
      <c r="AE34" s="74"/>
      <c r="AF34" s="75"/>
      <c r="AG34" s="73"/>
      <c r="AH34" s="74"/>
      <c r="AI34" s="74"/>
      <c r="AJ34" s="75"/>
      <c r="AK34" s="73"/>
      <c r="AL34" s="74"/>
      <c r="AM34" s="74"/>
      <c r="AN34" s="75"/>
      <c r="AO34" s="73"/>
      <c r="AP34" s="74"/>
      <c r="AQ34" s="74"/>
      <c r="AR34" s="75"/>
      <c r="AS34" s="73"/>
      <c r="AT34" s="74"/>
      <c r="AU34" s="74"/>
      <c r="AV34" s="75"/>
      <c r="AW34" s="73"/>
      <c r="AX34" s="74"/>
      <c r="AY34" s="74"/>
      <c r="AZ34" s="75"/>
      <c r="BA34" s="73"/>
      <c r="BB34" s="74"/>
      <c r="BC34" s="74"/>
      <c r="BD34" s="75"/>
      <c r="BE34" s="73"/>
      <c r="BF34" s="74"/>
      <c r="BG34" s="74"/>
      <c r="BH34" s="75"/>
      <c r="BI34" s="73"/>
      <c r="BJ34" s="74"/>
      <c r="BK34" s="74"/>
      <c r="BL34" s="75"/>
      <c r="BM34" s="73"/>
      <c r="BN34" s="74"/>
      <c r="BO34" s="74"/>
      <c r="BP34" s="75"/>
      <c r="BQ34" s="76"/>
      <c r="BR34" s="68"/>
      <c r="BS34" s="77"/>
    </row>
    <row r="35" spans="1:78">
      <c r="C35" s="26"/>
      <c r="D35" s="78" t="s">
        <v>56</v>
      </c>
      <c r="E35" s="79" t="s">
        <v>57</v>
      </c>
      <c r="F35" s="79" t="s">
        <v>58</v>
      </c>
      <c r="G35" s="79" t="s">
        <v>59</v>
      </c>
      <c r="H35" s="80" t="s">
        <v>60</v>
      </c>
      <c r="I35" s="81" t="s">
        <v>57</v>
      </c>
      <c r="J35" s="79" t="s">
        <v>58</v>
      </c>
      <c r="K35" s="79" t="s">
        <v>59</v>
      </c>
      <c r="L35" s="80" t="s">
        <v>60</v>
      </c>
      <c r="M35" s="81" t="s">
        <v>57</v>
      </c>
      <c r="N35" s="79" t="s">
        <v>58</v>
      </c>
      <c r="O35" s="79" t="s">
        <v>59</v>
      </c>
      <c r="P35" s="80" t="s">
        <v>60</v>
      </c>
      <c r="Q35" s="81" t="s">
        <v>57</v>
      </c>
      <c r="R35" s="79" t="s">
        <v>58</v>
      </c>
      <c r="S35" s="79" t="s">
        <v>59</v>
      </c>
      <c r="T35" s="80" t="s">
        <v>60</v>
      </c>
      <c r="U35" s="81" t="s">
        <v>57</v>
      </c>
      <c r="V35" s="79" t="s">
        <v>58</v>
      </c>
      <c r="W35" s="79" t="s">
        <v>59</v>
      </c>
      <c r="X35" s="80" t="s">
        <v>60</v>
      </c>
      <c r="Y35" s="81" t="s">
        <v>57</v>
      </c>
      <c r="Z35" s="79" t="s">
        <v>58</v>
      </c>
      <c r="AA35" s="79" t="s">
        <v>59</v>
      </c>
      <c r="AB35" s="80" t="s">
        <v>60</v>
      </c>
      <c r="AC35" s="81" t="s">
        <v>57</v>
      </c>
      <c r="AD35" s="79" t="s">
        <v>58</v>
      </c>
      <c r="AE35" s="79" t="s">
        <v>59</v>
      </c>
      <c r="AF35" s="80" t="s">
        <v>60</v>
      </c>
      <c r="AG35" s="81" t="s">
        <v>57</v>
      </c>
      <c r="AH35" s="79" t="s">
        <v>58</v>
      </c>
      <c r="AI35" s="79" t="s">
        <v>59</v>
      </c>
      <c r="AJ35" s="80" t="s">
        <v>60</v>
      </c>
      <c r="AK35" s="81" t="s">
        <v>57</v>
      </c>
      <c r="AL35" s="79" t="s">
        <v>58</v>
      </c>
      <c r="AM35" s="79" t="s">
        <v>59</v>
      </c>
      <c r="AN35" s="80" t="s">
        <v>60</v>
      </c>
      <c r="AO35" s="81" t="s">
        <v>57</v>
      </c>
      <c r="AP35" s="79" t="s">
        <v>58</v>
      </c>
      <c r="AQ35" s="79" t="s">
        <v>59</v>
      </c>
      <c r="AR35" s="80" t="s">
        <v>60</v>
      </c>
      <c r="AS35" s="81" t="s">
        <v>57</v>
      </c>
      <c r="AT35" s="79" t="s">
        <v>58</v>
      </c>
      <c r="AU35" s="79" t="s">
        <v>59</v>
      </c>
      <c r="AV35" s="80" t="s">
        <v>60</v>
      </c>
      <c r="AW35" s="81" t="s">
        <v>57</v>
      </c>
      <c r="AX35" s="79" t="s">
        <v>58</v>
      </c>
      <c r="AY35" s="79" t="s">
        <v>59</v>
      </c>
      <c r="AZ35" s="80" t="s">
        <v>60</v>
      </c>
      <c r="BA35" s="81" t="s">
        <v>57</v>
      </c>
      <c r="BB35" s="79" t="s">
        <v>58</v>
      </c>
      <c r="BC35" s="79" t="s">
        <v>59</v>
      </c>
      <c r="BD35" s="80" t="s">
        <v>60</v>
      </c>
      <c r="BE35" s="81" t="s">
        <v>57</v>
      </c>
      <c r="BF35" s="79" t="s">
        <v>58</v>
      </c>
      <c r="BG35" s="79" t="s">
        <v>59</v>
      </c>
      <c r="BH35" s="80" t="s">
        <v>60</v>
      </c>
      <c r="BI35" s="81" t="s">
        <v>57</v>
      </c>
      <c r="BJ35" s="79" t="s">
        <v>58</v>
      </c>
      <c r="BK35" s="79" t="s">
        <v>59</v>
      </c>
      <c r="BL35" s="80" t="s">
        <v>60</v>
      </c>
      <c r="BM35" s="81" t="s">
        <v>57</v>
      </c>
      <c r="BN35" s="79" t="s">
        <v>58</v>
      </c>
      <c r="BO35" s="79" t="s">
        <v>59</v>
      </c>
      <c r="BP35" s="80" t="s">
        <v>60</v>
      </c>
      <c r="BQ35" s="82" t="s">
        <v>61</v>
      </c>
      <c r="BR35" s="83" t="s">
        <v>62</v>
      </c>
      <c r="BS35" s="84" t="s">
        <v>63</v>
      </c>
    </row>
    <row r="36" spans="1:78" ht="12.75" hidden="1" customHeight="1">
      <c r="A36">
        <f>+A33+1</f>
        <v>21</v>
      </c>
      <c r="C36" s="37" t="str">
        <f>+C29</f>
        <v>Base FCR</v>
      </c>
      <c r="D36" s="85">
        <v>2008</v>
      </c>
      <c r="E36" s="86"/>
      <c r="F36" s="51"/>
      <c r="G36" s="86">
        <v>0</v>
      </c>
      <c r="H36" s="43">
        <v>0</v>
      </c>
      <c r="I36" s="86"/>
      <c r="J36" s="53"/>
      <c r="K36" s="86">
        <v>0</v>
      </c>
      <c r="L36" s="54">
        <v>0</v>
      </c>
      <c r="M36" s="86"/>
      <c r="N36" s="53"/>
      <c r="O36" s="86">
        <v>0</v>
      </c>
      <c r="P36" s="54">
        <v>0</v>
      </c>
      <c r="Q36" s="86"/>
      <c r="R36" s="53"/>
      <c r="S36" s="86">
        <f t="shared" ref="S36:S75" si="0">+Q36-R36</f>
        <v>0</v>
      </c>
      <c r="T36" s="54">
        <f>+Q$29*S36*(13-Q33)/12+R36</f>
        <v>0</v>
      </c>
      <c r="U36" s="86"/>
      <c r="V36" s="53"/>
      <c r="W36" s="86">
        <f t="shared" ref="W36:W75" si="1">+U36-V36</f>
        <v>0</v>
      </c>
      <c r="X36" s="54">
        <f>+U$29*W36*(13-U33)/12+V36</f>
        <v>0</v>
      </c>
      <c r="Y36" s="86"/>
      <c r="Z36" s="53"/>
      <c r="AA36" s="86">
        <f>+Y36-Z36</f>
        <v>0</v>
      </c>
      <c r="AB36" s="54">
        <f>+Y$29*AA36*(13-Y33)/12+Z36</f>
        <v>0</v>
      </c>
      <c r="AC36" s="86"/>
      <c r="AD36" s="53"/>
      <c r="AE36" s="86">
        <f>+AC36-AD36</f>
        <v>0</v>
      </c>
      <c r="AF36" s="54">
        <f>+AC$29*AE36*(13-AC33)/12+AD36</f>
        <v>0</v>
      </c>
      <c r="AG36" s="86"/>
      <c r="AH36" s="53"/>
      <c r="AI36" s="86">
        <f>+AG36-AH36</f>
        <v>0</v>
      </c>
      <c r="AJ36" s="54">
        <f>+AG$29*AI36*(13-AG33)/12+AH36</f>
        <v>0</v>
      </c>
      <c r="AK36" s="86"/>
      <c r="AL36" s="53"/>
      <c r="AM36" s="86">
        <f>+AK36-AL36</f>
        <v>0</v>
      </c>
      <c r="AN36" s="54">
        <f>+AK$29*AM36*(13-AK33)/12+AL36</f>
        <v>0</v>
      </c>
      <c r="AO36" s="86"/>
      <c r="AP36" s="53"/>
      <c r="AQ36" s="86">
        <f t="shared" ref="AQ36:AQ37" si="2">+AO36-AP36</f>
        <v>0</v>
      </c>
      <c r="AR36" s="54">
        <f>+AO$29*AQ36*(13-AO33)/12+AP36</f>
        <v>0</v>
      </c>
      <c r="AS36" s="86"/>
      <c r="AT36" s="53"/>
      <c r="AU36" s="86">
        <f t="shared" ref="AU36:AU37" si="3">+AS36-AT36</f>
        <v>0</v>
      </c>
      <c r="AV36" s="54">
        <f>+AS$29*AU36*(13-AS33)/12+AT36</f>
        <v>0</v>
      </c>
      <c r="AW36" s="86"/>
      <c r="AX36" s="53"/>
      <c r="AY36" s="86">
        <f t="shared" ref="AY36:AY37" si="4">+AW36-AX36</f>
        <v>0</v>
      </c>
      <c r="AZ36" s="54">
        <f>+AW$29*AY36*(13-AW33)/12+AX36</f>
        <v>0</v>
      </c>
      <c r="BA36" s="86"/>
      <c r="BB36" s="53"/>
      <c r="BC36" s="86">
        <f t="shared" ref="BC36:BC37" si="5">+BA36-BB36</f>
        <v>0</v>
      </c>
      <c r="BD36" s="54">
        <f>+BA$29*BC36*(13-BA33)/12+BB36</f>
        <v>0</v>
      </c>
      <c r="BE36" s="86"/>
      <c r="BF36" s="53"/>
      <c r="BG36" s="86">
        <f t="shared" ref="BG36:BG37" si="6">+BE36-BF36</f>
        <v>0</v>
      </c>
      <c r="BH36" s="54">
        <f>+BE$29*BG36*(13-BE33)/12+BF36</f>
        <v>0</v>
      </c>
      <c r="BI36" s="86"/>
      <c r="BJ36" s="53"/>
      <c r="BK36" s="86">
        <f t="shared" ref="BK36:BK37" si="7">+BI36-BJ36</f>
        <v>0</v>
      </c>
      <c r="BL36" s="54">
        <f>+BI$29*BK36*(13-BI33)/12+BJ36</f>
        <v>0</v>
      </c>
      <c r="BM36" s="86"/>
      <c r="BN36" s="53"/>
      <c r="BO36" s="86">
        <f t="shared" ref="BO36:BO37" si="8">+BM36-BN36</f>
        <v>0</v>
      </c>
      <c r="BP36" s="54">
        <f>+BM$29*BO36*(13-BM33)/12+BN36</f>
        <v>0</v>
      </c>
      <c r="BQ36" s="87">
        <f t="shared" ref="BQ36:BQ41" si="9">H36+L36+P36+T36+X36+AB36+AF36+AJ36+AN36</f>
        <v>0</v>
      </c>
      <c r="BR36" s="36"/>
      <c r="BS36" s="88">
        <f>+BQ36</f>
        <v>0</v>
      </c>
      <c r="BU36" s="89"/>
      <c r="BV36" s="89"/>
      <c r="BW36" s="89"/>
    </row>
    <row r="37" spans="1:78" ht="12.75" hidden="1" customHeight="1">
      <c r="A37">
        <f t="shared" ref="A37:A77" si="10">+A36+1</f>
        <v>22</v>
      </c>
      <c r="C37" s="37" t="s">
        <v>64</v>
      </c>
      <c r="D37" s="85">
        <v>2008</v>
      </c>
      <c r="E37" s="86">
        <v>0</v>
      </c>
      <c r="F37" s="51">
        <v>0</v>
      </c>
      <c r="G37" s="86">
        <v>0</v>
      </c>
      <c r="H37" s="43">
        <v>0</v>
      </c>
      <c r="I37" s="86"/>
      <c r="J37" s="53"/>
      <c r="K37" s="86">
        <v>0</v>
      </c>
      <c r="L37" s="54">
        <v>0</v>
      </c>
      <c r="M37" s="86"/>
      <c r="N37" s="53"/>
      <c r="O37" s="86">
        <v>0</v>
      </c>
      <c r="P37" s="54">
        <v>0</v>
      </c>
      <c r="Q37" s="86"/>
      <c r="R37" s="53"/>
      <c r="S37" s="86">
        <f t="shared" si="0"/>
        <v>0</v>
      </c>
      <c r="T37" s="54">
        <f>+Q$30*S37*(13-Q33)/12+R37</f>
        <v>0</v>
      </c>
      <c r="U37" s="86"/>
      <c r="V37" s="53"/>
      <c r="W37" s="86">
        <f t="shared" si="1"/>
        <v>0</v>
      </c>
      <c r="X37" s="54">
        <f>+U$30*W37*(13-U33)/12+V37</f>
        <v>0</v>
      </c>
      <c r="Y37" s="86"/>
      <c r="Z37" s="53"/>
      <c r="AA37" s="86">
        <f>+Y37-Z37</f>
        <v>0</v>
      </c>
      <c r="AB37" s="54">
        <f>+Y$30*AA37*(13-Y33)/12+Z37</f>
        <v>0</v>
      </c>
      <c r="AC37" s="86"/>
      <c r="AD37" s="53"/>
      <c r="AE37" s="86">
        <f>+AC37-AD37</f>
        <v>0</v>
      </c>
      <c r="AF37" s="54">
        <f>+AC$30*AE37*(13-AC33)/12+AD37</f>
        <v>0</v>
      </c>
      <c r="AG37" s="86"/>
      <c r="AH37" s="53"/>
      <c r="AI37" s="86">
        <f>+AG37-AH37</f>
        <v>0</v>
      </c>
      <c r="AJ37" s="54">
        <f>+AG$30*AI37*(13-AG33)/12+AH37</f>
        <v>0</v>
      </c>
      <c r="AK37" s="86"/>
      <c r="AL37" s="53"/>
      <c r="AM37" s="86">
        <f>+AK37-AL37</f>
        <v>0</v>
      </c>
      <c r="AN37" s="54">
        <f>+AK$30*AM37*(13-AK33)/12+AL37</f>
        <v>0</v>
      </c>
      <c r="AO37" s="86"/>
      <c r="AP37" s="53"/>
      <c r="AQ37" s="86">
        <f t="shared" si="2"/>
        <v>0</v>
      </c>
      <c r="AR37" s="54">
        <f>+AO$30*AQ37*(13-AO33)/12+AP37</f>
        <v>0</v>
      </c>
      <c r="AS37" s="86"/>
      <c r="AT37" s="53"/>
      <c r="AU37" s="86">
        <f t="shared" si="3"/>
        <v>0</v>
      </c>
      <c r="AV37" s="54">
        <f>+AS$30*AU37*(13-AS33)/12+AT37</f>
        <v>0</v>
      </c>
      <c r="AW37" s="86"/>
      <c r="AX37" s="53"/>
      <c r="AY37" s="86">
        <f t="shared" si="4"/>
        <v>0</v>
      </c>
      <c r="AZ37" s="54">
        <f>+AW$30*AY37*(13-AW33)/12+AX37</f>
        <v>0</v>
      </c>
      <c r="BA37" s="86"/>
      <c r="BB37" s="53"/>
      <c r="BC37" s="86">
        <f t="shared" si="5"/>
        <v>0</v>
      </c>
      <c r="BD37" s="54">
        <f>+BA$30*BC37*(13-BA33)/12+BB37</f>
        <v>0</v>
      </c>
      <c r="BE37" s="86"/>
      <c r="BF37" s="53"/>
      <c r="BG37" s="86">
        <f t="shared" si="6"/>
        <v>0</v>
      </c>
      <c r="BH37" s="54">
        <f>+BE$30*BG37*(13-BE33)/12+BF37</f>
        <v>0</v>
      </c>
      <c r="BI37" s="86"/>
      <c r="BJ37" s="53"/>
      <c r="BK37" s="86">
        <f t="shared" si="7"/>
        <v>0</v>
      </c>
      <c r="BL37" s="54">
        <f>+BI$30*BK37*(13-BI33)/12+BJ37</f>
        <v>0</v>
      </c>
      <c r="BM37" s="86"/>
      <c r="BN37" s="53"/>
      <c r="BO37" s="86">
        <f t="shared" si="8"/>
        <v>0</v>
      </c>
      <c r="BP37" s="54">
        <f>+BM$30*BO37*(13-BM33)/12+BN37</f>
        <v>0</v>
      </c>
      <c r="BQ37" s="87">
        <f t="shared" si="9"/>
        <v>0</v>
      </c>
      <c r="BR37" s="90">
        <f>+BQ37</f>
        <v>0</v>
      </c>
      <c r="BS37" s="38"/>
      <c r="BT37" s="89"/>
      <c r="BV37" s="91"/>
      <c r="BX37" s="91"/>
      <c r="BY37" s="92"/>
      <c r="BZ37" s="92"/>
    </row>
    <row r="38" spans="1:78" ht="12.75" hidden="1" customHeight="1">
      <c r="A38">
        <f t="shared" si="10"/>
        <v>23</v>
      </c>
      <c r="C38" s="37" t="str">
        <f t="shared" ref="C38:C75" si="11">+C36</f>
        <v>Base FCR</v>
      </c>
      <c r="D38" s="85">
        <f t="shared" ref="D38:D75" si="12">+D36+1</f>
        <v>2009</v>
      </c>
      <c r="E38" s="86">
        <v>33558380</v>
      </c>
      <c r="F38" s="51">
        <v>439454.97619047621</v>
      </c>
      <c r="G38" s="86">
        <v>33118925.023809522</v>
      </c>
      <c r="H38" s="43">
        <v>6938098.7052332927</v>
      </c>
      <c r="I38" s="86"/>
      <c r="J38" s="86"/>
      <c r="K38" s="86">
        <v>0</v>
      </c>
      <c r="L38" s="54">
        <v>0</v>
      </c>
      <c r="M38" s="86"/>
      <c r="N38" s="86"/>
      <c r="O38" s="86">
        <v>0</v>
      </c>
      <c r="P38" s="54">
        <v>0</v>
      </c>
      <c r="S38" s="86"/>
      <c r="T38" s="54"/>
      <c r="U38" s="86"/>
      <c r="V38" s="86"/>
      <c r="W38" s="86"/>
      <c r="X38" s="54"/>
      <c r="Y38" s="86"/>
      <c r="Z38" s="86"/>
      <c r="AA38" s="86"/>
      <c r="AB38" s="54"/>
      <c r="AC38" s="86"/>
      <c r="AD38" s="86"/>
      <c r="AE38" s="86"/>
      <c r="AF38" s="54"/>
      <c r="AG38" s="86"/>
      <c r="AH38" s="86"/>
      <c r="AI38" s="86"/>
      <c r="AJ38" s="54"/>
      <c r="AK38" s="86"/>
      <c r="AL38" s="86"/>
      <c r="AM38" s="86"/>
      <c r="AN38" s="54"/>
      <c r="AO38" s="86"/>
      <c r="AP38" s="86"/>
      <c r="AQ38" s="86"/>
      <c r="AR38" s="54"/>
      <c r="AS38" s="86"/>
      <c r="AT38" s="86"/>
      <c r="AU38" s="86"/>
      <c r="AV38" s="54"/>
      <c r="AW38" s="86"/>
      <c r="AX38" s="86"/>
      <c r="AY38" s="86"/>
      <c r="AZ38" s="54"/>
      <c r="BA38" s="86"/>
      <c r="BB38" s="86"/>
      <c r="BC38" s="86"/>
      <c r="BD38" s="54"/>
      <c r="BE38" s="86"/>
      <c r="BF38" s="86"/>
      <c r="BG38" s="86"/>
      <c r="BH38" s="54"/>
      <c r="BI38" s="86"/>
      <c r="BJ38" s="86"/>
      <c r="BK38" s="86"/>
      <c r="BL38" s="54"/>
      <c r="BM38" s="86"/>
      <c r="BN38" s="86"/>
      <c r="BO38" s="86"/>
      <c r="BP38" s="54"/>
      <c r="BQ38" s="87">
        <f t="shared" si="9"/>
        <v>6938098.7052332927</v>
      </c>
      <c r="BR38" s="36"/>
      <c r="BS38" s="88">
        <f>+BQ38</f>
        <v>6938098.7052332927</v>
      </c>
      <c r="BU38" s="89"/>
      <c r="BV38" s="91"/>
      <c r="BW38" s="89"/>
      <c r="BX38" s="91"/>
      <c r="BZ38" s="89"/>
    </row>
    <row r="39" spans="1:78" ht="12.75" hidden="1" customHeight="1">
      <c r="A39">
        <f t="shared" si="10"/>
        <v>24</v>
      </c>
      <c r="C39" s="37" t="str">
        <f t="shared" si="11"/>
        <v>W Increased ROE</v>
      </c>
      <c r="D39" s="85">
        <f t="shared" si="12"/>
        <v>2009</v>
      </c>
      <c r="E39" s="86">
        <v>33558380</v>
      </c>
      <c r="F39" s="51">
        <v>439454.97619047621</v>
      </c>
      <c r="G39" s="86">
        <v>33118925.023809522</v>
      </c>
      <c r="H39" s="43">
        <v>7293853.8785049953</v>
      </c>
      <c r="I39" s="86"/>
      <c r="J39" s="53"/>
      <c r="K39" s="86">
        <v>0</v>
      </c>
      <c r="L39" s="54">
        <v>0</v>
      </c>
      <c r="M39" s="86"/>
      <c r="N39" s="53"/>
      <c r="O39" s="86">
        <v>0</v>
      </c>
      <c r="P39" s="54">
        <v>0</v>
      </c>
      <c r="Q39" s="86"/>
      <c r="R39" s="53"/>
      <c r="S39" s="86"/>
      <c r="T39" s="54"/>
      <c r="U39" s="86"/>
      <c r="V39" s="53"/>
      <c r="W39" s="86"/>
      <c r="X39" s="54"/>
      <c r="Y39" s="86"/>
      <c r="Z39" s="53"/>
      <c r="AA39" s="86"/>
      <c r="AB39" s="54"/>
      <c r="AC39" s="86"/>
      <c r="AD39" s="53"/>
      <c r="AE39" s="86"/>
      <c r="AF39" s="54"/>
      <c r="AG39" s="86"/>
      <c r="AH39" s="53"/>
      <c r="AI39" s="86"/>
      <c r="AJ39" s="54"/>
      <c r="AK39" s="86"/>
      <c r="AL39" s="53"/>
      <c r="AM39" s="86"/>
      <c r="AN39" s="54"/>
      <c r="AO39" s="86"/>
      <c r="AP39" s="53"/>
      <c r="AQ39" s="86"/>
      <c r="AR39" s="54"/>
      <c r="AS39" s="86"/>
      <c r="AT39" s="53"/>
      <c r="AU39" s="86"/>
      <c r="AV39" s="54"/>
      <c r="AW39" s="86"/>
      <c r="AX39" s="53"/>
      <c r="AY39" s="86"/>
      <c r="AZ39" s="54"/>
      <c r="BA39" s="86"/>
      <c r="BB39" s="53"/>
      <c r="BC39" s="86"/>
      <c r="BD39" s="54"/>
      <c r="BE39" s="86"/>
      <c r="BF39" s="53"/>
      <c r="BG39" s="86"/>
      <c r="BH39" s="54"/>
      <c r="BI39" s="86"/>
      <c r="BJ39" s="53"/>
      <c r="BK39" s="86"/>
      <c r="BL39" s="54"/>
      <c r="BM39" s="86"/>
      <c r="BN39" s="53"/>
      <c r="BO39" s="86"/>
      <c r="BP39" s="54"/>
      <c r="BQ39" s="87">
        <f t="shared" si="9"/>
        <v>7293853.8785049953</v>
      </c>
      <c r="BR39" s="90">
        <f>+BQ39</f>
        <v>7293853.8785049953</v>
      </c>
      <c r="BS39" s="38"/>
      <c r="BT39" s="89"/>
      <c r="BV39" s="91"/>
      <c r="BX39" s="91"/>
      <c r="BY39" s="92"/>
      <c r="BZ39" s="92"/>
    </row>
    <row r="40" spans="1:78" ht="12.75" hidden="1" customHeight="1">
      <c r="A40">
        <f t="shared" si="10"/>
        <v>25</v>
      </c>
      <c r="C40" s="37" t="str">
        <f t="shared" si="11"/>
        <v>Base FCR</v>
      </c>
      <c r="D40" s="85">
        <f t="shared" si="12"/>
        <v>2010</v>
      </c>
      <c r="E40" s="86">
        <v>33118925.023809522</v>
      </c>
      <c r="F40" s="86">
        <v>958810.85714285716</v>
      </c>
      <c r="G40" s="86">
        <v>32160114.166666664</v>
      </c>
      <c r="H40" s="43">
        <v>7269315.3226186931</v>
      </c>
      <c r="I40" s="93">
        <v>6986903</v>
      </c>
      <c r="J40" s="53">
        <v>108130.64166666666</v>
      </c>
      <c r="K40" s="86">
        <v>6878772.3583333334</v>
      </c>
      <c r="L40" s="54">
        <v>1520492.0645806447</v>
      </c>
      <c r="M40" s="93">
        <v>5013166</v>
      </c>
      <c r="N40" s="53">
        <v>77584.711904761905</v>
      </c>
      <c r="O40" s="86">
        <v>4935581.2880952377</v>
      </c>
      <c r="P40" s="54">
        <v>1090966.7876347348</v>
      </c>
      <c r="Q40" s="93"/>
      <c r="R40" s="53"/>
      <c r="S40" s="86"/>
      <c r="T40" s="54"/>
      <c r="U40" s="93"/>
      <c r="V40" s="53"/>
      <c r="W40" s="86"/>
      <c r="X40" s="54"/>
      <c r="Y40" s="93"/>
      <c r="Z40" s="53"/>
      <c r="AA40" s="86"/>
      <c r="AB40" s="54"/>
      <c r="AC40" s="93"/>
      <c r="AD40" s="53"/>
      <c r="AE40" s="86"/>
      <c r="AF40" s="54"/>
      <c r="AG40" s="93"/>
      <c r="AH40" s="53"/>
      <c r="AI40" s="86"/>
      <c r="AJ40" s="54"/>
      <c r="AK40" s="93"/>
      <c r="AL40" s="53"/>
      <c r="AM40" s="86"/>
      <c r="AN40" s="54"/>
      <c r="AO40" s="93"/>
      <c r="AP40" s="53"/>
      <c r="AQ40" s="86"/>
      <c r="AR40" s="54"/>
      <c r="AS40" s="93"/>
      <c r="AT40" s="53"/>
      <c r="AU40" s="86"/>
      <c r="AV40" s="54"/>
      <c r="AW40" s="93"/>
      <c r="AX40" s="53"/>
      <c r="AY40" s="86"/>
      <c r="AZ40" s="54"/>
      <c r="BA40" s="93"/>
      <c r="BB40" s="53"/>
      <c r="BC40" s="86"/>
      <c r="BD40" s="54"/>
      <c r="BE40" s="93"/>
      <c r="BF40" s="53"/>
      <c r="BG40" s="86"/>
      <c r="BH40" s="54"/>
      <c r="BI40" s="93"/>
      <c r="BJ40" s="53"/>
      <c r="BK40" s="86"/>
      <c r="BL40" s="54"/>
      <c r="BM40" s="93"/>
      <c r="BN40" s="53"/>
      <c r="BO40" s="86"/>
      <c r="BP40" s="54"/>
      <c r="BQ40" s="87">
        <f t="shared" si="9"/>
        <v>9880774.1748340726</v>
      </c>
      <c r="BR40" s="36"/>
      <c r="BS40" s="88">
        <f>+BQ40</f>
        <v>9880774.1748340726</v>
      </c>
      <c r="BU40" s="89"/>
      <c r="BV40" s="91"/>
      <c r="BW40" s="89"/>
      <c r="BX40" s="91"/>
    </row>
    <row r="41" spans="1:78" ht="12.75" hidden="1" customHeight="1">
      <c r="A41">
        <f t="shared" si="10"/>
        <v>26</v>
      </c>
      <c r="C41" s="37" t="str">
        <f t="shared" si="11"/>
        <v>W Increased ROE</v>
      </c>
      <c r="D41" s="85">
        <f t="shared" si="12"/>
        <v>2010</v>
      </c>
      <c r="E41" s="86">
        <v>33118925.023809522</v>
      </c>
      <c r="F41" s="86">
        <v>958810.85714285716</v>
      </c>
      <c r="G41" s="86">
        <v>32160114.166666664</v>
      </c>
      <c r="H41" s="43">
        <v>7614771.1905122027</v>
      </c>
      <c r="I41" s="93">
        <v>6986903</v>
      </c>
      <c r="J41" s="86">
        <v>108130.64166666666</v>
      </c>
      <c r="K41" s="86">
        <v>6878772.3583333334</v>
      </c>
      <c r="L41" s="54">
        <v>1520492.0645806447</v>
      </c>
      <c r="M41" s="93">
        <v>5013166</v>
      </c>
      <c r="N41" s="86">
        <v>77584.711904761905</v>
      </c>
      <c r="O41" s="86">
        <v>4935581.2880952377</v>
      </c>
      <c r="P41" s="54">
        <v>1090966.7876347348</v>
      </c>
      <c r="Q41" s="93"/>
      <c r="R41" s="86"/>
      <c r="S41" s="86"/>
      <c r="T41" s="54"/>
      <c r="U41" s="93"/>
      <c r="V41" s="86"/>
      <c r="W41" s="86"/>
      <c r="X41" s="54"/>
      <c r="Y41" s="93"/>
      <c r="Z41" s="86"/>
      <c r="AA41" s="86"/>
      <c r="AB41" s="54"/>
      <c r="AC41" s="93"/>
      <c r="AD41" s="86"/>
      <c r="AE41" s="86"/>
      <c r="AF41" s="54"/>
      <c r="AG41" s="93"/>
      <c r="AH41" s="86"/>
      <c r="AI41" s="86"/>
      <c r="AJ41" s="54"/>
      <c r="AK41" s="93"/>
      <c r="AL41" s="86"/>
      <c r="AM41" s="86"/>
      <c r="AN41" s="54"/>
      <c r="AO41" s="93"/>
      <c r="AP41" s="86"/>
      <c r="AQ41" s="86"/>
      <c r="AR41" s="54"/>
      <c r="AS41" s="93"/>
      <c r="AT41" s="86"/>
      <c r="AU41" s="86"/>
      <c r="AV41" s="54"/>
      <c r="AW41" s="93"/>
      <c r="AX41" s="86"/>
      <c r="AY41" s="86"/>
      <c r="AZ41" s="54"/>
      <c r="BA41" s="93"/>
      <c r="BB41" s="86"/>
      <c r="BC41" s="86"/>
      <c r="BD41" s="54"/>
      <c r="BE41" s="93"/>
      <c r="BF41" s="86"/>
      <c r="BG41" s="86"/>
      <c r="BH41" s="54"/>
      <c r="BI41" s="93"/>
      <c r="BJ41" s="86"/>
      <c r="BK41" s="86"/>
      <c r="BL41" s="54"/>
      <c r="BM41" s="93"/>
      <c r="BN41" s="86"/>
      <c r="BO41" s="86"/>
      <c r="BP41" s="54"/>
      <c r="BQ41" s="87">
        <f t="shared" si="9"/>
        <v>10226230.042727582</v>
      </c>
      <c r="BR41" s="90">
        <f>+BQ41</f>
        <v>10226230.042727582</v>
      </c>
      <c r="BS41" s="38"/>
      <c r="BT41" s="89"/>
      <c r="BV41" s="91"/>
      <c r="BX41" s="91"/>
      <c r="BY41" s="92"/>
    </row>
    <row r="42" spans="1:78" hidden="1">
      <c r="A42">
        <f t="shared" si="10"/>
        <v>27</v>
      </c>
      <c r="C42" s="37" t="str">
        <f t="shared" si="11"/>
        <v>Base FCR</v>
      </c>
      <c r="D42" s="85">
        <f t="shared" si="12"/>
        <v>2011</v>
      </c>
      <c r="E42" s="86">
        <v>32160114.166666664</v>
      </c>
      <c r="F42" s="86">
        <v>958810.85714285716</v>
      </c>
      <c r="G42" s="86">
        <v>31201303.309523806</v>
      </c>
      <c r="H42" s="43">
        <v>7479577.2284321627</v>
      </c>
      <c r="I42" s="93">
        <v>6878772.3583333334</v>
      </c>
      <c r="J42" s="86">
        <v>199625.8</v>
      </c>
      <c r="K42" s="86">
        <v>6679146.5583333336</v>
      </c>
      <c r="L42" s="54">
        <v>1595501.9220464355</v>
      </c>
      <c r="M42" s="93">
        <v>4935581.2880952377</v>
      </c>
      <c r="N42" s="86">
        <v>143233.3142857143</v>
      </c>
      <c r="O42" s="86">
        <v>4792347.9738095235</v>
      </c>
      <c r="P42" s="54">
        <v>1144787.0377673542</v>
      </c>
      <c r="Q42" s="86">
        <v>36700000</v>
      </c>
      <c r="R42" s="53">
        <v>349523.80952380953</v>
      </c>
      <c r="S42" s="86">
        <v>36350476.190476194</v>
      </c>
      <c r="T42" s="54">
        <v>3514895.8931270503</v>
      </c>
      <c r="U42" s="86">
        <v>20000000</v>
      </c>
      <c r="V42" s="53">
        <v>190476.1904761905</v>
      </c>
      <c r="W42" s="86">
        <v>19809523.80952381</v>
      </c>
      <c r="X42" s="54">
        <v>1915474.6011591554</v>
      </c>
      <c r="Y42" s="86">
        <v>2000000</v>
      </c>
      <c r="Z42" s="53">
        <v>19047.61904761905</v>
      </c>
      <c r="AA42" s="86">
        <v>1980952.3809523811</v>
      </c>
      <c r="AB42" s="54">
        <v>191547.46011591554</v>
      </c>
      <c r="AC42" s="86">
        <v>2000000</v>
      </c>
      <c r="AD42" s="53">
        <v>19047.61904761905</v>
      </c>
      <c r="AE42" s="86">
        <v>1980952.3809523811</v>
      </c>
      <c r="AF42" s="54">
        <v>191547.46011591554</v>
      </c>
      <c r="AG42" s="86">
        <v>2000000</v>
      </c>
      <c r="AH42" s="53">
        <v>19047.61904761905</v>
      </c>
      <c r="AI42" s="86">
        <v>1980952.3809523811</v>
      </c>
      <c r="AJ42" s="54">
        <v>191547.46011591554</v>
      </c>
      <c r="AK42" s="86">
        <v>2000000</v>
      </c>
      <c r="AL42" s="53">
        <v>0</v>
      </c>
      <c r="AM42" s="86">
        <v>2000000</v>
      </c>
      <c r="AN42" s="54">
        <v>34831.69867725217</v>
      </c>
      <c r="AO42" s="86"/>
      <c r="AP42" s="86"/>
      <c r="AQ42" s="86"/>
      <c r="AR42" s="54"/>
      <c r="AS42" s="86"/>
      <c r="AT42" s="86"/>
      <c r="AU42" s="86"/>
      <c r="AV42" s="54"/>
      <c r="AW42" s="86"/>
      <c r="AX42" s="86"/>
      <c r="AY42" s="86"/>
      <c r="AZ42" s="54"/>
      <c r="BA42" s="86"/>
      <c r="BB42" s="86"/>
      <c r="BC42" s="86"/>
      <c r="BD42" s="54"/>
      <c r="BE42" s="86"/>
      <c r="BF42" s="86"/>
      <c r="BG42" s="86"/>
      <c r="BH42" s="54"/>
      <c r="BI42" s="86"/>
      <c r="BJ42" s="86"/>
      <c r="BK42" s="86"/>
      <c r="BL42" s="54"/>
      <c r="BM42" s="86"/>
      <c r="BN42" s="86"/>
      <c r="BO42" s="86"/>
      <c r="BP42" s="54"/>
      <c r="BQ42" s="87">
        <v>28241937.531244833</v>
      </c>
      <c r="BR42" s="36"/>
      <c r="BS42" s="88">
        <v>28241937.531244833</v>
      </c>
      <c r="BT42" s="89"/>
      <c r="BV42" s="91"/>
      <c r="BX42" s="91"/>
    </row>
    <row r="43" spans="1:78" hidden="1">
      <c r="A43">
        <f t="shared" si="10"/>
        <v>28</v>
      </c>
      <c r="C43" s="37" t="str">
        <f t="shared" si="11"/>
        <v>W Increased ROE</v>
      </c>
      <c r="D43" s="85">
        <f t="shared" si="12"/>
        <v>2011</v>
      </c>
      <c r="E43" s="86">
        <v>32160114.166666664</v>
      </c>
      <c r="F43" s="86">
        <v>958810.85714285716</v>
      </c>
      <c r="G43" s="86">
        <v>31201303.309523806</v>
      </c>
      <c r="H43" s="43">
        <v>7851697.6196108665</v>
      </c>
      <c r="I43" s="93">
        <v>6878772.3583333334</v>
      </c>
      <c r="J43" s="86">
        <v>199625.8</v>
      </c>
      <c r="K43" s="86">
        <v>6679146.5583333336</v>
      </c>
      <c r="L43" s="54">
        <v>1595501.9220464355</v>
      </c>
      <c r="M43" s="93">
        <v>4935581.2880952377</v>
      </c>
      <c r="N43" s="86">
        <v>143233.3142857143</v>
      </c>
      <c r="O43" s="86">
        <v>4792347.9738095235</v>
      </c>
      <c r="P43" s="54">
        <v>1144787.0377673542</v>
      </c>
      <c r="Q43" s="93">
        <v>36700000</v>
      </c>
      <c r="R43" s="53">
        <v>349523.80952380953</v>
      </c>
      <c r="S43" s="86">
        <v>36350476.190476194</v>
      </c>
      <c r="T43" s="54">
        <v>3695534.0928274468</v>
      </c>
      <c r="U43" s="93">
        <v>20000000</v>
      </c>
      <c r="V43" s="53">
        <v>190476.1904761905</v>
      </c>
      <c r="W43" s="86">
        <v>19809523.80952381</v>
      </c>
      <c r="X43" s="54">
        <v>2013915.0369631862</v>
      </c>
      <c r="Y43" s="93">
        <v>2000000</v>
      </c>
      <c r="Z43" s="53">
        <v>19047.61904761905</v>
      </c>
      <c r="AA43" s="86">
        <v>1980952.3809523811</v>
      </c>
      <c r="AB43" s="54">
        <v>191547.46011591554</v>
      </c>
      <c r="AC43" s="93">
        <v>2000000</v>
      </c>
      <c r="AD43" s="53">
        <v>19047.61904761905</v>
      </c>
      <c r="AE43" s="86">
        <v>1980952.3809523811</v>
      </c>
      <c r="AF43" s="54">
        <v>191547.46011591554</v>
      </c>
      <c r="AG43" s="93">
        <v>2000000</v>
      </c>
      <c r="AH43" s="53">
        <v>19047.61904761905</v>
      </c>
      <c r="AI43" s="86">
        <v>1980952.3809523811</v>
      </c>
      <c r="AJ43" s="54">
        <v>191547.46011591554</v>
      </c>
      <c r="AK43" s="93">
        <v>2000000</v>
      </c>
      <c r="AL43" s="53">
        <v>0</v>
      </c>
      <c r="AM43" s="86">
        <v>2000000</v>
      </c>
      <c r="AN43" s="54">
        <v>34831.69867725217</v>
      </c>
      <c r="AO43" s="93"/>
      <c r="AP43" s="86"/>
      <c r="AQ43" s="86"/>
      <c r="AR43" s="54"/>
      <c r="AS43" s="93"/>
      <c r="AT43" s="86"/>
      <c r="AU43" s="86"/>
      <c r="AV43" s="54"/>
      <c r="AW43" s="93"/>
      <c r="AX43" s="86"/>
      <c r="AY43" s="86"/>
      <c r="AZ43" s="54"/>
      <c r="BA43" s="93"/>
      <c r="BB43" s="86"/>
      <c r="BC43" s="86"/>
      <c r="BD43" s="54"/>
      <c r="BE43" s="93"/>
      <c r="BF43" s="86"/>
      <c r="BG43" s="86"/>
      <c r="BH43" s="54"/>
      <c r="BI43" s="93"/>
      <c r="BJ43" s="86"/>
      <c r="BK43" s="86"/>
      <c r="BL43" s="54"/>
      <c r="BM43" s="93"/>
      <c r="BN43" s="86"/>
      <c r="BO43" s="86"/>
      <c r="BP43" s="54"/>
      <c r="BQ43" s="87">
        <v>29576925.956112847</v>
      </c>
      <c r="BR43" s="90">
        <v>29576925.956112847</v>
      </c>
      <c r="BS43" s="38"/>
      <c r="BT43" s="89"/>
      <c r="BV43" s="91"/>
      <c r="BX43" s="91"/>
      <c r="BY43" s="92"/>
    </row>
    <row r="44" spans="1:78" hidden="1">
      <c r="A44">
        <f t="shared" si="10"/>
        <v>29</v>
      </c>
      <c r="C44" s="37" t="str">
        <f t="shared" si="11"/>
        <v>Base FCR</v>
      </c>
      <c r="D44" s="85">
        <f t="shared" si="12"/>
        <v>2012</v>
      </c>
      <c r="E44" s="86">
        <v>31201303.309523806</v>
      </c>
      <c r="F44" s="86">
        <v>958810.85714285716</v>
      </c>
      <c r="G44" s="86">
        <v>30242492.452380948</v>
      </c>
      <c r="H44" s="43">
        <v>7457763.6637097541</v>
      </c>
      <c r="I44" s="93">
        <v>6679146.5583333336</v>
      </c>
      <c r="J44" s="86">
        <v>199625.8</v>
      </c>
      <c r="K44" s="86">
        <v>6479520.7583333338</v>
      </c>
      <c r="L44" s="54">
        <v>1592040.7831196741</v>
      </c>
      <c r="M44" s="93">
        <v>4792347.9738095235</v>
      </c>
      <c r="N44" s="86">
        <v>143233.3142857143</v>
      </c>
      <c r="O44" s="86">
        <v>4649114.6595238093</v>
      </c>
      <c r="P44" s="54">
        <v>1142303.6393304621</v>
      </c>
      <c r="Q44" s="93">
        <v>36350476.190476194</v>
      </c>
      <c r="R44" s="86">
        <v>1048571.4285714285</v>
      </c>
      <c r="S44" s="86">
        <v>35301904.761904769</v>
      </c>
      <c r="T44" s="54">
        <v>8634765.3704492562</v>
      </c>
      <c r="U44" s="93">
        <v>19809523.80952381</v>
      </c>
      <c r="V44" s="86">
        <v>571428.57142857148</v>
      </c>
      <c r="W44" s="86">
        <v>19238095.238095239</v>
      </c>
      <c r="X44" s="54">
        <v>4705594.2073292946</v>
      </c>
      <c r="Y44" s="93">
        <v>1980952.3809523811</v>
      </c>
      <c r="Z44" s="86">
        <v>57142.857142857145</v>
      </c>
      <c r="AA44" s="86">
        <v>1923809.523809524</v>
      </c>
      <c r="AB44" s="54">
        <v>470559.42073292949</v>
      </c>
      <c r="AC44" s="93">
        <v>1980952.3809523811</v>
      </c>
      <c r="AD44" s="86">
        <v>57142.857142857145</v>
      </c>
      <c r="AE44" s="86">
        <v>1923809.523809524</v>
      </c>
      <c r="AF44" s="54">
        <v>470559.42073292949</v>
      </c>
      <c r="AG44" s="93">
        <v>1980952.3809523811</v>
      </c>
      <c r="AH44" s="86">
        <v>57142.857142857145</v>
      </c>
      <c r="AI44" s="86">
        <v>1923809.523809524</v>
      </c>
      <c r="AJ44" s="54">
        <v>470559.42073292949</v>
      </c>
      <c r="AK44" s="93">
        <v>2000000</v>
      </c>
      <c r="AL44" s="86">
        <v>57142.857142857145</v>
      </c>
      <c r="AM44" s="86">
        <v>1942857.142857143</v>
      </c>
      <c r="AN44" s="54">
        <v>474652.65403580148</v>
      </c>
      <c r="AO44" s="93">
        <v>15875382</v>
      </c>
      <c r="AP44" s="53">
        <v>226791.17142857143</v>
      </c>
      <c r="AQ44" s="86">
        <v>15648590.828571429</v>
      </c>
      <c r="AR44" s="54">
        <v>2188424.4983059289</v>
      </c>
      <c r="AS44" s="93">
        <v>29544357</v>
      </c>
      <c r="AT44" s="53">
        <v>422062.24285714293</v>
      </c>
      <c r="AU44" s="86">
        <v>29122294.757142857</v>
      </c>
      <c r="AV44" s="54">
        <v>4072695.3622593936</v>
      </c>
      <c r="AW44" s="93">
        <v>58581170</v>
      </c>
      <c r="AX44" s="53">
        <v>836873.85714285704</v>
      </c>
      <c r="AY44" s="86">
        <v>57744296.142857142</v>
      </c>
      <c r="AZ44" s="54">
        <v>8075425.6853425223</v>
      </c>
      <c r="BA44" s="93">
        <v>5226954</v>
      </c>
      <c r="BB44" s="53">
        <v>74670.771428571432</v>
      </c>
      <c r="BC44" s="86">
        <v>5152283.2285714289</v>
      </c>
      <c r="BD44" s="54">
        <v>720536.62614973111</v>
      </c>
      <c r="BE44" s="93"/>
      <c r="BF44" s="53"/>
      <c r="BG44" s="86"/>
      <c r="BH44" s="54"/>
      <c r="BI44" s="93"/>
      <c r="BJ44" s="53"/>
      <c r="BK44" s="86"/>
      <c r="BL44" s="54"/>
      <c r="BM44" s="93"/>
      <c r="BN44" s="53"/>
      <c r="BO44" s="86"/>
      <c r="BP44" s="54"/>
      <c r="BQ44" s="87">
        <v>53946850.258867651</v>
      </c>
      <c r="BR44" s="36"/>
      <c r="BS44" s="88">
        <f>+BQ44</f>
        <v>53946850.258867651</v>
      </c>
      <c r="BT44" s="89"/>
      <c r="BV44" s="91"/>
      <c r="BX44" s="91"/>
    </row>
    <row r="45" spans="1:78" hidden="1">
      <c r="A45">
        <f t="shared" si="10"/>
        <v>30</v>
      </c>
      <c r="C45" s="37" t="str">
        <f t="shared" si="11"/>
        <v>W Increased ROE</v>
      </c>
      <c r="D45" s="85">
        <f t="shared" si="12"/>
        <v>2012</v>
      </c>
      <c r="E45" s="86">
        <v>31201303.309523806</v>
      </c>
      <c r="F45" s="86">
        <v>958810.85714285716</v>
      </c>
      <c r="G45" s="86">
        <v>30242492.452380948</v>
      </c>
      <c r="H45" s="43">
        <v>7842354.4874942722</v>
      </c>
      <c r="I45" s="93">
        <v>6679146.5583333336</v>
      </c>
      <c r="J45" s="86">
        <v>199625.8</v>
      </c>
      <c r="K45" s="86">
        <v>6479520.7583333338</v>
      </c>
      <c r="L45" s="54">
        <v>1592040.7831196741</v>
      </c>
      <c r="M45" s="93">
        <v>4792347.9738095235</v>
      </c>
      <c r="N45" s="86">
        <v>143233.3142857143</v>
      </c>
      <c r="O45" s="86">
        <v>4649114.6595238093</v>
      </c>
      <c r="P45" s="54">
        <v>1142303.6393304621</v>
      </c>
      <c r="Q45" s="93">
        <v>36350476.190476194</v>
      </c>
      <c r="R45" s="86">
        <v>1048571.4285714285</v>
      </c>
      <c r="S45" s="86">
        <v>35301904.761904769</v>
      </c>
      <c r="T45" s="54">
        <v>9083696.2465971541</v>
      </c>
      <c r="U45" s="93">
        <v>19809523.80952381</v>
      </c>
      <c r="V45" s="86">
        <v>571428.57142857148</v>
      </c>
      <c r="W45" s="86">
        <v>19238095.238095239</v>
      </c>
      <c r="X45" s="54">
        <v>4950243.1861564871</v>
      </c>
      <c r="Y45" s="93">
        <v>1980952.3809523811</v>
      </c>
      <c r="Z45" s="86">
        <v>57142.857142857145</v>
      </c>
      <c r="AA45" s="86">
        <v>1923809.523809524</v>
      </c>
      <c r="AB45" s="54">
        <v>470559.42073292949</v>
      </c>
      <c r="AC45" s="93">
        <v>1980952.3809523811</v>
      </c>
      <c r="AD45" s="86">
        <v>57142.857142857145</v>
      </c>
      <c r="AE45" s="86">
        <v>1923809.523809524</v>
      </c>
      <c r="AF45" s="54">
        <v>470559.42073292949</v>
      </c>
      <c r="AG45" s="93">
        <v>1980952.3809523811</v>
      </c>
      <c r="AH45" s="86">
        <v>57142.857142857145</v>
      </c>
      <c r="AI45" s="86">
        <v>1923809.523809524</v>
      </c>
      <c r="AJ45" s="54">
        <v>470559.42073292949</v>
      </c>
      <c r="AK45" s="93">
        <v>2000000</v>
      </c>
      <c r="AL45" s="86">
        <v>57142.857142857145</v>
      </c>
      <c r="AM45" s="86">
        <v>1942857.142857143</v>
      </c>
      <c r="AN45" s="54">
        <v>474652.65403580148</v>
      </c>
      <c r="AO45" s="93">
        <v>15875382</v>
      </c>
      <c r="AP45" s="53">
        <v>226791.17142857143</v>
      </c>
      <c r="AQ45" s="86">
        <v>15648590.828571429</v>
      </c>
      <c r="AR45" s="54">
        <v>2188424.4983059289</v>
      </c>
      <c r="AS45" s="93">
        <v>29544357</v>
      </c>
      <c r="AT45" s="53">
        <v>422062.24285714293</v>
      </c>
      <c r="AU45" s="86">
        <v>29122294.757142857</v>
      </c>
      <c r="AV45" s="54">
        <v>4072695.3622593936</v>
      </c>
      <c r="AW45" s="93">
        <v>58581170</v>
      </c>
      <c r="AX45" s="53">
        <v>836873.85714285704</v>
      </c>
      <c r="AY45" s="86">
        <v>57744296.142857142</v>
      </c>
      <c r="AZ45" s="54">
        <v>8075425.6853425223</v>
      </c>
      <c r="BA45" s="93">
        <v>5226954</v>
      </c>
      <c r="BB45" s="53">
        <v>74670.771428571432</v>
      </c>
      <c r="BC45" s="86">
        <v>5152283.2285714289</v>
      </c>
      <c r="BD45" s="54">
        <v>720536.62614973111</v>
      </c>
      <c r="BE45" s="93"/>
      <c r="BF45" s="53"/>
      <c r="BG45" s="86"/>
      <c r="BH45" s="54"/>
      <c r="BI45" s="93"/>
      <c r="BJ45" s="53"/>
      <c r="BK45" s="86"/>
      <c r="BL45" s="54"/>
      <c r="BM45" s="93"/>
      <c r="BN45" s="53"/>
      <c r="BO45" s="86"/>
      <c r="BP45" s="54"/>
      <c r="BQ45" s="87">
        <v>55822197.254171476</v>
      </c>
      <c r="BR45" s="90">
        <f>+BQ45</f>
        <v>55822197.254171476</v>
      </c>
      <c r="BS45" s="38"/>
      <c r="BT45" s="89"/>
      <c r="BV45" s="91"/>
      <c r="BX45" s="91"/>
    </row>
    <row r="46" spans="1:78" hidden="1">
      <c r="A46">
        <f t="shared" si="10"/>
        <v>31</v>
      </c>
      <c r="C46" s="37" t="str">
        <f t="shared" si="11"/>
        <v>Base FCR</v>
      </c>
      <c r="D46" s="85">
        <f t="shared" si="12"/>
        <v>2013</v>
      </c>
      <c r="E46" s="86">
        <v>30242492.452380948</v>
      </c>
      <c r="F46" s="86">
        <v>958810.85714285716</v>
      </c>
      <c r="G46" s="86">
        <v>29283681.59523809</v>
      </c>
      <c r="H46" s="43">
        <v>6386712.6661578128</v>
      </c>
      <c r="I46" s="93">
        <v>6479520.7583333338</v>
      </c>
      <c r="J46" s="86">
        <v>199625.8</v>
      </c>
      <c r="K46" s="86">
        <v>6279894.958333334</v>
      </c>
      <c r="L46" s="54">
        <v>1363641.0927459893</v>
      </c>
      <c r="M46" s="93">
        <v>4649114.6595238093</v>
      </c>
      <c r="N46" s="86">
        <v>143233.3142857143</v>
      </c>
      <c r="O46" s="86">
        <v>4505881.3452380951</v>
      </c>
      <c r="P46" s="54">
        <v>978424.79884965334</v>
      </c>
      <c r="Q46" s="93">
        <v>35301904.761904769</v>
      </c>
      <c r="R46" s="86">
        <v>1048571.4285714285</v>
      </c>
      <c r="S46" s="86">
        <v>34253333.333333343</v>
      </c>
      <c r="T46" s="54">
        <v>7397627.2793571427</v>
      </c>
      <c r="U46" s="93">
        <v>19238095.238095239</v>
      </c>
      <c r="V46" s="86">
        <v>571428.57142857148</v>
      </c>
      <c r="W46" s="86">
        <v>18666666.666666668</v>
      </c>
      <c r="X46" s="54">
        <v>4031404.5119112488</v>
      </c>
      <c r="Y46" s="93">
        <v>1923809.523809524</v>
      </c>
      <c r="Z46" s="86">
        <v>57142.857142857145</v>
      </c>
      <c r="AA46" s="86">
        <v>1866666.666666667</v>
      </c>
      <c r="AB46" s="54">
        <v>403140.45119112491</v>
      </c>
      <c r="AC46" s="93">
        <v>1923809.523809524</v>
      </c>
      <c r="AD46" s="86">
        <v>57142.857142857145</v>
      </c>
      <c r="AE46" s="86">
        <v>1866666.666666667</v>
      </c>
      <c r="AF46" s="54">
        <v>403140.45119112491</v>
      </c>
      <c r="AG46" s="93">
        <v>1923809.523809524</v>
      </c>
      <c r="AH46" s="86">
        <v>57142.857142857145</v>
      </c>
      <c r="AI46" s="86">
        <v>1866666.666666667</v>
      </c>
      <c r="AJ46" s="54">
        <v>403140.45119112491</v>
      </c>
      <c r="AK46" s="93">
        <v>1942857.142857143</v>
      </c>
      <c r="AL46" s="86">
        <v>57142.857142857145</v>
      </c>
      <c r="AM46" s="86">
        <v>1885714.2857142859</v>
      </c>
      <c r="AN46" s="54">
        <v>406671.03888549499</v>
      </c>
      <c r="AO46" s="93">
        <v>15648590.828571429</v>
      </c>
      <c r="AP46" s="86">
        <v>453582.34285714285</v>
      </c>
      <c r="AQ46" s="86">
        <v>15195008.485714287</v>
      </c>
      <c r="AR46" s="54">
        <v>3270066.1165715116</v>
      </c>
      <c r="AS46" s="93">
        <v>29122294.757142857</v>
      </c>
      <c r="AT46" s="86">
        <v>844124.48571428575</v>
      </c>
      <c r="AU46" s="86">
        <v>28278170.27142857</v>
      </c>
      <c r="AV46" s="54">
        <v>6085648.8846436795</v>
      </c>
      <c r="AW46" s="93">
        <v>57744296.142857142</v>
      </c>
      <c r="AX46" s="86">
        <v>1673747.7142857143</v>
      </c>
      <c r="AY46" s="86">
        <v>56070548.428571425</v>
      </c>
      <c r="AZ46" s="54">
        <v>12066752.099956745</v>
      </c>
      <c r="BA46" s="93">
        <v>5152283.2285714289</v>
      </c>
      <c r="BB46" s="86">
        <v>149341.54285714286</v>
      </c>
      <c r="BC46" s="86">
        <v>5002941.6857142858</v>
      </c>
      <c r="BD46" s="54">
        <v>1076666.0712969257</v>
      </c>
      <c r="BE46" s="93">
        <v>18731954</v>
      </c>
      <c r="BF46" s="51">
        <v>267599.34285714285</v>
      </c>
      <c r="BG46" s="86">
        <v>18464354.657142859</v>
      </c>
      <c r="BH46" s="43">
        <v>2264043.8075525668</v>
      </c>
      <c r="BI46" s="93"/>
      <c r="BJ46" s="51"/>
      <c r="BK46" s="86"/>
      <c r="BL46" s="43"/>
      <c r="BM46" s="93"/>
      <c r="BN46" s="51"/>
      <c r="BO46" s="86"/>
      <c r="BP46" s="43"/>
      <c r="BQ46" s="87">
        <f>H46+L46+P46+T46+X46+AB46+AF46+AJ46+AN46+AR46+AV46+AZ46+BD46+BH46</f>
        <v>46537079.72150214</v>
      </c>
      <c r="BR46" s="36"/>
      <c r="BS46" s="88">
        <f>+BQ46</f>
        <v>46537079.72150214</v>
      </c>
      <c r="BT46" s="89"/>
      <c r="BV46" s="91"/>
      <c r="BX46" s="91"/>
    </row>
    <row r="47" spans="1:78" hidden="1">
      <c r="A47">
        <f t="shared" si="10"/>
        <v>32</v>
      </c>
      <c r="C47" s="37" t="str">
        <f t="shared" si="11"/>
        <v>W Increased ROE</v>
      </c>
      <c r="D47" s="85">
        <f t="shared" si="12"/>
        <v>2013</v>
      </c>
      <c r="E47" s="86">
        <v>30242492.452380948</v>
      </c>
      <c r="F47" s="86">
        <v>958810.85714285716</v>
      </c>
      <c r="G47" s="86">
        <v>29283681.59523809</v>
      </c>
      <c r="H47" s="43">
        <v>6714616.5679272749</v>
      </c>
      <c r="I47" s="93">
        <v>6479520.7583333338</v>
      </c>
      <c r="J47" s="86">
        <v>199625.8</v>
      </c>
      <c r="K47" s="86">
        <v>6279894.958333334</v>
      </c>
      <c r="L47" s="54">
        <v>1363641.0927459893</v>
      </c>
      <c r="M47" s="93">
        <v>4649114.6595238093</v>
      </c>
      <c r="N47" s="86">
        <v>143233.3142857143</v>
      </c>
      <c r="O47" s="86">
        <v>4505881.3452380951</v>
      </c>
      <c r="P47" s="54">
        <v>978424.79884965334</v>
      </c>
      <c r="Q47" s="93">
        <v>35301904.761904769</v>
      </c>
      <c r="R47" s="86">
        <v>1048571.4285714285</v>
      </c>
      <c r="S47" s="86">
        <v>34253333.333333343</v>
      </c>
      <c r="T47" s="54">
        <v>7781178.8356080614</v>
      </c>
      <c r="U47" s="93">
        <v>19238095.238095239</v>
      </c>
      <c r="V47" s="86">
        <v>571428.57142857148</v>
      </c>
      <c r="W47" s="86">
        <v>18666666.666666668</v>
      </c>
      <c r="X47" s="54">
        <v>4240424.4335738746</v>
      </c>
      <c r="Y47" s="93">
        <v>1923809.523809524</v>
      </c>
      <c r="Z47" s="86">
        <v>57142.857142857145</v>
      </c>
      <c r="AA47" s="86">
        <v>1866666.666666667</v>
      </c>
      <c r="AB47" s="54">
        <v>403140.45119112491</v>
      </c>
      <c r="AC47" s="93">
        <v>1923809.523809524</v>
      </c>
      <c r="AD47" s="86">
        <v>57142.857142857145</v>
      </c>
      <c r="AE47" s="86">
        <v>1866666.666666667</v>
      </c>
      <c r="AF47" s="54">
        <v>403140.45119112491</v>
      </c>
      <c r="AG47" s="93">
        <v>1923809.523809524</v>
      </c>
      <c r="AH47" s="86">
        <v>57142.857142857145</v>
      </c>
      <c r="AI47" s="86">
        <v>1866666.666666667</v>
      </c>
      <c r="AJ47" s="54">
        <v>403140.45119112491</v>
      </c>
      <c r="AK47" s="93">
        <v>1942857.142857143</v>
      </c>
      <c r="AL47" s="86">
        <v>57142.857142857145</v>
      </c>
      <c r="AM47" s="86">
        <v>1885714.2857142859</v>
      </c>
      <c r="AN47" s="54">
        <v>406671.03888549499</v>
      </c>
      <c r="AO47" s="93">
        <v>15648590.828571429</v>
      </c>
      <c r="AP47" s="86">
        <v>453582.34285714285</v>
      </c>
      <c r="AQ47" s="86">
        <v>15195008.485714287</v>
      </c>
      <c r="AR47" s="54">
        <v>3440212.1603222406</v>
      </c>
      <c r="AS47" s="93">
        <v>29122294.757142857</v>
      </c>
      <c r="AT47" s="86">
        <v>844124.48571428575</v>
      </c>
      <c r="AU47" s="86">
        <v>28278170.27142857</v>
      </c>
      <c r="AV47" s="54">
        <v>6402293.5775845582</v>
      </c>
      <c r="AW47" s="93">
        <v>57744296.142857142</v>
      </c>
      <c r="AX47" s="86">
        <v>1673747.7142857143</v>
      </c>
      <c r="AY47" s="86">
        <v>56070548.428571425</v>
      </c>
      <c r="AZ47" s="54">
        <v>12066752.099956745</v>
      </c>
      <c r="BA47" s="93">
        <v>5152283.2285714289</v>
      </c>
      <c r="BB47" s="86">
        <v>149341.54285714286</v>
      </c>
      <c r="BC47" s="86">
        <v>5002941.6857142858</v>
      </c>
      <c r="BD47" s="54">
        <v>1076666.0712969257</v>
      </c>
      <c r="BE47" s="93">
        <v>18731954</v>
      </c>
      <c r="BF47" s="51">
        <v>267599.34285714285</v>
      </c>
      <c r="BG47" s="86">
        <v>18464354.657142859</v>
      </c>
      <c r="BH47" s="43">
        <v>2384650.6189271589</v>
      </c>
      <c r="BI47" s="93"/>
      <c r="BJ47" s="51"/>
      <c r="BK47" s="86"/>
      <c r="BL47" s="43"/>
      <c r="BM47" s="93"/>
      <c r="BN47" s="51"/>
      <c r="BO47" s="86"/>
      <c r="BP47" s="43"/>
      <c r="BQ47" s="87">
        <f>H47+L47+P47+T47+X47+AB47+AF47+AJ47+AN47+AR47+AV47+AZ47+BD47+BH47</f>
        <v>48064952.649251349</v>
      </c>
      <c r="BR47" s="90">
        <f>+BQ47</f>
        <v>48064952.649251349</v>
      </c>
      <c r="BS47" s="38"/>
      <c r="BT47" s="89"/>
      <c r="BU47" s="89"/>
      <c r="BV47" s="91"/>
      <c r="BX47" s="91"/>
    </row>
    <row r="48" spans="1:78" hidden="1">
      <c r="A48">
        <f t="shared" si="10"/>
        <v>33</v>
      </c>
      <c r="C48" s="37" t="str">
        <f t="shared" si="11"/>
        <v>Base FCR</v>
      </c>
      <c r="D48" s="85">
        <f t="shared" si="12"/>
        <v>2014</v>
      </c>
      <c r="E48" s="86">
        <v>29283681.59523809</v>
      </c>
      <c r="F48" s="86">
        <v>958810.85714285716</v>
      </c>
      <c r="G48" s="86">
        <v>28324870.738095231</v>
      </c>
      <c r="H48" s="43">
        <v>5515944.0767623195</v>
      </c>
      <c r="I48" s="93">
        <v>6279894.958333334</v>
      </c>
      <c r="J48" s="86">
        <v>199625.8</v>
      </c>
      <c r="K48" s="86">
        <v>6080269.1583333341</v>
      </c>
      <c r="L48" s="54">
        <v>1177868.4483734001</v>
      </c>
      <c r="M48" s="93">
        <v>4505881.3452380951</v>
      </c>
      <c r="N48" s="86">
        <v>143233.3142857143</v>
      </c>
      <c r="O48" s="86">
        <v>4362648.030952381</v>
      </c>
      <c r="P48" s="54">
        <v>845131.24883203395</v>
      </c>
      <c r="Q48" s="93">
        <v>34253333.333333343</v>
      </c>
      <c r="R48" s="86">
        <v>1048571.4285714285</v>
      </c>
      <c r="S48" s="86">
        <v>33204761.904761914</v>
      </c>
      <c r="T48" s="54">
        <v>6390820.8222193606</v>
      </c>
      <c r="U48" s="93">
        <v>18666666.666666668</v>
      </c>
      <c r="V48" s="86">
        <v>571428.57142857148</v>
      </c>
      <c r="W48" s="86">
        <v>18095238.095238097</v>
      </c>
      <c r="X48" s="54">
        <v>3482736.1428988338</v>
      </c>
      <c r="Y48" s="93">
        <v>1866666.666666667</v>
      </c>
      <c r="Z48" s="86">
        <v>57142.857142857145</v>
      </c>
      <c r="AA48" s="86">
        <v>1809523.8095238099</v>
      </c>
      <c r="AB48" s="54">
        <v>348273.61428988347</v>
      </c>
      <c r="AC48" s="93">
        <v>1866666.666666667</v>
      </c>
      <c r="AD48" s="86">
        <v>57142.857142857145</v>
      </c>
      <c r="AE48" s="86">
        <v>1809523.8095238099</v>
      </c>
      <c r="AF48" s="54">
        <v>348273.61428988347</v>
      </c>
      <c r="AG48" s="93">
        <v>1866666.666666667</v>
      </c>
      <c r="AH48" s="86">
        <v>57142.857142857145</v>
      </c>
      <c r="AI48" s="86">
        <v>1809523.8095238099</v>
      </c>
      <c r="AJ48" s="54">
        <v>348273.61428988347</v>
      </c>
      <c r="AK48" s="93">
        <v>1885714.2857142859</v>
      </c>
      <c r="AL48" s="86">
        <v>57142.857142857145</v>
      </c>
      <c r="AM48" s="86">
        <v>1828571.4285714289</v>
      </c>
      <c r="AN48" s="54">
        <v>351338.14857564162</v>
      </c>
      <c r="AO48" s="93">
        <v>15195008.485714287</v>
      </c>
      <c r="AP48" s="86">
        <v>453582.34285714285</v>
      </c>
      <c r="AQ48" s="86">
        <v>14741426.142857144</v>
      </c>
      <c r="AR48" s="54">
        <v>2825301.6492344141</v>
      </c>
      <c r="AS48" s="93">
        <v>28278170.27142857</v>
      </c>
      <c r="AT48" s="86">
        <v>844124.48571428575</v>
      </c>
      <c r="AU48" s="86">
        <v>27434045.785714284</v>
      </c>
      <c r="AV48" s="54">
        <v>5257934.6158517813</v>
      </c>
      <c r="AW48" s="93">
        <v>56070548.428571425</v>
      </c>
      <c r="AX48" s="86">
        <v>1673747.7142857143</v>
      </c>
      <c r="AY48" s="86">
        <v>54396800.714285709</v>
      </c>
      <c r="AZ48" s="54">
        <v>10425542.907571077</v>
      </c>
      <c r="BA48" s="93">
        <v>5002941.6857142858</v>
      </c>
      <c r="BB48" s="86">
        <v>149341.54285714286</v>
      </c>
      <c r="BC48" s="86">
        <v>4853600.1428571427</v>
      </c>
      <c r="BD48" s="54">
        <v>930227.8053323325</v>
      </c>
      <c r="BE48" s="93">
        <v>18754204.657142859</v>
      </c>
      <c r="BF48" s="86">
        <v>543480.11428571434</v>
      </c>
      <c r="BG48" s="86">
        <v>18210724.542857144</v>
      </c>
      <c r="BH48" s="54">
        <v>3473368.0751150986</v>
      </c>
      <c r="BI48" s="93">
        <v>59051650</v>
      </c>
      <c r="BJ48" s="51">
        <v>281198.33333333331</v>
      </c>
      <c r="BK48" s="86">
        <v>58770451.666666664</v>
      </c>
      <c r="BL48" s="54">
        <v>9736661.6997379884</v>
      </c>
      <c r="BM48" s="93"/>
      <c r="BN48" s="51"/>
      <c r="BO48" s="86"/>
      <c r="BP48" s="54"/>
      <c r="BQ48" s="87">
        <v>51457696.483373933</v>
      </c>
      <c r="BR48" s="36"/>
      <c r="BS48" s="88">
        <v>51457696.483373933</v>
      </c>
      <c r="BV48" s="91"/>
    </row>
    <row r="49" spans="1:74" hidden="1">
      <c r="A49">
        <f t="shared" si="10"/>
        <v>34</v>
      </c>
      <c r="C49" s="37" t="str">
        <f t="shared" si="11"/>
        <v>W Increased ROE</v>
      </c>
      <c r="D49" s="85">
        <f t="shared" si="12"/>
        <v>2014</v>
      </c>
      <c r="E49" s="86">
        <v>29283681.59523809</v>
      </c>
      <c r="F49" s="86">
        <v>958810.85714285716</v>
      </c>
      <c r="G49" s="86">
        <v>28324870.738095231</v>
      </c>
      <c r="H49" s="43">
        <v>5811190.3036262281</v>
      </c>
      <c r="I49" s="93">
        <v>6279894.958333334</v>
      </c>
      <c r="J49" s="86">
        <v>199625.8</v>
      </c>
      <c r="K49" s="86">
        <v>6080269.1583333341</v>
      </c>
      <c r="L49" s="54">
        <v>1177868.4483734001</v>
      </c>
      <c r="M49" s="93">
        <v>4505881.3452380951</v>
      </c>
      <c r="N49" s="86">
        <v>143233.3142857143</v>
      </c>
      <c r="O49" s="86">
        <v>4362648.030952381</v>
      </c>
      <c r="P49" s="54">
        <v>845131.24883203395</v>
      </c>
      <c r="Q49" s="93">
        <v>34253333.333333343</v>
      </c>
      <c r="R49" s="86">
        <v>1048571.4285714285</v>
      </c>
      <c r="S49" s="86">
        <v>33204761.904761914</v>
      </c>
      <c r="T49" s="54">
        <v>6736932.9283237038</v>
      </c>
      <c r="U49" s="93">
        <v>18666666.666666668</v>
      </c>
      <c r="V49" s="86">
        <v>571428.57142857148</v>
      </c>
      <c r="W49" s="86">
        <v>18095238.095238097</v>
      </c>
      <c r="X49" s="54">
        <v>3671353.0944543341</v>
      </c>
      <c r="Y49" s="93">
        <v>1866666.666666667</v>
      </c>
      <c r="Z49" s="86">
        <v>57142.857142857145</v>
      </c>
      <c r="AA49" s="86">
        <v>1809523.8095238099</v>
      </c>
      <c r="AB49" s="54">
        <v>348273.61428988347</v>
      </c>
      <c r="AC49" s="93">
        <v>1866666.666666667</v>
      </c>
      <c r="AD49" s="86">
        <v>57142.857142857145</v>
      </c>
      <c r="AE49" s="86">
        <v>1809523.8095238099</v>
      </c>
      <c r="AF49" s="54">
        <v>348273.61428988347</v>
      </c>
      <c r="AG49" s="93">
        <v>1866666.666666667</v>
      </c>
      <c r="AH49" s="86">
        <v>57142.857142857145</v>
      </c>
      <c r="AI49" s="86">
        <v>1809523.8095238099</v>
      </c>
      <c r="AJ49" s="54">
        <v>348273.61428988347</v>
      </c>
      <c r="AK49" s="93">
        <v>1885714.2857142859</v>
      </c>
      <c r="AL49" s="86">
        <v>57142.857142857145</v>
      </c>
      <c r="AM49" s="86">
        <v>1828571.4285714289</v>
      </c>
      <c r="AN49" s="54">
        <v>351338.14857564162</v>
      </c>
      <c r="AO49" s="93">
        <v>15195008.485714287</v>
      </c>
      <c r="AP49" s="86">
        <v>453582.34285714285</v>
      </c>
      <c r="AQ49" s="86">
        <v>14741426.142857144</v>
      </c>
      <c r="AR49" s="54">
        <v>2978959.9125859183</v>
      </c>
      <c r="AS49" s="93">
        <v>28278170.27142857</v>
      </c>
      <c r="AT49" s="86">
        <v>844124.48571428575</v>
      </c>
      <c r="AU49" s="86">
        <v>27434045.785714284</v>
      </c>
      <c r="AV49" s="54">
        <v>5543895.2679140037</v>
      </c>
      <c r="AW49" s="93">
        <v>56070548.428571425</v>
      </c>
      <c r="AX49" s="86">
        <v>1673747.7142857143</v>
      </c>
      <c r="AY49" s="86">
        <v>54396800.714285709</v>
      </c>
      <c r="AZ49" s="54">
        <v>10425542.907571077</v>
      </c>
      <c r="BA49" s="93">
        <v>5002941.6857142858</v>
      </c>
      <c r="BB49" s="86">
        <v>149341.54285714286</v>
      </c>
      <c r="BC49" s="86">
        <v>4853600.1428571427</v>
      </c>
      <c r="BD49" s="54">
        <v>930227.8053323325</v>
      </c>
      <c r="BE49" s="93">
        <v>18754204.657142859</v>
      </c>
      <c r="BF49" s="86">
        <v>543480.11428571434</v>
      </c>
      <c r="BG49" s="86">
        <v>18210724.542857144</v>
      </c>
      <c r="BH49" s="54">
        <v>3663188.8075537924</v>
      </c>
      <c r="BI49" s="93">
        <v>59051650</v>
      </c>
      <c r="BJ49" s="51">
        <v>281198.33333333331</v>
      </c>
      <c r="BK49" s="86">
        <v>58770451.666666664</v>
      </c>
      <c r="BL49" s="54">
        <v>9736661.6997379884</v>
      </c>
      <c r="BM49" s="93"/>
      <c r="BN49" s="51"/>
      <c r="BO49" s="86"/>
      <c r="BP49" s="54"/>
      <c r="BQ49" s="87">
        <v>52917111.415750101</v>
      </c>
      <c r="BR49" s="90">
        <v>52917111.415750101</v>
      </c>
      <c r="BS49" s="38"/>
      <c r="BT49" s="89"/>
      <c r="BU49" s="89"/>
      <c r="BV49" s="91"/>
    </row>
    <row r="50" spans="1:74" hidden="1">
      <c r="A50">
        <f t="shared" si="10"/>
        <v>35</v>
      </c>
      <c r="C50" s="37" t="str">
        <f t="shared" si="11"/>
        <v>Base FCR</v>
      </c>
      <c r="D50" s="85">
        <f t="shared" si="12"/>
        <v>2015</v>
      </c>
      <c r="E50" s="86">
        <v>28324870.738095231</v>
      </c>
      <c r="F50" s="86">
        <v>958810.85714285716</v>
      </c>
      <c r="G50" s="86">
        <v>27366059.880952373</v>
      </c>
      <c r="H50" s="43">
        <v>5287303.3377984744</v>
      </c>
      <c r="I50" s="93">
        <v>6080269.1583333341</v>
      </c>
      <c r="J50" s="86">
        <v>199625.8</v>
      </c>
      <c r="K50" s="86">
        <v>5880643.3583333343</v>
      </c>
      <c r="L50" s="54">
        <v>1129767.7593720991</v>
      </c>
      <c r="M50" s="93">
        <v>4362648.030952381</v>
      </c>
      <c r="N50" s="86">
        <v>143233.3142857143</v>
      </c>
      <c r="O50" s="86">
        <v>4219414.7166666668</v>
      </c>
      <c r="P50" s="54">
        <v>810618.57008468383</v>
      </c>
      <c r="Q50" s="93">
        <v>33204761.904761914</v>
      </c>
      <c r="R50" s="86">
        <v>1048571.4285714285</v>
      </c>
      <c r="S50" s="86">
        <v>32156190.476190485</v>
      </c>
      <c r="T50" s="54">
        <v>6134719.35370987</v>
      </c>
      <c r="U50" s="93">
        <v>18095238.095238097</v>
      </c>
      <c r="V50" s="86">
        <v>571428.57142857148</v>
      </c>
      <c r="W50" s="86">
        <v>17523809.523809526</v>
      </c>
      <c r="X50" s="54">
        <v>3343171.3099236349</v>
      </c>
      <c r="Y50" s="93">
        <v>1809523.8095238099</v>
      </c>
      <c r="Z50" s="86">
        <v>57142.857142857145</v>
      </c>
      <c r="AA50" s="86">
        <v>1752380.9523809529</v>
      </c>
      <c r="AB50" s="54">
        <v>334317.13099236356</v>
      </c>
      <c r="AC50" s="93">
        <v>1809523.8095238099</v>
      </c>
      <c r="AD50" s="86">
        <v>57142.857142857145</v>
      </c>
      <c r="AE50" s="86">
        <v>1752380.9523809529</v>
      </c>
      <c r="AF50" s="54">
        <v>334317.13099236356</v>
      </c>
      <c r="AG50" s="93">
        <v>1809523.8095238099</v>
      </c>
      <c r="AH50" s="86">
        <v>57142.857142857145</v>
      </c>
      <c r="AI50" s="86">
        <v>1752380.9523809529</v>
      </c>
      <c r="AJ50" s="54">
        <v>334317.13099236356</v>
      </c>
      <c r="AK50" s="93">
        <v>1828571.4285714289</v>
      </c>
      <c r="AL50" s="86">
        <v>57142.857142857145</v>
      </c>
      <c r="AM50" s="86">
        <v>1771428.5714285718</v>
      </c>
      <c r="AN50" s="54">
        <v>337329.8948385538</v>
      </c>
      <c r="AO50" s="93">
        <v>14741426.142857144</v>
      </c>
      <c r="AP50" s="86">
        <v>453582.34285714285</v>
      </c>
      <c r="AQ50" s="86">
        <v>14287843.800000001</v>
      </c>
      <c r="AR50" s="54">
        <v>2713492.0529914796</v>
      </c>
      <c r="AS50" s="93">
        <v>27434045.785714284</v>
      </c>
      <c r="AT50" s="86">
        <v>844124.48571428575</v>
      </c>
      <c r="AU50" s="86">
        <v>26589921.299999997</v>
      </c>
      <c r="AV50" s="54">
        <v>5049855.0479127476</v>
      </c>
      <c r="AW50" s="93">
        <v>54396800.714285709</v>
      </c>
      <c r="AX50" s="86">
        <v>1673747.7142857143</v>
      </c>
      <c r="AY50" s="86">
        <v>52723052.999999993</v>
      </c>
      <c r="AZ50" s="54">
        <v>10012958.381092364</v>
      </c>
      <c r="BA50" s="93">
        <v>4853600.1428571427</v>
      </c>
      <c r="BB50" s="86">
        <v>149341.54285714286</v>
      </c>
      <c r="BC50" s="86">
        <v>4704258.5999999996</v>
      </c>
      <c r="BD50" s="54">
        <v>893414.6051006536</v>
      </c>
      <c r="BE50" s="93">
        <v>18210724.542857144</v>
      </c>
      <c r="BF50" s="86">
        <v>543480.11428571434</v>
      </c>
      <c r="BG50" s="86">
        <v>17667244.428571429</v>
      </c>
      <c r="BH50" s="54">
        <v>3337909.9662865694</v>
      </c>
      <c r="BI50" s="93">
        <v>51571153.856666662</v>
      </c>
      <c r="BJ50" s="86">
        <v>1481495.7768571428</v>
      </c>
      <c r="BK50" s="86">
        <v>50089658.079809517</v>
      </c>
      <c r="BL50" s="54">
        <v>9404182.1007285137</v>
      </c>
      <c r="BM50" s="93">
        <v>8172728.0800000001</v>
      </c>
      <c r="BN50" s="51">
        <v>194588.76380952381</v>
      </c>
      <c r="BO50" s="86">
        <v>7978139.3161904765</v>
      </c>
      <c r="BP50" s="54">
        <v>1456491.8726231416</v>
      </c>
      <c r="BQ50" s="87">
        <v>50914165.645439871</v>
      </c>
      <c r="BR50" s="36"/>
      <c r="BS50" s="88">
        <v>50914165.645439871</v>
      </c>
      <c r="BT50" s="94"/>
    </row>
    <row r="51" spans="1:74" hidden="1">
      <c r="A51">
        <f t="shared" si="10"/>
        <v>36</v>
      </c>
      <c r="C51" s="37" t="str">
        <f t="shared" si="11"/>
        <v>W Increased ROE</v>
      </c>
      <c r="D51" s="85">
        <f t="shared" si="12"/>
        <v>2015</v>
      </c>
      <c r="E51" s="86">
        <v>28324870.738095231</v>
      </c>
      <c r="F51" s="86">
        <v>958810.85714285716</v>
      </c>
      <c r="G51" s="86">
        <v>27366059.880952373</v>
      </c>
      <c r="H51" s="43">
        <v>5573507.9207597012</v>
      </c>
      <c r="I51" s="93">
        <v>6080269.1583333341</v>
      </c>
      <c r="J51" s="86">
        <v>199625.8</v>
      </c>
      <c r="K51" s="86">
        <v>5880643.3583333343</v>
      </c>
      <c r="L51" s="54">
        <v>1129767.7593720991</v>
      </c>
      <c r="M51" s="93">
        <v>4362648.030952381</v>
      </c>
      <c r="N51" s="86">
        <v>143233.3142857143</v>
      </c>
      <c r="O51" s="86">
        <v>4219414.7166666668</v>
      </c>
      <c r="P51" s="54">
        <v>810618.57008468383</v>
      </c>
      <c r="Q51" s="93">
        <v>33204761.904761914</v>
      </c>
      <c r="R51" s="86">
        <v>1048571.4285714285</v>
      </c>
      <c r="S51" s="86">
        <v>32156190.476190485</v>
      </c>
      <c r="T51" s="54">
        <v>6471020.9303670796</v>
      </c>
      <c r="U51" s="93">
        <v>18095238.095238097</v>
      </c>
      <c r="V51" s="86">
        <v>571428.57142857148</v>
      </c>
      <c r="W51" s="86">
        <v>17523809.523809526</v>
      </c>
      <c r="X51" s="54">
        <v>3526441.9239057652</v>
      </c>
      <c r="Y51" s="93">
        <v>1809523.8095238099</v>
      </c>
      <c r="Z51" s="86">
        <v>57142.857142857145</v>
      </c>
      <c r="AA51" s="86">
        <v>1752380.9523809529</v>
      </c>
      <c r="AB51" s="54">
        <v>334317.13099236356</v>
      </c>
      <c r="AC51" s="93">
        <v>1809523.8095238099</v>
      </c>
      <c r="AD51" s="86">
        <v>57142.857142857145</v>
      </c>
      <c r="AE51" s="86">
        <v>1752380.9523809529</v>
      </c>
      <c r="AF51" s="54">
        <v>334317.13099236356</v>
      </c>
      <c r="AG51" s="93">
        <v>1809523.8095238099</v>
      </c>
      <c r="AH51" s="86">
        <v>57142.857142857145</v>
      </c>
      <c r="AI51" s="86">
        <v>1752380.9523809529</v>
      </c>
      <c r="AJ51" s="54">
        <v>334317.13099236356</v>
      </c>
      <c r="AK51" s="93">
        <v>1828571.4285714289</v>
      </c>
      <c r="AL51" s="86">
        <v>57142.857142857145</v>
      </c>
      <c r="AM51" s="86">
        <v>1771428.5714285718</v>
      </c>
      <c r="AN51" s="54">
        <v>337329.8948385538</v>
      </c>
      <c r="AO51" s="93">
        <v>14741426.142857144</v>
      </c>
      <c r="AP51" s="86">
        <v>453582.34285714285</v>
      </c>
      <c r="AQ51" s="86">
        <v>14287843.800000001</v>
      </c>
      <c r="AR51" s="54">
        <v>2862919.7160888771</v>
      </c>
      <c r="AS51" s="93">
        <v>27434045.785714284</v>
      </c>
      <c r="AT51" s="86">
        <v>844124.48571428575</v>
      </c>
      <c r="AU51" s="86">
        <v>26589921.299999997</v>
      </c>
      <c r="AV51" s="54">
        <v>5327942.4806576883</v>
      </c>
      <c r="AW51" s="93">
        <v>54396800.714285709</v>
      </c>
      <c r="AX51" s="86">
        <v>1673747.7142857143</v>
      </c>
      <c r="AY51" s="86">
        <v>52723052.999999993</v>
      </c>
      <c r="AZ51" s="54">
        <v>10012958.381092364</v>
      </c>
      <c r="BA51" s="93">
        <v>4853600.1428571427</v>
      </c>
      <c r="BB51" s="86">
        <v>149341.54285714286</v>
      </c>
      <c r="BC51" s="86">
        <v>4704258.5999999996</v>
      </c>
      <c r="BD51" s="54">
        <v>893414.6051006536</v>
      </c>
      <c r="BE51" s="93">
        <v>18210724.542857144</v>
      </c>
      <c r="BF51" s="86">
        <v>543480.11428571434</v>
      </c>
      <c r="BG51" s="86">
        <v>17667244.428571429</v>
      </c>
      <c r="BH51" s="54">
        <v>3522680.6766390959</v>
      </c>
      <c r="BI51" s="93">
        <v>51571153.856666662</v>
      </c>
      <c r="BJ51" s="86">
        <v>1481495.7768571428</v>
      </c>
      <c r="BK51" s="86">
        <v>50089658.079809517</v>
      </c>
      <c r="BL51" s="54">
        <v>9404182.1007285137</v>
      </c>
      <c r="BM51" s="93">
        <v>8172728.0800000001</v>
      </c>
      <c r="BN51" s="51">
        <v>194588.76380952381</v>
      </c>
      <c r="BO51" s="86">
        <v>7978139.3161904765</v>
      </c>
      <c r="BP51" s="54">
        <v>1456491.8726231416</v>
      </c>
      <c r="BQ51" s="87">
        <v>52332228.225235298</v>
      </c>
      <c r="BR51" s="90">
        <v>52332228.225235298</v>
      </c>
      <c r="BS51" s="38"/>
      <c r="BT51" s="89"/>
    </row>
    <row r="52" spans="1:74" hidden="1">
      <c r="A52">
        <f t="shared" si="10"/>
        <v>37</v>
      </c>
      <c r="C52" s="37" t="str">
        <f t="shared" si="11"/>
        <v>Base FCR</v>
      </c>
      <c r="D52" s="85">
        <f t="shared" si="12"/>
        <v>2016</v>
      </c>
      <c r="E52" s="86">
        <v>27366059.880952373</v>
      </c>
      <c r="F52" s="86">
        <v>958810.85714285716</v>
      </c>
      <c r="G52" s="86">
        <v>26407249.023809515</v>
      </c>
      <c r="H52" s="43">
        <v>4840416.2817078773</v>
      </c>
      <c r="I52" s="93">
        <v>5880643.3583333343</v>
      </c>
      <c r="J52" s="86">
        <v>199625.8</v>
      </c>
      <c r="K52" s="86">
        <v>5681017.5583333345</v>
      </c>
      <c r="L52" s="54">
        <v>1034679.4078784117</v>
      </c>
      <c r="M52" s="93">
        <v>4219414.7166666668</v>
      </c>
      <c r="N52" s="86">
        <v>143233.3142857143</v>
      </c>
      <c r="O52" s="86">
        <v>4076181.4023809526</v>
      </c>
      <c r="P52" s="54">
        <v>742391.81916167785</v>
      </c>
      <c r="Q52" s="93">
        <v>32156190.476190485</v>
      </c>
      <c r="R52" s="86">
        <v>1048571.4285714285</v>
      </c>
      <c r="S52" s="86">
        <v>31107619.047619056</v>
      </c>
      <c r="T52" s="54">
        <v>5621084.9354373254</v>
      </c>
      <c r="U52" s="93">
        <v>17523809.523809526</v>
      </c>
      <c r="V52" s="86">
        <v>571428.57142857148</v>
      </c>
      <c r="W52" s="86">
        <v>16952380.952380955</v>
      </c>
      <c r="X52" s="54">
        <v>3063261.5451974524</v>
      </c>
      <c r="Y52" s="93">
        <v>1752380.9523809529</v>
      </c>
      <c r="Z52" s="86">
        <v>57142.857142857145</v>
      </c>
      <c r="AA52" s="86">
        <v>1695238.0952380958</v>
      </c>
      <c r="AB52" s="54">
        <v>306326.15451974527</v>
      </c>
      <c r="AC52" s="93">
        <v>1752380.9523809529</v>
      </c>
      <c r="AD52" s="86">
        <v>57142.857142857145</v>
      </c>
      <c r="AE52" s="86">
        <v>1695238.0952380958</v>
      </c>
      <c r="AF52" s="54">
        <v>306326.15451974527</v>
      </c>
      <c r="AG52" s="93">
        <v>1752380.9523809529</v>
      </c>
      <c r="AH52" s="86">
        <v>57142.857142857145</v>
      </c>
      <c r="AI52" s="86">
        <v>1695238.0952380958</v>
      </c>
      <c r="AJ52" s="54">
        <v>306326.15451974527</v>
      </c>
      <c r="AK52" s="93">
        <v>1771428.5714285718</v>
      </c>
      <c r="AL52" s="86">
        <v>57142.857142857145</v>
      </c>
      <c r="AM52" s="86">
        <v>1714285.7142857148</v>
      </c>
      <c r="AN52" s="54">
        <v>309125.96684982267</v>
      </c>
      <c r="AO52" s="93">
        <v>14287843.800000001</v>
      </c>
      <c r="AP52" s="86">
        <v>453582.34285714285</v>
      </c>
      <c r="AQ52" s="86">
        <v>13834261.457142858</v>
      </c>
      <c r="AR52" s="54">
        <v>2487082.4726313516</v>
      </c>
      <c r="AS52" s="93">
        <v>26589921.299999997</v>
      </c>
      <c r="AT52" s="86">
        <v>844124.48571428575</v>
      </c>
      <c r="AU52" s="86">
        <v>25745796.81428571</v>
      </c>
      <c r="AV52" s="54">
        <v>4628502.9525502678</v>
      </c>
      <c r="AW52" s="93">
        <v>52723052.999999993</v>
      </c>
      <c r="AX52" s="86">
        <v>1673747.7142857143</v>
      </c>
      <c r="AY52" s="86">
        <v>51049305.285714276</v>
      </c>
      <c r="AZ52" s="54">
        <v>9177492.6192791797</v>
      </c>
      <c r="BA52" s="93">
        <v>4704258.5999999996</v>
      </c>
      <c r="BB52" s="86">
        <v>149341.54285714286</v>
      </c>
      <c r="BC52" s="86">
        <v>4554917.0571428565</v>
      </c>
      <c r="BD52" s="54">
        <v>818869.47215823422</v>
      </c>
      <c r="BE52" s="93">
        <v>17667244.428571429</v>
      </c>
      <c r="BF52" s="86">
        <v>543480.11428571434</v>
      </c>
      <c r="BG52" s="86">
        <v>17123764.314285714</v>
      </c>
      <c r="BH52" s="54">
        <v>3060504.753670726</v>
      </c>
      <c r="BI52" s="93">
        <v>50089658.079809517</v>
      </c>
      <c r="BJ52" s="86">
        <v>1481495.7768571428</v>
      </c>
      <c r="BK52" s="86">
        <v>48608162.302952372</v>
      </c>
      <c r="BL52" s="54">
        <v>8626416.7151631266</v>
      </c>
      <c r="BM52" s="93">
        <v>8428916.2361904755</v>
      </c>
      <c r="BN52" s="86">
        <v>246385.85714285713</v>
      </c>
      <c r="BO52" s="86">
        <v>8182530.3790476182</v>
      </c>
      <c r="BP52" s="54">
        <v>1449137.2030836015</v>
      </c>
      <c r="BQ52" s="87">
        <f t="shared" ref="BQ52:BQ75" si="13">H52+L52+P52+T52+X52+AB52+AF52+AJ52+AN52+AR52+AV52+AZ52+BD52+BH52+BL52+BP52</f>
        <v>46777944.608328298</v>
      </c>
      <c r="BR52" s="36"/>
      <c r="BS52" s="88">
        <f>+BQ52</f>
        <v>46777944.608328298</v>
      </c>
      <c r="BT52" s="89"/>
      <c r="BU52" s="89"/>
    </row>
    <row r="53" spans="1:74" hidden="1">
      <c r="A53">
        <f t="shared" si="10"/>
        <v>38</v>
      </c>
      <c r="C53" s="37" t="str">
        <f t="shared" si="11"/>
        <v>W Increased ROE</v>
      </c>
      <c r="D53" s="85">
        <f t="shared" si="12"/>
        <v>2016</v>
      </c>
      <c r="E53" s="86">
        <v>27366059.880952373</v>
      </c>
      <c r="F53" s="86">
        <v>958810.85714285716</v>
      </c>
      <c r="G53" s="86">
        <v>26407249.023809515</v>
      </c>
      <c r="H53" s="43">
        <v>5095128.4630050119</v>
      </c>
      <c r="I53" s="93">
        <v>5880643.3583333343</v>
      </c>
      <c r="J53" s="86">
        <v>199625.8</v>
      </c>
      <c r="K53" s="86">
        <v>5681017.5583333345</v>
      </c>
      <c r="L53" s="54">
        <v>1034679.4078784117</v>
      </c>
      <c r="M53" s="93">
        <v>4219414.7166666668</v>
      </c>
      <c r="N53" s="86">
        <v>143233.3142857143</v>
      </c>
      <c r="O53" s="86">
        <v>4076181.4023809526</v>
      </c>
      <c r="P53" s="54">
        <v>742391.81916167785</v>
      </c>
      <c r="Q53" s="93">
        <v>32156190.476190485</v>
      </c>
      <c r="R53" s="86">
        <v>1048571.4285714285</v>
      </c>
      <c r="S53" s="86">
        <v>31107619.047619056</v>
      </c>
      <c r="T53" s="54">
        <v>5921134.7246234417</v>
      </c>
      <c r="U53" s="93">
        <v>17523809.523809526</v>
      </c>
      <c r="V53" s="86">
        <v>571428.57142857148</v>
      </c>
      <c r="W53" s="86">
        <v>16952380.952380955</v>
      </c>
      <c r="X53" s="54">
        <v>3226776.4166885237</v>
      </c>
      <c r="Y53" s="93">
        <v>1752380.9523809529</v>
      </c>
      <c r="Z53" s="86">
        <v>57142.857142857145</v>
      </c>
      <c r="AA53" s="86">
        <v>1695238.0952380958</v>
      </c>
      <c r="AB53" s="54">
        <v>306326.15451974527</v>
      </c>
      <c r="AC53" s="93">
        <v>1752380.9523809529</v>
      </c>
      <c r="AD53" s="86">
        <v>57142.857142857145</v>
      </c>
      <c r="AE53" s="86">
        <v>1695238.0952380958</v>
      </c>
      <c r="AF53" s="54">
        <v>306326.15451974527</v>
      </c>
      <c r="AG53" s="93">
        <v>1752380.9523809529</v>
      </c>
      <c r="AH53" s="86">
        <v>57142.857142857145</v>
      </c>
      <c r="AI53" s="86">
        <v>1695238.0952380958</v>
      </c>
      <c r="AJ53" s="54">
        <v>306326.15451974527</v>
      </c>
      <c r="AK53" s="93">
        <v>1771428.5714285718</v>
      </c>
      <c r="AL53" s="86">
        <v>57142.857142857145</v>
      </c>
      <c r="AM53" s="86">
        <v>1714285.7142857148</v>
      </c>
      <c r="AN53" s="54">
        <v>309125.96684982267</v>
      </c>
      <c r="AO53" s="93">
        <v>14287843.800000001</v>
      </c>
      <c r="AP53" s="86">
        <v>453582.34285714285</v>
      </c>
      <c r="AQ53" s="86">
        <v>13834261.457142858</v>
      </c>
      <c r="AR53" s="54">
        <v>2620521.397269303</v>
      </c>
      <c r="AS53" s="93">
        <v>26589921.299999997</v>
      </c>
      <c r="AT53" s="86">
        <v>844124.48571428575</v>
      </c>
      <c r="AU53" s="86">
        <v>25745796.81428571</v>
      </c>
      <c r="AV53" s="54">
        <v>4876835.0699884323</v>
      </c>
      <c r="AW53" s="93">
        <v>52723052.999999993</v>
      </c>
      <c r="AX53" s="86">
        <v>1673747.7142857143</v>
      </c>
      <c r="AY53" s="86">
        <v>51049305.285714276</v>
      </c>
      <c r="AZ53" s="54">
        <v>9177492.6192791797</v>
      </c>
      <c r="BA53" s="93">
        <v>4704258.5999999996</v>
      </c>
      <c r="BB53" s="86">
        <v>149341.54285714286</v>
      </c>
      <c r="BC53" s="86">
        <v>4554917.0571428565</v>
      </c>
      <c r="BD53" s="54">
        <v>818869.47215823422</v>
      </c>
      <c r="BE53" s="93">
        <v>17667244.428571429</v>
      </c>
      <c r="BF53" s="86">
        <v>543480.11428571434</v>
      </c>
      <c r="BG53" s="86">
        <v>17123764.314285714</v>
      </c>
      <c r="BH53" s="54">
        <v>3225672.7102639014</v>
      </c>
      <c r="BI53" s="93">
        <v>50089658.079809517</v>
      </c>
      <c r="BJ53" s="86">
        <v>1481495.7768571428</v>
      </c>
      <c r="BK53" s="86">
        <v>48608162.302952372</v>
      </c>
      <c r="BL53" s="54">
        <v>8626416.7151631266</v>
      </c>
      <c r="BM53" s="93">
        <v>8428916.2361904755</v>
      </c>
      <c r="BN53" s="86">
        <v>246385.85714285713</v>
      </c>
      <c r="BO53" s="86">
        <v>8182530.3790476182</v>
      </c>
      <c r="BP53" s="54">
        <v>1449137.2030836015</v>
      </c>
      <c r="BQ53" s="87">
        <f t="shared" si="13"/>
        <v>48043160.448971905</v>
      </c>
      <c r="BR53" s="90">
        <f>+BQ53</f>
        <v>48043160.448971905</v>
      </c>
      <c r="BS53" s="38"/>
      <c r="BT53" s="89"/>
    </row>
    <row r="54" spans="1:74" hidden="1">
      <c r="A54">
        <v>39</v>
      </c>
      <c r="C54" s="37" t="s">
        <v>47</v>
      </c>
      <c r="D54" s="85">
        <v>2017</v>
      </c>
      <c r="E54" s="86">
        <v>26407249.023809515</v>
      </c>
      <c r="F54" s="86">
        <v>958810.85714285716</v>
      </c>
      <c r="G54" s="86">
        <v>25448438.166666657</v>
      </c>
      <c r="H54" s="43">
        <v>4705055.4246930825</v>
      </c>
      <c r="I54" s="93">
        <v>5681017.5583333345</v>
      </c>
      <c r="J54" s="86">
        <v>199625.8</v>
      </c>
      <c r="K54" s="86">
        <v>5481391.7583333347</v>
      </c>
      <c r="L54" s="54">
        <v>1006537.16967957</v>
      </c>
      <c r="M54" s="93">
        <v>4076181.4023809526</v>
      </c>
      <c r="N54" s="86">
        <v>143233.3142857143</v>
      </c>
      <c r="O54" s="86">
        <v>3932948.0880952384</v>
      </c>
      <c r="P54" s="54">
        <v>722199.50910637376</v>
      </c>
      <c r="Q54" s="93">
        <v>31107619.047619056</v>
      </c>
      <c r="R54" s="86">
        <v>1048571.4285714285</v>
      </c>
      <c r="S54" s="86">
        <v>30059047.619047627</v>
      </c>
      <c r="T54" s="54">
        <v>5473540.1874043271</v>
      </c>
      <c r="U54" s="93">
        <v>16952380.952380955</v>
      </c>
      <c r="V54" s="86">
        <v>571428.57142857148</v>
      </c>
      <c r="W54" s="86">
        <v>16380952.380952384</v>
      </c>
      <c r="X54" s="54">
        <v>2982855.6879587611</v>
      </c>
      <c r="Y54" s="93">
        <v>1695238.0952380958</v>
      </c>
      <c r="Z54" s="86">
        <v>57142.857142857145</v>
      </c>
      <c r="AA54" s="86">
        <v>1638095.2380952388</v>
      </c>
      <c r="AB54" s="54">
        <v>298285.56879587617</v>
      </c>
      <c r="AC54" s="93">
        <v>1695238.0952380958</v>
      </c>
      <c r="AD54" s="86">
        <v>57142.857142857145</v>
      </c>
      <c r="AE54" s="86">
        <v>1638095.2380952388</v>
      </c>
      <c r="AF54" s="54">
        <v>298285.56879587617</v>
      </c>
      <c r="AG54" s="93">
        <v>1695238.0952380958</v>
      </c>
      <c r="AH54" s="86">
        <v>57142.857142857145</v>
      </c>
      <c r="AI54" s="86">
        <v>1638095.2380952388</v>
      </c>
      <c r="AJ54" s="54">
        <v>298285.56879587617</v>
      </c>
      <c r="AK54" s="93">
        <v>1714285.7142857148</v>
      </c>
      <c r="AL54" s="86">
        <v>57142.857142857145</v>
      </c>
      <c r="AM54" s="86">
        <v>1657142.8571428577</v>
      </c>
      <c r="AN54" s="54">
        <v>301089.55381509732</v>
      </c>
      <c r="AO54" s="93">
        <v>13834261.457142858</v>
      </c>
      <c r="AP54" s="86">
        <v>453582.34285714285</v>
      </c>
      <c r="AQ54" s="86">
        <v>13380679.114285715</v>
      </c>
      <c r="AR54" s="54">
        <v>2423341.5914889229</v>
      </c>
      <c r="AS54" s="93">
        <v>25745796.81428571</v>
      </c>
      <c r="AT54" s="86">
        <v>844124.48571428575</v>
      </c>
      <c r="AU54" s="86">
        <v>24901672.328571424</v>
      </c>
      <c r="AV54" s="54">
        <v>4509880.0842648633</v>
      </c>
      <c r="AW54" s="93">
        <v>51049305.285714276</v>
      </c>
      <c r="AX54" s="86">
        <v>1673747.7142857143</v>
      </c>
      <c r="AY54" s="86">
        <v>49375557.57142856</v>
      </c>
      <c r="AZ54" s="54">
        <v>8942284.7109495141</v>
      </c>
      <c r="BA54" s="93">
        <v>4554917.0571428565</v>
      </c>
      <c r="BB54" s="86">
        <v>149341.54285714286</v>
      </c>
      <c r="BC54" s="86">
        <v>4405575.5142857134</v>
      </c>
      <c r="BD54" s="54">
        <v>797882.84937013732</v>
      </c>
      <c r="BE54" s="93">
        <v>17123764.314285714</v>
      </c>
      <c r="BF54" s="86">
        <v>543480.11428571434</v>
      </c>
      <c r="BG54" s="86">
        <v>16580284.199999999</v>
      </c>
      <c r="BH54" s="54">
        <v>2984250.7111252439</v>
      </c>
      <c r="BI54" s="93">
        <v>48608162.302952372</v>
      </c>
      <c r="BJ54" s="86">
        <v>1481495.7768571428</v>
      </c>
      <c r="BK54" s="86">
        <v>47126666.526095226</v>
      </c>
      <c r="BL54" s="54">
        <v>8418975.2914697416</v>
      </c>
      <c r="BM54" s="93">
        <v>8182530.3790476182</v>
      </c>
      <c r="BN54" s="86">
        <v>246385.85714285713</v>
      </c>
      <c r="BO54" s="86">
        <v>7936144.521904761</v>
      </c>
      <c r="BP54" s="54">
        <v>1414659.4505070918</v>
      </c>
      <c r="BQ54" s="87">
        <v>45577408.928220347</v>
      </c>
      <c r="BR54" s="36"/>
      <c r="BS54" s="88">
        <v>45577408.928220347</v>
      </c>
    </row>
    <row r="55" spans="1:74" hidden="1">
      <c r="A55">
        <v>40</v>
      </c>
      <c r="C55" s="37" t="s">
        <v>64</v>
      </c>
      <c r="D55" s="85">
        <v>2017</v>
      </c>
      <c r="E55" s="86">
        <v>26407249.023809515</v>
      </c>
      <c r="F55" s="86">
        <v>958810.85714285716</v>
      </c>
      <c r="G55" s="86">
        <v>25448438.166666657</v>
      </c>
      <c r="H55" s="43">
        <v>4940963.1853444688</v>
      </c>
      <c r="I55" s="93">
        <v>5681017.5583333345</v>
      </c>
      <c r="J55" s="86">
        <v>199625.8</v>
      </c>
      <c r="K55" s="86">
        <v>5481391.7583333347</v>
      </c>
      <c r="L55" s="54">
        <v>1006537.16967957</v>
      </c>
      <c r="M55" s="93">
        <v>4076181.4023809526</v>
      </c>
      <c r="N55" s="86">
        <v>143233.3142857143</v>
      </c>
      <c r="O55" s="86">
        <v>3932948.0880952384</v>
      </c>
      <c r="P55" s="54">
        <v>722199.50910637376</v>
      </c>
      <c r="Q55" s="93">
        <v>31107619.047619056</v>
      </c>
      <c r="R55" s="86">
        <v>1048571.4285714285</v>
      </c>
      <c r="S55" s="86">
        <v>30059047.619047627</v>
      </c>
      <c r="T55" s="54">
        <v>5752188.4315394498</v>
      </c>
      <c r="U55" s="93">
        <v>16952380.952380955</v>
      </c>
      <c r="V55" s="86">
        <v>571428.57142857148</v>
      </c>
      <c r="W55" s="86">
        <v>16380952.380952384</v>
      </c>
      <c r="X55" s="54">
        <v>3134707.5921195913</v>
      </c>
      <c r="Y55" s="93">
        <v>1695238.0952380958</v>
      </c>
      <c r="Z55" s="86">
        <v>57142.857142857145</v>
      </c>
      <c r="AA55" s="86">
        <v>1638095.2380952388</v>
      </c>
      <c r="AB55" s="54">
        <v>298285.56879587617</v>
      </c>
      <c r="AC55" s="93">
        <v>1695238.0952380958</v>
      </c>
      <c r="AD55" s="86">
        <v>57142.857142857145</v>
      </c>
      <c r="AE55" s="86">
        <v>1638095.2380952388</v>
      </c>
      <c r="AF55" s="54">
        <v>298285.56879587617</v>
      </c>
      <c r="AG55" s="93">
        <v>1695238.0952380958</v>
      </c>
      <c r="AH55" s="86">
        <v>57142.857142857145</v>
      </c>
      <c r="AI55" s="86">
        <v>1638095.2380952388</v>
      </c>
      <c r="AJ55" s="54">
        <v>298285.56879587617</v>
      </c>
      <c r="AK55" s="93">
        <v>1714285.7142857148</v>
      </c>
      <c r="AL55" s="86">
        <v>57142.857142857145</v>
      </c>
      <c r="AM55" s="86">
        <v>1657142.8571428577</v>
      </c>
      <c r="AN55" s="54">
        <v>301089.55381509732</v>
      </c>
      <c r="AO55" s="93">
        <v>13834261.457142858</v>
      </c>
      <c r="AP55" s="86">
        <v>453582.34285714285</v>
      </c>
      <c r="AQ55" s="86">
        <v>13380679.114285715</v>
      </c>
      <c r="AR55" s="54">
        <v>2547380.8753605974</v>
      </c>
      <c r="AS55" s="93">
        <v>25745796.81428571</v>
      </c>
      <c r="AT55" s="86">
        <v>844124.48571428575</v>
      </c>
      <c r="AU55" s="86">
        <v>24901672.328571424</v>
      </c>
      <c r="AV55" s="54">
        <v>4740719.3097228138</v>
      </c>
      <c r="AW55" s="93">
        <v>51049305.285714276</v>
      </c>
      <c r="AX55" s="86">
        <v>1673747.7142857143</v>
      </c>
      <c r="AY55" s="86">
        <v>49375557.57142856</v>
      </c>
      <c r="AZ55" s="54">
        <v>8942284.7109495141</v>
      </c>
      <c r="BA55" s="93">
        <v>4554917.0571428565</v>
      </c>
      <c r="BB55" s="86">
        <v>149341.54285714286</v>
      </c>
      <c r="BC55" s="86">
        <v>4405575.5142857134</v>
      </c>
      <c r="BD55" s="54">
        <v>797882.84937013732</v>
      </c>
      <c r="BE55" s="93">
        <v>17123764.314285714</v>
      </c>
      <c r="BF55" s="86">
        <v>543480.11428571434</v>
      </c>
      <c r="BG55" s="86">
        <v>16580284.199999999</v>
      </c>
      <c r="BH55" s="54">
        <v>3137950.4270358607</v>
      </c>
      <c r="BI55" s="93">
        <v>48608162.302952372</v>
      </c>
      <c r="BJ55" s="86">
        <v>1481495.7768571428</v>
      </c>
      <c r="BK55" s="86">
        <v>47126666.526095226</v>
      </c>
      <c r="BL55" s="54">
        <v>8418975.2914697416</v>
      </c>
      <c r="BM55" s="93">
        <v>8182530.3790476182</v>
      </c>
      <c r="BN55" s="86">
        <v>246385.85714285713</v>
      </c>
      <c r="BO55" s="86">
        <v>7936144.521904761</v>
      </c>
      <c r="BP55" s="54">
        <v>1414659.4505070918</v>
      </c>
      <c r="BQ55" s="87">
        <v>46752395.062407941</v>
      </c>
      <c r="BR55" s="90">
        <v>46752395.062407941</v>
      </c>
      <c r="BS55" s="38"/>
    </row>
    <row r="56" spans="1:74">
      <c r="A56">
        <f t="shared" si="10"/>
        <v>41</v>
      </c>
      <c r="C56" s="37" t="str">
        <f t="shared" si="11"/>
        <v>Base FCR</v>
      </c>
      <c r="D56" s="85">
        <f t="shared" si="12"/>
        <v>2018</v>
      </c>
      <c r="E56" s="86">
        <f>+G55</f>
        <v>25448438.166666657</v>
      </c>
      <c r="F56" s="86">
        <f>+E$32</f>
        <v>958810.85714285716</v>
      </c>
      <c r="G56" s="86">
        <f t="shared" ref="G56:G75" si="14">+E56-F56</f>
        <v>24489627.309523799</v>
      </c>
      <c r="H56" s="43">
        <f>+E$29*G56+F56</f>
        <v>4044506.3895536489</v>
      </c>
      <c r="I56" s="93">
        <f>+K55</f>
        <v>5481391.7583333347</v>
      </c>
      <c r="J56" s="86">
        <f>+I$32</f>
        <v>199625.8</v>
      </c>
      <c r="K56" s="86">
        <f t="shared" ref="K56:K75" si="15">+I56-J56</f>
        <v>5281765.9583333349</v>
      </c>
      <c r="L56" s="54">
        <f>+I$29*K56+J56</f>
        <v>865128.84808152216</v>
      </c>
      <c r="M56" s="93">
        <f>+O55</f>
        <v>3932948.0880952384</v>
      </c>
      <c r="N56" s="86">
        <f>+M$32</f>
        <v>143233.3142857143</v>
      </c>
      <c r="O56" s="86">
        <f t="shared" ref="O56:O75" si="16">+M56-N56</f>
        <v>3789714.7738095243</v>
      </c>
      <c r="P56" s="54">
        <f>+M$29*O56+N56</f>
        <v>620737.76132593397</v>
      </c>
      <c r="Q56" s="93">
        <f>+S55</f>
        <v>30059047.619047627</v>
      </c>
      <c r="R56" s="86">
        <f>+Q$32</f>
        <v>1048571.4285714285</v>
      </c>
      <c r="S56" s="86">
        <f t="shared" si="0"/>
        <v>29010476.190476198</v>
      </c>
      <c r="T56" s="54">
        <f>+Q$29*S56+R56</f>
        <v>4703894.379903133</v>
      </c>
      <c r="U56" s="93">
        <f>+W55</f>
        <v>16380952.380952384</v>
      </c>
      <c r="V56" s="86">
        <f>+U$32</f>
        <v>571428.57142857148</v>
      </c>
      <c r="W56" s="86">
        <f t="shared" si="1"/>
        <v>15809523.809523813</v>
      </c>
      <c r="X56" s="54">
        <f>+U$29*W56+V56</f>
        <v>2563430.1797837238</v>
      </c>
      <c r="Y56" s="93">
        <f>+AA55</f>
        <v>1638095.2380952388</v>
      </c>
      <c r="Z56" s="86">
        <f>+Y$32</f>
        <v>57142.857142857145</v>
      </c>
      <c r="AA56" s="86">
        <f t="shared" ref="AA56:AA75" si="17">+Y56-Z56</f>
        <v>1580952.3809523818</v>
      </c>
      <c r="AB56" s="54">
        <f>+Y$29*AA56+Z56</f>
        <v>256343.01797837246</v>
      </c>
      <c r="AC56" s="93">
        <f>+AE55</f>
        <v>1638095.2380952388</v>
      </c>
      <c r="AD56" s="86">
        <f>+AC$32</f>
        <v>57142.857142857145</v>
      </c>
      <c r="AE56" s="86">
        <f t="shared" ref="AE56:AE75" si="18">+AC56-AD56</f>
        <v>1580952.3809523818</v>
      </c>
      <c r="AF56" s="54">
        <f>+AC$29*AE56+AD56</f>
        <v>256343.01797837246</v>
      </c>
      <c r="AG56" s="93">
        <f>+AI55</f>
        <v>1638095.2380952388</v>
      </c>
      <c r="AH56" s="86">
        <f>+AG$32</f>
        <v>57142.857142857145</v>
      </c>
      <c r="AI56" s="86">
        <f t="shared" ref="AI56:AI75" si="19">+AG56-AH56</f>
        <v>1580952.3809523818</v>
      </c>
      <c r="AJ56" s="54">
        <f>+AG$29*AI56+AH56</f>
        <v>256343.01797837246</v>
      </c>
      <c r="AK56" s="93">
        <f>+AM55</f>
        <v>1657142.8571428577</v>
      </c>
      <c r="AL56" s="86">
        <f>+AK$32</f>
        <v>57142.857142857145</v>
      </c>
      <c r="AM56" s="86">
        <f t="shared" ref="AM56:AM75" si="20">+AK56-AL56</f>
        <v>1600000.0000000007</v>
      </c>
      <c r="AN56" s="54">
        <f>+AK$29*AM56+AL56</f>
        <v>258743.01991614973</v>
      </c>
      <c r="AO56" s="93">
        <f t="shared" ref="AO56:AO74" si="21">+AQ55</f>
        <v>13380679.114285715</v>
      </c>
      <c r="AP56" s="86">
        <f>+AO$32</f>
        <v>453582.34285714285</v>
      </c>
      <c r="AQ56" s="86">
        <f t="shared" ref="AQ56:AQ75" si="22">+AO56-AP56</f>
        <v>12927096.771428572</v>
      </c>
      <c r="AR56" s="54">
        <f>+AO$29*AQ56+AP56</f>
        <v>2082397.8511734579</v>
      </c>
      <c r="AS56" s="93">
        <f t="shared" ref="AS56:AS74" si="23">+AU55</f>
        <v>24901672.328571424</v>
      </c>
      <c r="AT56" s="86">
        <f>+AS$32</f>
        <v>844124.48571428575</v>
      </c>
      <c r="AU56" s="86">
        <f t="shared" ref="AU56:AU75" si="24">+AS56-AT56</f>
        <v>24057547.842857137</v>
      </c>
      <c r="AV56" s="54">
        <f>+AS$29*AU56+AT56</f>
        <v>3875377.9613682046</v>
      </c>
      <c r="AW56" s="93">
        <f t="shared" ref="AW56:AW74" si="25">+AY55</f>
        <v>49375557.57142856</v>
      </c>
      <c r="AX56" s="86">
        <f>+AW$32</f>
        <v>1673747.7142857143</v>
      </c>
      <c r="AY56" s="86">
        <f t="shared" ref="AY56:AY75" si="26">+AW56-AX56</f>
        <v>47701809.857142843</v>
      </c>
      <c r="AZ56" s="54">
        <f>+AW$29*AY56+AX56</f>
        <v>7684180.6091486178</v>
      </c>
      <c r="BA56" s="93">
        <f t="shared" ref="BA56:BA74" si="27">+BC55</f>
        <v>4405575.5142857134</v>
      </c>
      <c r="BB56" s="86">
        <f>+BA$32</f>
        <v>149341.54285714286</v>
      </c>
      <c r="BC56" s="86">
        <f t="shared" ref="BC56:BC75" si="28">+BA56-BB56</f>
        <v>4256233.9714285703</v>
      </c>
      <c r="BD56" s="54">
        <f>+BA$29*BC56+BB56</f>
        <v>685627.45625790348</v>
      </c>
      <c r="BE56" s="93">
        <f t="shared" ref="BE56" si="29">+BG55</f>
        <v>16580284.199999999</v>
      </c>
      <c r="BF56" s="86">
        <f>+BE$32</f>
        <v>543480.11428571434</v>
      </c>
      <c r="BG56" s="86">
        <f t="shared" ref="BG56:BG75" si="30">+BE56-BF56</f>
        <v>16036804.085714284</v>
      </c>
      <c r="BH56" s="54">
        <f>+BE$29*BG56+BF56</f>
        <v>2564119.0605628407</v>
      </c>
      <c r="BI56" s="93">
        <f t="shared" ref="BI56" si="31">+BK55</f>
        <v>47126666.526095226</v>
      </c>
      <c r="BJ56" s="86">
        <f>+BI$32</f>
        <v>1481495.7768571428</v>
      </c>
      <c r="BK56" s="86">
        <f t="shared" ref="BK56:BK75" si="32">+BI56-BJ56</f>
        <v>45645170.749238081</v>
      </c>
      <c r="BL56" s="54">
        <f>+BI$29*BK56+BJ56</f>
        <v>7232791.9348953459</v>
      </c>
      <c r="BM56" s="93">
        <f t="shared" ref="BM56" si="33">+BO55</f>
        <v>7936144.521904761</v>
      </c>
      <c r="BN56" s="86">
        <f>+BM$32</f>
        <v>246385.85714285713</v>
      </c>
      <c r="BO56" s="86">
        <f t="shared" ref="BO56:BO75" si="34">+BM56-BN56</f>
        <v>7689758.6647619037</v>
      </c>
      <c r="BP56" s="54">
        <f>+BM$29*BO56+BN56</f>
        <v>1215296.2312074422</v>
      </c>
      <c r="BQ56" s="87">
        <f t="shared" si="13"/>
        <v>39165260.737113044</v>
      </c>
      <c r="BR56" s="36"/>
      <c r="BS56" s="88">
        <f>+BQ56</f>
        <v>39165260.737113044</v>
      </c>
    </row>
    <row r="57" spans="1:74">
      <c r="A57">
        <f t="shared" si="10"/>
        <v>42</v>
      </c>
      <c r="C57" s="37" t="str">
        <f t="shared" si="11"/>
        <v>W Increased ROE</v>
      </c>
      <c r="D57" s="85">
        <f t="shared" si="12"/>
        <v>2018</v>
      </c>
      <c r="E57" s="86">
        <f>+E56</f>
        <v>25448438.166666657</v>
      </c>
      <c r="F57" s="86">
        <f>+F56</f>
        <v>958810.85714285716</v>
      </c>
      <c r="G57" s="86">
        <f t="shared" si="14"/>
        <v>24489627.309523799</v>
      </c>
      <c r="H57" s="43">
        <f>+E$30*G57+F57</f>
        <v>4235158.9367110161</v>
      </c>
      <c r="I57" s="93">
        <f>+I56</f>
        <v>5481391.7583333347</v>
      </c>
      <c r="J57" s="86">
        <f>+J56</f>
        <v>199625.8</v>
      </c>
      <c r="K57" s="86">
        <f t="shared" si="15"/>
        <v>5281765.9583333349</v>
      </c>
      <c r="L57" s="54">
        <f>+I$30*K57+J57</f>
        <v>865128.84808152216</v>
      </c>
      <c r="M57" s="93">
        <f>+M56</f>
        <v>3932948.0880952384</v>
      </c>
      <c r="N57" s="86">
        <f>+N56</f>
        <v>143233.3142857143</v>
      </c>
      <c r="O57" s="86">
        <f t="shared" si="16"/>
        <v>3789714.7738095243</v>
      </c>
      <c r="P57" s="54">
        <f>+M$30*O57+N57</f>
        <v>620737.76132593397</v>
      </c>
      <c r="Q57" s="93">
        <f>+Q56</f>
        <v>30059047.619047627</v>
      </c>
      <c r="R57" s="86">
        <f>+R56</f>
        <v>1048571.4285714285</v>
      </c>
      <c r="S57" s="86">
        <f t="shared" si="0"/>
        <v>29010476.190476198</v>
      </c>
      <c r="T57" s="54">
        <f>+Q$30*S57+R57</f>
        <v>4929741.8830136247</v>
      </c>
      <c r="U57" s="93">
        <f>+U56</f>
        <v>16380952.380952384</v>
      </c>
      <c r="V57" s="86">
        <f>+V56</f>
        <v>571428.57142857148</v>
      </c>
      <c r="W57" s="86">
        <f t="shared" si="1"/>
        <v>15809523.809523813</v>
      </c>
      <c r="X57" s="54">
        <f>+U$30*W57+V57</f>
        <v>2686507.8381545637</v>
      </c>
      <c r="Y57" s="93">
        <f>+Y56</f>
        <v>1638095.2380952388</v>
      </c>
      <c r="Z57" s="86">
        <f>+Z56</f>
        <v>57142.857142857145</v>
      </c>
      <c r="AA57" s="86">
        <f t="shared" si="17"/>
        <v>1580952.3809523818</v>
      </c>
      <c r="AB57" s="54">
        <f>+Y$30*AA57+Z57</f>
        <v>256343.01797837246</v>
      </c>
      <c r="AC57" s="93">
        <f>+AC56</f>
        <v>1638095.2380952388</v>
      </c>
      <c r="AD57" s="86">
        <f>+AD56</f>
        <v>57142.857142857145</v>
      </c>
      <c r="AE57" s="86">
        <f t="shared" si="18"/>
        <v>1580952.3809523818</v>
      </c>
      <c r="AF57" s="54">
        <f>+AC$30*AE57+AD57</f>
        <v>256343.01797837246</v>
      </c>
      <c r="AG57" s="93">
        <f>+AG56</f>
        <v>1638095.2380952388</v>
      </c>
      <c r="AH57" s="86">
        <f>+AH56</f>
        <v>57142.857142857145</v>
      </c>
      <c r="AI57" s="86">
        <f t="shared" si="19"/>
        <v>1580952.3809523818</v>
      </c>
      <c r="AJ57" s="54">
        <f>+AG$30*AI57+AH57</f>
        <v>256343.01797837246</v>
      </c>
      <c r="AK57" s="93">
        <f>+AK56</f>
        <v>1657142.8571428577</v>
      </c>
      <c r="AL57" s="86">
        <f>+AL56</f>
        <v>57142.857142857145</v>
      </c>
      <c r="AM57" s="86">
        <f t="shared" si="20"/>
        <v>1600000.0000000007</v>
      </c>
      <c r="AN57" s="54">
        <f>+AK$30*AM57+AL57</f>
        <v>258743.01991614973</v>
      </c>
      <c r="AO57" s="93">
        <f>+AQ55</f>
        <v>13380679.114285715</v>
      </c>
      <c r="AP57" s="86">
        <f>+AP56</f>
        <v>453582.34285714285</v>
      </c>
      <c r="AQ57" s="86">
        <f t="shared" si="22"/>
        <v>12927096.771428572</v>
      </c>
      <c r="AR57" s="54">
        <f>+AO$30*AQ57+AP57</f>
        <v>2183035.7210631389</v>
      </c>
      <c r="AS57" s="93">
        <f>+AU55</f>
        <v>24901672.328571424</v>
      </c>
      <c r="AT57" s="86">
        <f>+AT56</f>
        <v>844124.48571428575</v>
      </c>
      <c r="AU57" s="86">
        <f t="shared" si="24"/>
        <v>24057547.842857137</v>
      </c>
      <c r="AV57" s="54">
        <f>+AS$30*AU57+AT57</f>
        <v>4062666.7557884138</v>
      </c>
      <c r="AW57" s="93">
        <f>+AY55</f>
        <v>49375557.57142856</v>
      </c>
      <c r="AX57" s="86">
        <f>+AX56</f>
        <v>1673747.7142857143</v>
      </c>
      <c r="AY57" s="86">
        <f t="shared" si="26"/>
        <v>47701809.857142843</v>
      </c>
      <c r="AZ57" s="54">
        <f>+AW$30*AY57+AX57</f>
        <v>7684180.6091486178</v>
      </c>
      <c r="BA57" s="93">
        <f>+BC55</f>
        <v>4405575.5142857134</v>
      </c>
      <c r="BB57" s="86">
        <f>+BB56</f>
        <v>149341.54285714286</v>
      </c>
      <c r="BC57" s="86">
        <f t="shared" si="28"/>
        <v>4256233.9714285703</v>
      </c>
      <c r="BD57" s="54">
        <f>+BA$30*BC57+BB57</f>
        <v>685627.45625790348</v>
      </c>
      <c r="BE57" s="93">
        <f>+BG55</f>
        <v>16580284.199999999</v>
      </c>
      <c r="BF57" s="86">
        <f>+BF56</f>
        <v>543480.11428571434</v>
      </c>
      <c r="BG57" s="86">
        <f t="shared" si="30"/>
        <v>16036804.085714284</v>
      </c>
      <c r="BH57" s="54">
        <f>+BE$30*BG57+BF57</f>
        <v>2688966.1032949318</v>
      </c>
      <c r="BI57" s="93">
        <f>+BK55</f>
        <v>47126666.526095226</v>
      </c>
      <c r="BJ57" s="86">
        <f>+BJ56</f>
        <v>1481495.7768571428</v>
      </c>
      <c r="BK57" s="86">
        <f t="shared" si="32"/>
        <v>45645170.749238081</v>
      </c>
      <c r="BL57" s="54">
        <f>+BI$30*BK57+BJ57</f>
        <v>7232791.9348953459</v>
      </c>
      <c r="BM57" s="93">
        <f>+BO55</f>
        <v>7936144.521904761</v>
      </c>
      <c r="BN57" s="86">
        <f>+BN56</f>
        <v>246385.85714285713</v>
      </c>
      <c r="BO57" s="86">
        <f t="shared" si="34"/>
        <v>7689758.6647619037</v>
      </c>
      <c r="BP57" s="54">
        <f>+BM$30*BO57+BN57</f>
        <v>1215296.2312074422</v>
      </c>
      <c r="BQ57" s="87">
        <f t="shared" si="13"/>
        <v>40117612.15279372</v>
      </c>
      <c r="BR57" s="90">
        <f>+BQ57</f>
        <v>40117612.15279372</v>
      </c>
      <c r="BS57" s="38"/>
    </row>
    <row r="58" spans="1:74">
      <c r="A58">
        <f t="shared" si="10"/>
        <v>43</v>
      </c>
      <c r="C58" s="37" t="str">
        <f t="shared" si="11"/>
        <v>Base FCR</v>
      </c>
      <c r="D58" s="85">
        <f t="shared" si="12"/>
        <v>2019</v>
      </c>
      <c r="E58" s="86">
        <f>+G57</f>
        <v>24489627.309523799</v>
      </c>
      <c r="F58" s="86">
        <f>+E$32</f>
        <v>958810.85714285716</v>
      </c>
      <c r="G58" s="86">
        <f t="shared" si="14"/>
        <v>23530816.45238094</v>
      </c>
      <c r="H58" s="43">
        <f>+E$29*G58+F58</f>
        <v>3923696.124010649</v>
      </c>
      <c r="I58" s="93">
        <f>+K57</f>
        <v>5281765.9583333349</v>
      </c>
      <c r="J58" s="86">
        <f>+I$32</f>
        <v>199625.8</v>
      </c>
      <c r="K58" s="86">
        <f t="shared" si="15"/>
        <v>5082140.1583333351</v>
      </c>
      <c r="L58" s="54">
        <f>+I$29*K58+J58</f>
        <v>839975.9769729292</v>
      </c>
      <c r="M58" s="93">
        <f>+O57</f>
        <v>3789714.7738095243</v>
      </c>
      <c r="N58" s="86">
        <f>+M$32</f>
        <v>143233.3142857143</v>
      </c>
      <c r="O58" s="86">
        <f t="shared" si="16"/>
        <v>3646481.4595238101</v>
      </c>
      <c r="P58" s="54">
        <f>+M$29*O58+N58</f>
        <v>602690.3491543351</v>
      </c>
      <c r="Q58" s="93">
        <f>+S57</f>
        <v>29010476.190476198</v>
      </c>
      <c r="R58" s="86">
        <f>+Q$32</f>
        <v>1048571.4285714285</v>
      </c>
      <c r="S58" s="86">
        <f t="shared" si="0"/>
        <v>27961904.761904769</v>
      </c>
      <c r="T58" s="54">
        <f>+Q$29*S58+R58</f>
        <v>4571774.2732284935</v>
      </c>
      <c r="U58" s="93">
        <f>+W57</f>
        <v>15809523.809523813</v>
      </c>
      <c r="V58" s="86">
        <f>+U$32</f>
        <v>571428.57142857148</v>
      </c>
      <c r="W58" s="86">
        <f t="shared" si="1"/>
        <v>15238095.238095243</v>
      </c>
      <c r="X58" s="54">
        <f>+U$29*W58+V58</f>
        <v>2491430.1216504052</v>
      </c>
      <c r="Y58" s="93">
        <f>+AA57</f>
        <v>1580952.3809523818</v>
      </c>
      <c r="Z58" s="86">
        <f>+Y$32</f>
        <v>57142.857142857145</v>
      </c>
      <c r="AA58" s="86">
        <f t="shared" si="17"/>
        <v>1523809.5238095247</v>
      </c>
      <c r="AB58" s="54">
        <f>+Y$29*AA58+Z58</f>
        <v>249143.01216504059</v>
      </c>
      <c r="AC58" s="93">
        <f>+AE57</f>
        <v>1580952.3809523818</v>
      </c>
      <c r="AD58" s="86">
        <f>+AC$32</f>
        <v>57142.857142857145</v>
      </c>
      <c r="AE58" s="86">
        <f t="shared" si="18"/>
        <v>1523809.5238095247</v>
      </c>
      <c r="AF58" s="54">
        <f>+AC$29*AE58+AD58</f>
        <v>249143.01216504059</v>
      </c>
      <c r="AG58" s="93">
        <f>+AI57</f>
        <v>1580952.3809523818</v>
      </c>
      <c r="AH58" s="86">
        <f>+AG$32</f>
        <v>57142.857142857145</v>
      </c>
      <c r="AI58" s="86">
        <f t="shared" si="19"/>
        <v>1523809.5238095247</v>
      </c>
      <c r="AJ58" s="54">
        <f>+AG$29*AI58+AH58</f>
        <v>249143.01216504059</v>
      </c>
      <c r="AK58" s="93">
        <f>+AM57</f>
        <v>1600000.0000000007</v>
      </c>
      <c r="AL58" s="86">
        <f>+AK$32</f>
        <v>57142.857142857145</v>
      </c>
      <c r="AM58" s="86">
        <f t="shared" si="20"/>
        <v>1542857.1428571437</v>
      </c>
      <c r="AN58" s="54">
        <f>+AK$29*AM58+AL58</f>
        <v>251543.01410281786</v>
      </c>
      <c r="AO58" s="93">
        <f t="shared" si="21"/>
        <v>12927096.771428572</v>
      </c>
      <c r="AP58" s="86">
        <f>+AO$32</f>
        <v>453582.34285714285</v>
      </c>
      <c r="AQ58" s="86">
        <f t="shared" si="22"/>
        <v>12473514.428571429</v>
      </c>
      <c r="AR58" s="54">
        <f>+AO$29*AQ58+AP58</f>
        <v>2025246.4298290259</v>
      </c>
      <c r="AS58" s="93">
        <f t="shared" si="23"/>
        <v>24057547.842857137</v>
      </c>
      <c r="AT58" s="86">
        <f>+AS$32</f>
        <v>844124.48571428575</v>
      </c>
      <c r="AU58" s="86">
        <f t="shared" si="24"/>
        <v>23213423.357142851</v>
      </c>
      <c r="AV58" s="54">
        <f>+AS$29*AU58+AT58</f>
        <v>3769018.1902926285</v>
      </c>
      <c r="AW58" s="93">
        <f t="shared" si="25"/>
        <v>47701809.857142843</v>
      </c>
      <c r="AX58" s="86">
        <f>+AW$32</f>
        <v>1673747.7142857143</v>
      </c>
      <c r="AY58" s="86">
        <f t="shared" si="26"/>
        <v>46028062.142857127</v>
      </c>
      <c r="AZ58" s="54">
        <f>+AW$29*AY58+AX58</f>
        <v>7473288.2268727263</v>
      </c>
      <c r="BA58" s="93">
        <f t="shared" si="27"/>
        <v>4256233.9714285703</v>
      </c>
      <c r="BB58" s="86">
        <f>+BA$32</f>
        <v>149341.54285714286</v>
      </c>
      <c r="BC58" s="86">
        <f t="shared" si="28"/>
        <v>4106892.4285714272</v>
      </c>
      <c r="BD58" s="54">
        <f>+BA$29*BC58+BB58</f>
        <v>666810.4066648942</v>
      </c>
      <c r="BE58" s="93">
        <f t="shared" ref="BE58" si="35">+BG57</f>
        <v>16036804.085714284</v>
      </c>
      <c r="BF58" s="86">
        <f>+BE$32</f>
        <v>543480.11428571434</v>
      </c>
      <c r="BG58" s="86">
        <f t="shared" si="30"/>
        <v>15493323.971428569</v>
      </c>
      <c r="BH58" s="54">
        <f>+BE$29*BG58+BF58</f>
        <v>2495640.5108728106</v>
      </c>
      <c r="BI58" s="93">
        <f t="shared" ref="BI58" si="36">+BK57</f>
        <v>45645170.749238081</v>
      </c>
      <c r="BJ58" s="86">
        <f>+BI$32</f>
        <v>1481495.7768571428</v>
      </c>
      <c r="BK58" s="86">
        <f t="shared" si="32"/>
        <v>44163674.972380936</v>
      </c>
      <c r="BL58" s="54">
        <f>+BI$29*BK58+BJ58</f>
        <v>7046123.3162938803</v>
      </c>
      <c r="BM58" s="93">
        <f t="shared" ref="BM58" si="37">+BO57</f>
        <v>7689758.6647619037</v>
      </c>
      <c r="BN58" s="86">
        <f>+BM$32</f>
        <v>246385.85714285713</v>
      </c>
      <c r="BO58" s="86">
        <f t="shared" si="34"/>
        <v>7443372.8076190464</v>
      </c>
      <c r="BP58" s="54">
        <f>+BM$29*BO58+BN58</f>
        <v>1184251.5881417939</v>
      </c>
      <c r="BQ58" s="87">
        <f t="shared" si="13"/>
        <v>38088917.564582504</v>
      </c>
      <c r="BR58" s="36"/>
      <c r="BS58" s="88">
        <f>+BQ58</f>
        <v>38088917.564582504</v>
      </c>
      <c r="BU58" s="89"/>
    </row>
    <row r="59" spans="1:74">
      <c r="A59">
        <f t="shared" si="10"/>
        <v>44</v>
      </c>
      <c r="C59" s="37" t="str">
        <f t="shared" si="11"/>
        <v>W Increased ROE</v>
      </c>
      <c r="D59" s="85">
        <f t="shared" si="12"/>
        <v>2019</v>
      </c>
      <c r="E59" s="86">
        <f>+E58</f>
        <v>24489627.309523799</v>
      </c>
      <c r="F59" s="86">
        <f>+F58</f>
        <v>958810.85714285716</v>
      </c>
      <c r="G59" s="86">
        <f t="shared" si="14"/>
        <v>23530816.45238094</v>
      </c>
      <c r="H59" s="43">
        <f>+E$30*G59+F59</f>
        <v>4106884.297380452</v>
      </c>
      <c r="I59" s="93">
        <f>+I58</f>
        <v>5281765.9583333349</v>
      </c>
      <c r="J59" s="86">
        <f>+J58</f>
        <v>199625.8</v>
      </c>
      <c r="K59" s="86">
        <f t="shared" si="15"/>
        <v>5082140.1583333351</v>
      </c>
      <c r="L59" s="54">
        <f>+I$30*K59+J59</f>
        <v>839975.9769729292</v>
      </c>
      <c r="M59" s="93">
        <f>+M58</f>
        <v>3789714.7738095243</v>
      </c>
      <c r="N59" s="86">
        <f>+N58</f>
        <v>143233.3142857143</v>
      </c>
      <c r="O59" s="86">
        <f t="shared" si="16"/>
        <v>3646481.4595238101</v>
      </c>
      <c r="P59" s="54">
        <f>+M$30*O59+N59</f>
        <v>602690.3491543351</v>
      </c>
      <c r="Q59" s="93">
        <f>+Q58</f>
        <v>29010476.190476198</v>
      </c>
      <c r="R59" s="86">
        <f>+R58</f>
        <v>1048571.4285714285</v>
      </c>
      <c r="S59" s="86">
        <f t="shared" si="0"/>
        <v>27961904.761904769</v>
      </c>
      <c r="T59" s="54">
        <f>+Q$30*S59+R59</f>
        <v>4789458.6135759549</v>
      </c>
      <c r="U59" s="93">
        <f>+U58</f>
        <v>15809523.809523813</v>
      </c>
      <c r="V59" s="86">
        <f>+V58</f>
        <v>571428.57142857148</v>
      </c>
      <c r="W59" s="86">
        <f t="shared" si="1"/>
        <v>15238095.238095243</v>
      </c>
      <c r="X59" s="54">
        <f>+U$30*W59+V59</f>
        <v>2610059.1899596485</v>
      </c>
      <c r="Y59" s="93">
        <f>+Y58</f>
        <v>1580952.3809523818</v>
      </c>
      <c r="Z59" s="86">
        <f>+Z58</f>
        <v>57142.857142857145</v>
      </c>
      <c r="AA59" s="86">
        <f t="shared" si="17"/>
        <v>1523809.5238095247</v>
      </c>
      <c r="AB59" s="54">
        <f>+Y$30*AA59+Z59</f>
        <v>249143.01216504059</v>
      </c>
      <c r="AC59" s="93">
        <f>+AC58</f>
        <v>1580952.3809523818</v>
      </c>
      <c r="AD59" s="86">
        <f>+AD58</f>
        <v>57142.857142857145</v>
      </c>
      <c r="AE59" s="86">
        <f t="shared" si="18"/>
        <v>1523809.5238095247</v>
      </c>
      <c r="AF59" s="54">
        <f>+AC$30*AE59+AD59</f>
        <v>249143.01216504059</v>
      </c>
      <c r="AG59" s="93">
        <f>+AG58</f>
        <v>1580952.3809523818</v>
      </c>
      <c r="AH59" s="86">
        <f>+AH58</f>
        <v>57142.857142857145</v>
      </c>
      <c r="AI59" s="86">
        <f t="shared" si="19"/>
        <v>1523809.5238095247</v>
      </c>
      <c r="AJ59" s="54">
        <f>+AG$30*AI59+AH59</f>
        <v>249143.01216504059</v>
      </c>
      <c r="AK59" s="93">
        <f>+AK58</f>
        <v>1600000.0000000007</v>
      </c>
      <c r="AL59" s="86">
        <f>+AL58</f>
        <v>57142.857142857145</v>
      </c>
      <c r="AM59" s="86">
        <f t="shared" si="20"/>
        <v>1542857.1428571437</v>
      </c>
      <c r="AN59" s="54">
        <f>+AK$30*AM59+AL59</f>
        <v>251543.01410281786</v>
      </c>
      <c r="AO59" s="93">
        <f>+AQ57</f>
        <v>12927096.771428572</v>
      </c>
      <c r="AP59" s="86">
        <f>+AP58</f>
        <v>453582.34285714285</v>
      </c>
      <c r="AQ59" s="86">
        <f t="shared" si="22"/>
        <v>12473514.428571429</v>
      </c>
      <c r="AR59" s="54">
        <f>+AO$30*AQ59+AP59</f>
        <v>2122353.1463892441</v>
      </c>
      <c r="AS59" s="93">
        <f>+AU57</f>
        <v>24057547.842857137</v>
      </c>
      <c r="AT59" s="86">
        <f>+AT58</f>
        <v>844124.48571428575</v>
      </c>
      <c r="AU59" s="86">
        <f t="shared" si="24"/>
        <v>23213423.357142851</v>
      </c>
      <c r="AV59" s="54">
        <f>+AS$30*AU59+AT59</f>
        <v>3949735.4480665145</v>
      </c>
      <c r="AW59" s="93">
        <f>+AY57</f>
        <v>47701809.857142843</v>
      </c>
      <c r="AX59" s="86">
        <f>+AX58</f>
        <v>1673747.7142857143</v>
      </c>
      <c r="AY59" s="86">
        <f t="shared" si="26"/>
        <v>46028062.142857127</v>
      </c>
      <c r="AZ59" s="54">
        <f>+AW$30*AY59+AX59</f>
        <v>7473288.2268727263</v>
      </c>
      <c r="BA59" s="93">
        <f>+BC57</f>
        <v>4256233.9714285703</v>
      </c>
      <c r="BB59" s="86">
        <f>+BB58</f>
        <v>149341.54285714286</v>
      </c>
      <c r="BC59" s="86">
        <f t="shared" si="28"/>
        <v>4106892.4285714272</v>
      </c>
      <c r="BD59" s="54">
        <f>+BA$30*BC59+BB59</f>
        <v>666810.4066648942</v>
      </c>
      <c r="BE59" s="93">
        <f>+BG57</f>
        <v>16036804.085714284</v>
      </c>
      <c r="BF59" s="86">
        <f>+BF58</f>
        <v>543480.11428571434</v>
      </c>
      <c r="BG59" s="86">
        <f t="shared" si="30"/>
        <v>15493323.971428569</v>
      </c>
      <c r="BH59" s="54">
        <f>+BE$30*BG59+BF59</f>
        <v>2616256.5431935</v>
      </c>
      <c r="BI59" s="93">
        <f>+BK57</f>
        <v>45645170.749238081</v>
      </c>
      <c r="BJ59" s="86">
        <f>+BJ58</f>
        <v>1481495.7768571428</v>
      </c>
      <c r="BK59" s="86">
        <f t="shared" si="32"/>
        <v>44163674.972380936</v>
      </c>
      <c r="BL59" s="54">
        <f>+BI$30*BK59+BJ59</f>
        <v>7046123.3162938803</v>
      </c>
      <c r="BM59" s="93">
        <f>+BO57</f>
        <v>7689758.6647619037</v>
      </c>
      <c r="BN59" s="86">
        <f>+BN58</f>
        <v>246385.85714285713</v>
      </c>
      <c r="BO59" s="86">
        <f t="shared" si="34"/>
        <v>7443372.8076190464</v>
      </c>
      <c r="BP59" s="54">
        <f>+BM$30*BO59+BN59</f>
        <v>1184251.5881417939</v>
      </c>
      <c r="BQ59" s="87">
        <f t="shared" si="13"/>
        <v>39006859.153263815</v>
      </c>
      <c r="BR59" s="90">
        <f>+BQ59</f>
        <v>39006859.153263815</v>
      </c>
      <c r="BS59" s="38"/>
    </row>
    <row r="60" spans="1:74">
      <c r="A60">
        <f t="shared" si="10"/>
        <v>45</v>
      </c>
      <c r="C60" s="37" t="str">
        <f t="shared" si="11"/>
        <v>Base FCR</v>
      </c>
      <c r="D60" s="85">
        <f t="shared" si="12"/>
        <v>2020</v>
      </c>
      <c r="E60" s="86">
        <f>+G59</f>
        <v>23530816.45238094</v>
      </c>
      <c r="F60" s="86">
        <f>+E$32</f>
        <v>958810.85714285716</v>
      </c>
      <c r="G60" s="86">
        <f t="shared" si="14"/>
        <v>22572005.595238082</v>
      </c>
      <c r="H60" s="43">
        <f>+E$29*G60+F60</f>
        <v>3802885.8584676487</v>
      </c>
      <c r="I60" s="93">
        <f>+K59</f>
        <v>5082140.1583333351</v>
      </c>
      <c r="J60" s="86">
        <f>+I$32</f>
        <v>199625.8</v>
      </c>
      <c r="K60" s="86">
        <f t="shared" si="15"/>
        <v>4882514.3583333353</v>
      </c>
      <c r="L60" s="54">
        <f>+I$29*K60+J60</f>
        <v>814823.10586433625</v>
      </c>
      <c r="M60" s="93">
        <f>+O59</f>
        <v>3646481.4595238101</v>
      </c>
      <c r="N60" s="86">
        <f>+M$32</f>
        <v>143233.3142857143</v>
      </c>
      <c r="O60" s="86">
        <f t="shared" si="16"/>
        <v>3503248.1452380959</v>
      </c>
      <c r="P60" s="54">
        <f>+M$29*O60+N60</f>
        <v>584642.93698273622</v>
      </c>
      <c r="Q60" s="93">
        <f>+S59</f>
        <v>27961904.761904769</v>
      </c>
      <c r="R60" s="86">
        <f>+Q$32</f>
        <v>1048571.4285714285</v>
      </c>
      <c r="S60" s="86">
        <f t="shared" si="0"/>
        <v>26913333.33333334</v>
      </c>
      <c r="T60" s="54">
        <f>+Q$29*S60+R60</f>
        <v>4439654.1665538531</v>
      </c>
      <c r="U60" s="93">
        <f>+W59</f>
        <v>15238095.238095243</v>
      </c>
      <c r="V60" s="86">
        <f>+U$32</f>
        <v>571428.57142857148</v>
      </c>
      <c r="W60" s="86">
        <f t="shared" si="1"/>
        <v>14666666.666666672</v>
      </c>
      <c r="X60" s="54">
        <f>+U$29*W60+V60</f>
        <v>2419430.0635170867</v>
      </c>
      <c r="Y60" s="93">
        <f>+AA59</f>
        <v>1523809.5238095247</v>
      </c>
      <c r="Z60" s="86">
        <f>+Y$32</f>
        <v>57142.857142857145</v>
      </c>
      <c r="AA60" s="86">
        <f t="shared" si="17"/>
        <v>1466666.6666666677</v>
      </c>
      <c r="AB60" s="54">
        <f>+Y$29*AA60+Z60</f>
        <v>241943.00635170873</v>
      </c>
      <c r="AC60" s="93">
        <f>+AE59</f>
        <v>1523809.5238095247</v>
      </c>
      <c r="AD60" s="86">
        <f>+AC$32</f>
        <v>57142.857142857145</v>
      </c>
      <c r="AE60" s="86">
        <f t="shared" si="18"/>
        <v>1466666.6666666677</v>
      </c>
      <c r="AF60" s="54">
        <f>+AC$29*AE60+AD60</f>
        <v>241943.00635170873</v>
      </c>
      <c r="AG60" s="93">
        <f>+AI59</f>
        <v>1523809.5238095247</v>
      </c>
      <c r="AH60" s="86">
        <f>+AG$32</f>
        <v>57142.857142857145</v>
      </c>
      <c r="AI60" s="86">
        <f t="shared" si="19"/>
        <v>1466666.6666666677</v>
      </c>
      <c r="AJ60" s="54">
        <f>+AG$29*AI60+AH60</f>
        <v>241943.00635170873</v>
      </c>
      <c r="AK60" s="93">
        <f>+AM59</f>
        <v>1542857.1428571437</v>
      </c>
      <c r="AL60" s="86">
        <f>+AK$32</f>
        <v>57142.857142857145</v>
      </c>
      <c r="AM60" s="86">
        <f t="shared" si="20"/>
        <v>1485714.2857142866</v>
      </c>
      <c r="AN60" s="54">
        <f>+AK$29*AM60+AL60</f>
        <v>244343.008289486</v>
      </c>
      <c r="AO60" s="93">
        <f t="shared" si="21"/>
        <v>12473514.428571429</v>
      </c>
      <c r="AP60" s="86">
        <f>+AO$32</f>
        <v>453582.34285714285</v>
      </c>
      <c r="AQ60" s="86">
        <f t="shared" si="22"/>
        <v>12019932.085714286</v>
      </c>
      <c r="AR60" s="54">
        <f>+AO$29*AQ60+AP60</f>
        <v>1968095.0084845936</v>
      </c>
      <c r="AS60" s="93">
        <f t="shared" si="23"/>
        <v>23213423.357142851</v>
      </c>
      <c r="AT60" s="86">
        <f>+AS$32</f>
        <v>844124.48571428575</v>
      </c>
      <c r="AU60" s="86">
        <f t="shared" si="24"/>
        <v>22369298.871428564</v>
      </c>
      <c r="AV60" s="54">
        <f>+AS$29*AU60+AT60</f>
        <v>3662658.4192170524</v>
      </c>
      <c r="AW60" s="93">
        <f t="shared" si="25"/>
        <v>46028062.142857127</v>
      </c>
      <c r="AX60" s="86">
        <f>+AW$32</f>
        <v>1673747.7142857143</v>
      </c>
      <c r="AY60" s="86">
        <f t="shared" si="26"/>
        <v>44354314.42857141</v>
      </c>
      <c r="AZ60" s="54">
        <f>+AW$29*AY60+AX60</f>
        <v>7262395.8445968349</v>
      </c>
      <c r="BA60" s="93">
        <f t="shared" si="27"/>
        <v>4106892.4285714272</v>
      </c>
      <c r="BB60" s="86">
        <f>+BA$32</f>
        <v>149341.54285714286</v>
      </c>
      <c r="BC60" s="86">
        <f t="shared" si="28"/>
        <v>3957550.8857142841</v>
      </c>
      <c r="BD60" s="54">
        <f>+BA$29*BC60+BB60</f>
        <v>647993.35707188514</v>
      </c>
      <c r="BE60" s="93">
        <f t="shared" ref="BE60" si="38">+BG59</f>
        <v>15493323.971428569</v>
      </c>
      <c r="BF60" s="86">
        <f>+BE$32</f>
        <v>543480.11428571434</v>
      </c>
      <c r="BG60" s="86">
        <f t="shared" si="30"/>
        <v>14949843.857142854</v>
      </c>
      <c r="BH60" s="54">
        <f>+BE$29*BG60+BF60</f>
        <v>2427161.9611827806</v>
      </c>
      <c r="BI60" s="93">
        <f t="shared" ref="BI60" si="39">+BK59</f>
        <v>44163674.972380936</v>
      </c>
      <c r="BJ60" s="86">
        <f>+BI$32</f>
        <v>1481495.7768571428</v>
      </c>
      <c r="BK60" s="86">
        <f t="shared" si="32"/>
        <v>42682179.195523791</v>
      </c>
      <c r="BL60" s="54">
        <f>+BI$29*BK60+BJ60</f>
        <v>6859454.6976924147</v>
      </c>
      <c r="BM60" s="93">
        <f t="shared" ref="BM60" si="40">+BO59</f>
        <v>7443372.8076190464</v>
      </c>
      <c r="BN60" s="86">
        <f>+BM$32</f>
        <v>246385.85714285713</v>
      </c>
      <c r="BO60" s="86">
        <f t="shared" si="34"/>
        <v>7196986.9504761891</v>
      </c>
      <c r="BP60" s="54">
        <f>+BM$29*BO60+BN60</f>
        <v>1153206.9450761457</v>
      </c>
      <c r="BQ60" s="87">
        <f t="shared" si="13"/>
        <v>37012574.39205198</v>
      </c>
      <c r="BR60" s="36"/>
      <c r="BS60" s="88">
        <f>+BQ60</f>
        <v>37012574.39205198</v>
      </c>
    </row>
    <row r="61" spans="1:74">
      <c r="A61">
        <f t="shared" si="10"/>
        <v>46</v>
      </c>
      <c r="C61" s="37" t="str">
        <f t="shared" si="11"/>
        <v>W Increased ROE</v>
      </c>
      <c r="D61" s="85">
        <f t="shared" si="12"/>
        <v>2020</v>
      </c>
      <c r="E61" s="86">
        <f>+E60</f>
        <v>23530816.45238094</v>
      </c>
      <c r="F61" s="86">
        <f>+F60</f>
        <v>958810.85714285716</v>
      </c>
      <c r="G61" s="86">
        <f t="shared" si="14"/>
        <v>22572005.595238082</v>
      </c>
      <c r="H61" s="43">
        <f>+E$30*G61+F61</f>
        <v>3978609.658049888</v>
      </c>
      <c r="I61" s="93">
        <f>+I60</f>
        <v>5082140.1583333351</v>
      </c>
      <c r="J61" s="86">
        <f>+J60</f>
        <v>199625.8</v>
      </c>
      <c r="K61" s="86">
        <f t="shared" si="15"/>
        <v>4882514.3583333353</v>
      </c>
      <c r="L61" s="54">
        <f>+I$30*K61+J61</f>
        <v>814823.10586433625</v>
      </c>
      <c r="M61" s="93">
        <f>+M60</f>
        <v>3646481.4595238101</v>
      </c>
      <c r="N61" s="86">
        <f>+N60</f>
        <v>143233.3142857143</v>
      </c>
      <c r="O61" s="86">
        <f t="shared" si="16"/>
        <v>3503248.1452380959</v>
      </c>
      <c r="P61" s="54">
        <f>+M$30*O61+N61</f>
        <v>584642.93698273622</v>
      </c>
      <c r="Q61" s="93">
        <f>+Q60</f>
        <v>27961904.761904769</v>
      </c>
      <c r="R61" s="86">
        <f>+R60</f>
        <v>1048571.4285714285</v>
      </c>
      <c r="S61" s="86">
        <f t="shared" si="0"/>
        <v>26913333.33333334</v>
      </c>
      <c r="T61" s="54">
        <f>+Q$30*S61+R61</f>
        <v>4649175.3441382851</v>
      </c>
      <c r="U61" s="93">
        <f>+U60</f>
        <v>15238095.238095243</v>
      </c>
      <c r="V61" s="86">
        <f>+V60</f>
        <v>571428.57142857148</v>
      </c>
      <c r="W61" s="86">
        <f t="shared" si="1"/>
        <v>14666666.666666672</v>
      </c>
      <c r="X61" s="54">
        <f>+U$30*W61+V61</f>
        <v>2533610.5417647334</v>
      </c>
      <c r="Y61" s="93">
        <f>+Y60</f>
        <v>1523809.5238095247</v>
      </c>
      <c r="Z61" s="86">
        <f>+Z60</f>
        <v>57142.857142857145</v>
      </c>
      <c r="AA61" s="86">
        <f t="shared" si="17"/>
        <v>1466666.6666666677</v>
      </c>
      <c r="AB61" s="54">
        <f>+Y$30*AA61+Z61</f>
        <v>241943.00635170873</v>
      </c>
      <c r="AC61" s="93">
        <f>+AC60</f>
        <v>1523809.5238095247</v>
      </c>
      <c r="AD61" s="86">
        <f>+AD60</f>
        <v>57142.857142857145</v>
      </c>
      <c r="AE61" s="86">
        <f t="shared" si="18"/>
        <v>1466666.6666666677</v>
      </c>
      <c r="AF61" s="54">
        <f>+AC$30*AE61+AD61</f>
        <v>241943.00635170873</v>
      </c>
      <c r="AG61" s="93">
        <f>+AG60</f>
        <v>1523809.5238095247</v>
      </c>
      <c r="AH61" s="86">
        <f>+AH60</f>
        <v>57142.857142857145</v>
      </c>
      <c r="AI61" s="86">
        <f t="shared" si="19"/>
        <v>1466666.6666666677</v>
      </c>
      <c r="AJ61" s="54">
        <f>+AG$30*AI61+AH61</f>
        <v>241943.00635170873</v>
      </c>
      <c r="AK61" s="93">
        <f>+AK60</f>
        <v>1542857.1428571437</v>
      </c>
      <c r="AL61" s="86">
        <f>+AL60</f>
        <v>57142.857142857145</v>
      </c>
      <c r="AM61" s="86">
        <f t="shared" si="20"/>
        <v>1485714.2857142866</v>
      </c>
      <c r="AN61" s="54">
        <f>+AK$30*AM61+AL61</f>
        <v>244343.008289486</v>
      </c>
      <c r="AO61" s="93">
        <f>+AQ59</f>
        <v>12473514.428571429</v>
      </c>
      <c r="AP61" s="86">
        <f>+AP60</f>
        <v>453582.34285714285</v>
      </c>
      <c r="AQ61" s="86">
        <f t="shared" si="22"/>
        <v>12019932.085714286</v>
      </c>
      <c r="AR61" s="54">
        <f>+AO$30*AQ61+AP61</f>
        <v>2061670.5717153498</v>
      </c>
      <c r="AS61" s="93">
        <f>+AU59</f>
        <v>23213423.357142851</v>
      </c>
      <c r="AT61" s="86">
        <f>+AT60</f>
        <v>844124.48571428575</v>
      </c>
      <c r="AU61" s="86">
        <f t="shared" si="24"/>
        <v>22369298.871428564</v>
      </c>
      <c r="AV61" s="54">
        <f>+AS$30*AU61+AT61</f>
        <v>3836804.1403446151</v>
      </c>
      <c r="AW61" s="93">
        <f>+AY59</f>
        <v>46028062.142857127</v>
      </c>
      <c r="AX61" s="86">
        <f>+AX60</f>
        <v>1673747.7142857143</v>
      </c>
      <c r="AY61" s="86">
        <f t="shared" si="26"/>
        <v>44354314.42857141</v>
      </c>
      <c r="AZ61" s="54">
        <f>+AW$30*AY61+AX61</f>
        <v>7262395.8445968349</v>
      </c>
      <c r="BA61" s="93">
        <f>+BC59</f>
        <v>4106892.4285714272</v>
      </c>
      <c r="BB61" s="86">
        <f>+BB60</f>
        <v>149341.54285714286</v>
      </c>
      <c r="BC61" s="86">
        <f t="shared" si="28"/>
        <v>3957550.8857142841</v>
      </c>
      <c r="BD61" s="54">
        <f>+BA$30*BC61+BB61</f>
        <v>647993.35707188514</v>
      </c>
      <c r="BE61" s="93">
        <f>+BG59</f>
        <v>15493323.971428569</v>
      </c>
      <c r="BF61" s="86">
        <f>+BF60</f>
        <v>543480.11428571434</v>
      </c>
      <c r="BG61" s="86">
        <f t="shared" si="30"/>
        <v>14949843.857142854</v>
      </c>
      <c r="BH61" s="54">
        <f>+BE$30*BG61+BF61</f>
        <v>2543546.9830920682</v>
      </c>
      <c r="BI61" s="93">
        <f>+BK59</f>
        <v>44163674.972380936</v>
      </c>
      <c r="BJ61" s="86">
        <f>+BJ60</f>
        <v>1481495.7768571428</v>
      </c>
      <c r="BK61" s="86">
        <f t="shared" si="32"/>
        <v>42682179.195523791</v>
      </c>
      <c r="BL61" s="54">
        <f>+BI$30*BK61+BJ61</f>
        <v>6859454.6976924147</v>
      </c>
      <c r="BM61" s="93">
        <f>+BO59</f>
        <v>7443372.8076190464</v>
      </c>
      <c r="BN61" s="86">
        <f>+BN60</f>
        <v>246385.85714285713</v>
      </c>
      <c r="BO61" s="86">
        <f t="shared" si="34"/>
        <v>7196986.9504761891</v>
      </c>
      <c r="BP61" s="54">
        <f>+BM$30*BO61+BN61</f>
        <v>1153206.9450761457</v>
      </c>
      <c r="BQ61" s="87">
        <f t="shared" si="13"/>
        <v>37896106.153733909</v>
      </c>
      <c r="BR61" s="90">
        <f>+BQ61</f>
        <v>37896106.153733909</v>
      </c>
      <c r="BS61" s="38"/>
    </row>
    <row r="62" spans="1:74">
      <c r="A62">
        <f t="shared" si="10"/>
        <v>47</v>
      </c>
      <c r="C62" s="37" t="str">
        <f t="shared" si="11"/>
        <v>Base FCR</v>
      </c>
      <c r="D62" s="85">
        <f t="shared" si="12"/>
        <v>2021</v>
      </c>
      <c r="E62" s="86">
        <f>+G61</f>
        <v>22572005.595238082</v>
      </c>
      <c r="F62" s="86">
        <f>+E$32</f>
        <v>958810.85714285716</v>
      </c>
      <c r="G62" s="86">
        <f t="shared" si="14"/>
        <v>21613194.738095224</v>
      </c>
      <c r="H62" s="43">
        <f>+E$29*G62+F62</f>
        <v>3682075.5929246484</v>
      </c>
      <c r="I62" s="93">
        <f>+K61</f>
        <v>4882514.3583333353</v>
      </c>
      <c r="J62" s="86">
        <f>+I$32</f>
        <v>199625.8</v>
      </c>
      <c r="K62" s="86">
        <f t="shared" si="15"/>
        <v>4682888.5583333354</v>
      </c>
      <c r="L62" s="54">
        <f>+I$29*K62+J62</f>
        <v>789670.23475574329</v>
      </c>
      <c r="M62" s="93">
        <f>+O61</f>
        <v>3503248.1452380959</v>
      </c>
      <c r="N62" s="86">
        <f>+M$32</f>
        <v>143233.3142857143</v>
      </c>
      <c r="O62" s="86">
        <f t="shared" si="16"/>
        <v>3360014.8309523817</v>
      </c>
      <c r="P62" s="54">
        <f>+M$29*O62+N62</f>
        <v>566595.52481113747</v>
      </c>
      <c r="Q62" s="93">
        <f>+S61</f>
        <v>26913333.33333334</v>
      </c>
      <c r="R62" s="86">
        <f>+Q$32</f>
        <v>1048571.4285714285</v>
      </c>
      <c r="S62" s="86">
        <f t="shared" si="0"/>
        <v>25864761.90476191</v>
      </c>
      <c r="T62" s="54">
        <f>+Q$29*S62+R62</f>
        <v>4307534.0598792136</v>
      </c>
      <c r="U62" s="93">
        <f>+W61</f>
        <v>14666666.666666672</v>
      </c>
      <c r="V62" s="86">
        <f>+U$32</f>
        <v>571428.57142857148</v>
      </c>
      <c r="W62" s="86">
        <f t="shared" si="1"/>
        <v>14095238.095238101</v>
      </c>
      <c r="X62" s="54">
        <f>+U$29*W62+V62</f>
        <v>2347430.0053837681</v>
      </c>
      <c r="Y62" s="93">
        <f>+AA61</f>
        <v>1466666.6666666677</v>
      </c>
      <c r="Z62" s="86">
        <f>+Y$32</f>
        <v>57142.857142857145</v>
      </c>
      <c r="AA62" s="86">
        <f t="shared" si="17"/>
        <v>1409523.8095238106</v>
      </c>
      <c r="AB62" s="54">
        <f>+Y$29*AA62+Z62</f>
        <v>234743.00053837686</v>
      </c>
      <c r="AC62" s="93">
        <f>+AE61</f>
        <v>1466666.6666666677</v>
      </c>
      <c r="AD62" s="86">
        <f>+AC$32</f>
        <v>57142.857142857145</v>
      </c>
      <c r="AE62" s="86">
        <f t="shared" si="18"/>
        <v>1409523.8095238106</v>
      </c>
      <c r="AF62" s="54">
        <f>+AC$29*AE62+AD62</f>
        <v>234743.00053837686</v>
      </c>
      <c r="AG62" s="93">
        <f>+AI61</f>
        <v>1466666.6666666677</v>
      </c>
      <c r="AH62" s="86">
        <f>+AG$32</f>
        <v>57142.857142857145</v>
      </c>
      <c r="AI62" s="86">
        <f t="shared" si="19"/>
        <v>1409523.8095238106</v>
      </c>
      <c r="AJ62" s="54">
        <f>+AG$29*AI62+AH62</f>
        <v>234743.00053837686</v>
      </c>
      <c r="AK62" s="93">
        <f>+AM61</f>
        <v>1485714.2857142866</v>
      </c>
      <c r="AL62" s="86">
        <f>+AK$32</f>
        <v>57142.857142857145</v>
      </c>
      <c r="AM62" s="86">
        <f t="shared" si="20"/>
        <v>1428571.4285714296</v>
      </c>
      <c r="AN62" s="54">
        <f>+AK$29*AM62+AL62</f>
        <v>237143.00247615413</v>
      </c>
      <c r="AO62" s="93">
        <f t="shared" si="21"/>
        <v>12019932.085714286</v>
      </c>
      <c r="AP62" s="86">
        <f>+AO$32</f>
        <v>453582.34285714285</v>
      </c>
      <c r="AQ62" s="86">
        <f t="shared" si="22"/>
        <v>11566349.742857143</v>
      </c>
      <c r="AR62" s="54">
        <f>+AO$29*AQ62+AP62</f>
        <v>1910943.5871401615</v>
      </c>
      <c r="AS62" s="93">
        <f t="shared" si="23"/>
        <v>22369298.871428564</v>
      </c>
      <c r="AT62" s="86">
        <f>+AS$32</f>
        <v>844124.48571428575</v>
      </c>
      <c r="AU62" s="86">
        <f t="shared" si="24"/>
        <v>21525174.385714278</v>
      </c>
      <c r="AV62" s="54">
        <f>+AS$29*AU62+AT62</f>
        <v>3556298.6481414759</v>
      </c>
      <c r="AW62" s="93">
        <f t="shared" si="25"/>
        <v>44354314.42857141</v>
      </c>
      <c r="AX62" s="86">
        <f>+AW$32</f>
        <v>1673747.7142857143</v>
      </c>
      <c r="AY62" s="86">
        <f t="shared" si="26"/>
        <v>42680566.714285694</v>
      </c>
      <c r="AZ62" s="54">
        <f>+AW$29*AY62+AX62</f>
        <v>7051503.4623209434</v>
      </c>
      <c r="BA62" s="93">
        <f t="shared" si="27"/>
        <v>3957550.8857142841</v>
      </c>
      <c r="BB62" s="86">
        <f>+BA$32</f>
        <v>149341.54285714286</v>
      </c>
      <c r="BC62" s="86">
        <f t="shared" si="28"/>
        <v>3808209.342857141</v>
      </c>
      <c r="BD62" s="54">
        <f>+BA$29*BC62+BB62</f>
        <v>629176.30747887585</v>
      </c>
      <c r="BE62" s="93">
        <f t="shared" ref="BE62" si="41">+BG61</f>
        <v>14949843.857142854</v>
      </c>
      <c r="BF62" s="86">
        <f>+BE$32</f>
        <v>543480.11428571434</v>
      </c>
      <c r="BG62" s="86">
        <f t="shared" si="30"/>
        <v>14406363.74285714</v>
      </c>
      <c r="BH62" s="54">
        <f>+BE$29*BG62+BF62</f>
        <v>2358683.411492751</v>
      </c>
      <c r="BI62" s="93">
        <f t="shared" ref="BI62" si="42">+BK61</f>
        <v>42682179.195523791</v>
      </c>
      <c r="BJ62" s="86">
        <f>+BI$32</f>
        <v>1481495.7768571428</v>
      </c>
      <c r="BK62" s="86">
        <f t="shared" si="32"/>
        <v>41200683.418666646</v>
      </c>
      <c r="BL62" s="54">
        <f>+BI$29*BK62+BJ62</f>
        <v>6672786.0790909491</v>
      </c>
      <c r="BM62" s="93">
        <f t="shared" ref="BM62" si="43">+BO61</f>
        <v>7196986.9504761891</v>
      </c>
      <c r="BN62" s="86">
        <f>+BM$32</f>
        <v>246385.85714285713</v>
      </c>
      <c r="BO62" s="86">
        <f t="shared" si="34"/>
        <v>6950601.0933333319</v>
      </c>
      <c r="BP62" s="54">
        <f>+BM$29*BO62+BN62</f>
        <v>1122162.3020104973</v>
      </c>
      <c r="BQ62" s="87">
        <f t="shared" si="13"/>
        <v>35936231.219521455</v>
      </c>
      <c r="BR62" s="36"/>
      <c r="BS62" s="88">
        <f>+BQ62</f>
        <v>35936231.219521455</v>
      </c>
    </row>
    <row r="63" spans="1:74">
      <c r="A63">
        <f t="shared" si="10"/>
        <v>48</v>
      </c>
      <c r="C63" s="37" t="str">
        <f t="shared" si="11"/>
        <v>W Increased ROE</v>
      </c>
      <c r="D63" s="85">
        <f t="shared" si="12"/>
        <v>2021</v>
      </c>
      <c r="E63" s="86">
        <f>+E62</f>
        <v>22572005.595238082</v>
      </c>
      <c r="F63" s="86">
        <f>+F62</f>
        <v>958810.85714285716</v>
      </c>
      <c r="G63" s="86">
        <f t="shared" si="14"/>
        <v>21613194.738095224</v>
      </c>
      <c r="H63" s="43">
        <f>+E$30*G63+F63</f>
        <v>3850335.0187193234</v>
      </c>
      <c r="I63" s="93">
        <f>+I62</f>
        <v>4882514.3583333353</v>
      </c>
      <c r="J63" s="86">
        <f>+J62</f>
        <v>199625.8</v>
      </c>
      <c r="K63" s="86">
        <f t="shared" si="15"/>
        <v>4682888.5583333354</v>
      </c>
      <c r="L63" s="54">
        <f>+I$30*K63+J63</f>
        <v>789670.23475574329</v>
      </c>
      <c r="M63" s="93">
        <f>+M62</f>
        <v>3503248.1452380959</v>
      </c>
      <c r="N63" s="86">
        <f>+N62</f>
        <v>143233.3142857143</v>
      </c>
      <c r="O63" s="86">
        <f t="shared" si="16"/>
        <v>3360014.8309523817</v>
      </c>
      <c r="P63" s="54">
        <f>+M$30*O63+N63</f>
        <v>566595.52481113747</v>
      </c>
      <c r="Q63" s="93">
        <f>+Q62</f>
        <v>26913333.33333334</v>
      </c>
      <c r="R63" s="86">
        <f>+R62</f>
        <v>1048571.4285714285</v>
      </c>
      <c r="S63" s="86">
        <f t="shared" si="0"/>
        <v>25864761.90476191</v>
      </c>
      <c r="T63" s="54">
        <f>+Q$30*S63+R63</f>
        <v>4508892.0747006154</v>
      </c>
      <c r="U63" s="93">
        <f>+U62</f>
        <v>14666666.666666672</v>
      </c>
      <c r="V63" s="86">
        <f>+V62</f>
        <v>571428.57142857148</v>
      </c>
      <c r="W63" s="86">
        <f t="shared" si="1"/>
        <v>14095238.095238101</v>
      </c>
      <c r="X63" s="54">
        <f>+U$30*W63+V63</f>
        <v>2457161.8935698178</v>
      </c>
      <c r="Y63" s="93">
        <f>+Y62</f>
        <v>1466666.6666666677</v>
      </c>
      <c r="Z63" s="86">
        <f>+Z62</f>
        <v>57142.857142857145</v>
      </c>
      <c r="AA63" s="86">
        <f t="shared" si="17"/>
        <v>1409523.8095238106</v>
      </c>
      <c r="AB63" s="54">
        <f>+Y$30*AA63+Z63</f>
        <v>234743.00053837686</v>
      </c>
      <c r="AC63" s="93">
        <f>+AC62</f>
        <v>1466666.6666666677</v>
      </c>
      <c r="AD63" s="86">
        <f>+AD62</f>
        <v>57142.857142857145</v>
      </c>
      <c r="AE63" s="86">
        <f t="shared" si="18"/>
        <v>1409523.8095238106</v>
      </c>
      <c r="AF63" s="54">
        <f>+AC$30*AE63+AD63</f>
        <v>234743.00053837686</v>
      </c>
      <c r="AG63" s="93">
        <f>+AG62</f>
        <v>1466666.6666666677</v>
      </c>
      <c r="AH63" s="86">
        <f>+AH62</f>
        <v>57142.857142857145</v>
      </c>
      <c r="AI63" s="86">
        <f t="shared" si="19"/>
        <v>1409523.8095238106</v>
      </c>
      <c r="AJ63" s="54">
        <f>+AG$30*AI63+AH63</f>
        <v>234743.00053837686</v>
      </c>
      <c r="AK63" s="93">
        <f>+AK62</f>
        <v>1485714.2857142866</v>
      </c>
      <c r="AL63" s="86">
        <f>+AL62</f>
        <v>57142.857142857145</v>
      </c>
      <c r="AM63" s="86">
        <f t="shared" si="20"/>
        <v>1428571.4285714296</v>
      </c>
      <c r="AN63" s="54">
        <f>+AK$30*AM63+AL63</f>
        <v>237143.00247615413</v>
      </c>
      <c r="AO63" s="93">
        <f>+AQ61</f>
        <v>12019932.085714286</v>
      </c>
      <c r="AP63" s="86">
        <f>+AP62</f>
        <v>453582.34285714285</v>
      </c>
      <c r="AQ63" s="86">
        <f t="shared" si="22"/>
        <v>11566349.742857143</v>
      </c>
      <c r="AR63" s="54">
        <f>+AO$30*AQ63+AP63</f>
        <v>2000987.9970414552</v>
      </c>
      <c r="AS63" s="93">
        <f>+AU61</f>
        <v>22369298.871428564</v>
      </c>
      <c r="AT63" s="86">
        <f>+AT62</f>
        <v>844124.48571428575</v>
      </c>
      <c r="AU63" s="86">
        <f t="shared" si="24"/>
        <v>21525174.385714278</v>
      </c>
      <c r="AV63" s="54">
        <f>+AS$30*AU63+AT63</f>
        <v>3723872.8326227157</v>
      </c>
      <c r="AW63" s="93">
        <f>+AY61</f>
        <v>44354314.42857141</v>
      </c>
      <c r="AX63" s="86">
        <f>+AX62</f>
        <v>1673747.7142857143</v>
      </c>
      <c r="AY63" s="86">
        <f t="shared" si="26"/>
        <v>42680566.714285694</v>
      </c>
      <c r="AZ63" s="54">
        <f>+AW$30*AY63+AX63</f>
        <v>7051503.4623209434</v>
      </c>
      <c r="BA63" s="93">
        <f>+BC61</f>
        <v>3957550.8857142841</v>
      </c>
      <c r="BB63" s="86">
        <f>+BB62</f>
        <v>149341.54285714286</v>
      </c>
      <c r="BC63" s="86">
        <f t="shared" si="28"/>
        <v>3808209.342857141</v>
      </c>
      <c r="BD63" s="54">
        <f>+BA$30*BC63+BB63</f>
        <v>629176.30747887585</v>
      </c>
      <c r="BE63" s="93">
        <f>+BG61</f>
        <v>14949843.857142854</v>
      </c>
      <c r="BF63" s="86">
        <f>+BF62</f>
        <v>543480.11428571434</v>
      </c>
      <c r="BG63" s="86">
        <f t="shared" si="30"/>
        <v>14406363.74285714</v>
      </c>
      <c r="BH63" s="54">
        <f>+BE$30*BG63+BF63</f>
        <v>2470837.4229906364</v>
      </c>
      <c r="BI63" s="93">
        <f>+BK61</f>
        <v>42682179.195523791</v>
      </c>
      <c r="BJ63" s="86">
        <f>+BJ62</f>
        <v>1481495.7768571428</v>
      </c>
      <c r="BK63" s="86">
        <f t="shared" si="32"/>
        <v>41200683.418666646</v>
      </c>
      <c r="BL63" s="54">
        <f>+BI$30*BK63+BJ63</f>
        <v>6672786.0790909491</v>
      </c>
      <c r="BM63" s="93">
        <f>+BO61</f>
        <v>7196986.9504761891</v>
      </c>
      <c r="BN63" s="86">
        <f>+BN62</f>
        <v>246385.85714285713</v>
      </c>
      <c r="BO63" s="86">
        <f t="shared" si="34"/>
        <v>6950601.0933333319</v>
      </c>
      <c r="BP63" s="54">
        <f>+BM$30*BO63+BN63</f>
        <v>1122162.3020104973</v>
      </c>
      <c r="BQ63" s="87">
        <f t="shared" si="13"/>
        <v>36785353.154203989</v>
      </c>
      <c r="BR63" s="90">
        <f>+BQ63</f>
        <v>36785353.154203989</v>
      </c>
      <c r="BS63" s="38"/>
    </row>
    <row r="64" spans="1:74">
      <c r="A64">
        <f t="shared" si="10"/>
        <v>49</v>
      </c>
      <c r="C64" s="37" t="str">
        <f t="shared" si="11"/>
        <v>Base FCR</v>
      </c>
      <c r="D64" s="85">
        <f t="shared" si="12"/>
        <v>2022</v>
      </c>
      <c r="E64" s="86">
        <f>+G63</f>
        <v>21613194.738095224</v>
      </c>
      <c r="F64" s="86">
        <f>+E$32</f>
        <v>958810.85714285716</v>
      </c>
      <c r="G64" s="86">
        <f t="shared" si="14"/>
        <v>20654383.880952366</v>
      </c>
      <c r="H64" s="43">
        <f>+E$29*G64+F64</f>
        <v>3561265.3273816481</v>
      </c>
      <c r="I64" s="93">
        <f>+K63</f>
        <v>4682888.5583333354</v>
      </c>
      <c r="J64" s="86">
        <f>+I$32</f>
        <v>199625.8</v>
      </c>
      <c r="K64" s="86">
        <f t="shared" si="15"/>
        <v>4483262.7583333356</v>
      </c>
      <c r="L64" s="54">
        <f>+I$29*K64+J64</f>
        <v>764517.36364715034</v>
      </c>
      <c r="M64" s="93">
        <f>+O63</f>
        <v>3360014.8309523817</v>
      </c>
      <c r="N64" s="86">
        <f>+M$32</f>
        <v>143233.3142857143</v>
      </c>
      <c r="O64" s="86">
        <f t="shared" si="16"/>
        <v>3216781.5166666675</v>
      </c>
      <c r="P64" s="54">
        <f>+M$29*O64+N64</f>
        <v>548548.11263953859</v>
      </c>
      <c r="Q64" s="93">
        <f>+S63</f>
        <v>25864761.90476191</v>
      </c>
      <c r="R64" s="86">
        <f>+Q$32</f>
        <v>1048571.4285714285</v>
      </c>
      <c r="S64" s="86">
        <f t="shared" si="0"/>
        <v>24816190.476190481</v>
      </c>
      <c r="T64" s="54">
        <f>+Q$29*S64+R64</f>
        <v>4175413.9532045736</v>
      </c>
      <c r="U64" s="93">
        <f>+W63</f>
        <v>14095238.095238101</v>
      </c>
      <c r="V64" s="86">
        <f>+U$32</f>
        <v>571428.57142857148</v>
      </c>
      <c r="W64" s="86">
        <f t="shared" si="1"/>
        <v>13523809.52380953</v>
      </c>
      <c r="X64" s="54">
        <f>+U$29*W64+V64</f>
        <v>2275429.9472504491</v>
      </c>
      <c r="Y64" s="93">
        <f>+AA63</f>
        <v>1409523.8095238106</v>
      </c>
      <c r="Z64" s="86">
        <f>+Y$32</f>
        <v>57142.857142857145</v>
      </c>
      <c r="AA64" s="86">
        <f t="shared" si="17"/>
        <v>1352380.9523809536</v>
      </c>
      <c r="AB64" s="54">
        <f>+Y$29*AA64+Z64</f>
        <v>227542.99472504499</v>
      </c>
      <c r="AC64" s="93">
        <f>+AE63</f>
        <v>1409523.8095238106</v>
      </c>
      <c r="AD64" s="86">
        <f>+AC$32</f>
        <v>57142.857142857145</v>
      </c>
      <c r="AE64" s="86">
        <f t="shared" si="18"/>
        <v>1352380.9523809536</v>
      </c>
      <c r="AF64" s="54">
        <f>+AC$29*AE64+AD64</f>
        <v>227542.99472504499</v>
      </c>
      <c r="AG64" s="93">
        <f>+AI63</f>
        <v>1409523.8095238106</v>
      </c>
      <c r="AH64" s="86">
        <f>+AG$32</f>
        <v>57142.857142857145</v>
      </c>
      <c r="AI64" s="86">
        <f t="shared" si="19"/>
        <v>1352380.9523809536</v>
      </c>
      <c r="AJ64" s="54">
        <f>+AG$29*AI64+AH64</f>
        <v>227542.99472504499</v>
      </c>
      <c r="AK64" s="93">
        <f>+AM63</f>
        <v>1428571.4285714296</v>
      </c>
      <c r="AL64" s="86">
        <f>+AK$32</f>
        <v>57142.857142857145</v>
      </c>
      <c r="AM64" s="86">
        <f t="shared" si="20"/>
        <v>1371428.5714285725</v>
      </c>
      <c r="AN64" s="54">
        <f>+AK$29*AM64+AL64</f>
        <v>229942.99666282226</v>
      </c>
      <c r="AO64" s="93">
        <f t="shared" si="21"/>
        <v>11566349.742857143</v>
      </c>
      <c r="AP64" s="86">
        <f>+AO$32</f>
        <v>453582.34285714285</v>
      </c>
      <c r="AQ64" s="86">
        <f t="shared" si="22"/>
        <v>11112767.4</v>
      </c>
      <c r="AR64" s="54">
        <f>+AO$29*AQ64+AP64</f>
        <v>1853792.1657957295</v>
      </c>
      <c r="AS64" s="93">
        <f t="shared" si="23"/>
        <v>21525174.385714278</v>
      </c>
      <c r="AT64" s="86">
        <f>+AS$32</f>
        <v>844124.48571428575</v>
      </c>
      <c r="AU64" s="86">
        <f t="shared" si="24"/>
        <v>20681049.899999991</v>
      </c>
      <c r="AV64" s="54">
        <f>+AS$29*AU64+AT64</f>
        <v>3449938.8770658998</v>
      </c>
      <c r="AW64" s="93">
        <f t="shared" si="25"/>
        <v>42680566.714285694</v>
      </c>
      <c r="AX64" s="86">
        <f>+AW$32</f>
        <v>1673747.7142857143</v>
      </c>
      <c r="AY64" s="86">
        <f t="shared" si="26"/>
        <v>41006818.999999978</v>
      </c>
      <c r="AZ64" s="54">
        <f>+AW$29*AY64+AX64</f>
        <v>6840611.0800450509</v>
      </c>
      <c r="BA64" s="93">
        <f t="shared" si="27"/>
        <v>3808209.342857141</v>
      </c>
      <c r="BB64" s="86">
        <f>+BA$32</f>
        <v>149341.54285714286</v>
      </c>
      <c r="BC64" s="86">
        <f t="shared" si="28"/>
        <v>3658867.799999998</v>
      </c>
      <c r="BD64" s="54">
        <f>+BA$29*BC64+BB64</f>
        <v>610359.2578858668</v>
      </c>
      <c r="BE64" s="93">
        <f t="shared" ref="BE64" si="44">+BG63</f>
        <v>14406363.74285714</v>
      </c>
      <c r="BF64" s="86">
        <f>+BE$32</f>
        <v>543480.11428571434</v>
      </c>
      <c r="BG64" s="86">
        <f t="shared" si="30"/>
        <v>13862883.628571425</v>
      </c>
      <c r="BH64" s="54">
        <f>+BE$29*BG64+BF64</f>
        <v>2290204.8618027209</v>
      </c>
      <c r="BI64" s="93">
        <f t="shared" ref="BI64" si="45">+BK63</f>
        <v>41200683.418666646</v>
      </c>
      <c r="BJ64" s="86">
        <f>+BI$32</f>
        <v>1481495.7768571428</v>
      </c>
      <c r="BK64" s="86">
        <f t="shared" si="32"/>
        <v>39719187.641809501</v>
      </c>
      <c r="BL64" s="54">
        <f>+BI$29*BK64+BJ64</f>
        <v>6486117.4604894817</v>
      </c>
      <c r="BM64" s="93">
        <f t="shared" ref="BM64" si="46">+BO63</f>
        <v>6950601.0933333319</v>
      </c>
      <c r="BN64" s="86">
        <f>+BM$32</f>
        <v>246385.85714285713</v>
      </c>
      <c r="BO64" s="86">
        <f t="shared" si="34"/>
        <v>6704215.2361904746</v>
      </c>
      <c r="BP64" s="54">
        <f>+BM$29*BO64+BN64</f>
        <v>1091117.6589448492</v>
      </c>
      <c r="BQ64" s="87">
        <f t="shared" si="13"/>
        <v>34859888.046990916</v>
      </c>
      <c r="BR64" s="36"/>
      <c r="BS64" s="88">
        <f>+BQ64</f>
        <v>34859888.046990916</v>
      </c>
    </row>
    <row r="65" spans="1:71">
      <c r="A65">
        <f t="shared" si="10"/>
        <v>50</v>
      </c>
      <c r="C65" s="37" t="str">
        <f t="shared" si="11"/>
        <v>W Increased ROE</v>
      </c>
      <c r="D65" s="85">
        <f t="shared" si="12"/>
        <v>2022</v>
      </c>
      <c r="E65" s="86">
        <f>+E64</f>
        <v>21613194.738095224</v>
      </c>
      <c r="F65" s="86">
        <f>+F64</f>
        <v>958810.85714285716</v>
      </c>
      <c r="G65" s="86">
        <f t="shared" si="14"/>
        <v>20654383.880952366</v>
      </c>
      <c r="H65" s="43">
        <f>+E$30*G65+F65</f>
        <v>3722060.3793887589</v>
      </c>
      <c r="I65" s="93">
        <f>+I64</f>
        <v>4682888.5583333354</v>
      </c>
      <c r="J65" s="86">
        <f>+J64</f>
        <v>199625.8</v>
      </c>
      <c r="K65" s="86">
        <f t="shared" si="15"/>
        <v>4483262.7583333356</v>
      </c>
      <c r="L65" s="54">
        <f>+I$30*K65+J65</f>
        <v>764517.36364715034</v>
      </c>
      <c r="M65" s="93">
        <f>+M64</f>
        <v>3360014.8309523817</v>
      </c>
      <c r="N65" s="86">
        <f>+N64</f>
        <v>143233.3142857143</v>
      </c>
      <c r="O65" s="86">
        <f t="shared" si="16"/>
        <v>3216781.5166666675</v>
      </c>
      <c r="P65" s="54">
        <f>+M$30*O65+N65</f>
        <v>548548.11263953859</v>
      </c>
      <c r="Q65" s="93">
        <f>+Q64</f>
        <v>25864761.90476191</v>
      </c>
      <c r="R65" s="86">
        <f>+R64</f>
        <v>1048571.4285714285</v>
      </c>
      <c r="S65" s="86">
        <f t="shared" si="0"/>
        <v>24816190.476190481</v>
      </c>
      <c r="T65" s="54">
        <f>+Q$30*S65+R65</f>
        <v>4368608.8052629456</v>
      </c>
      <c r="U65" s="93">
        <f>+U64</f>
        <v>14095238.095238101</v>
      </c>
      <c r="V65" s="86">
        <f>+V64</f>
        <v>571428.57142857148</v>
      </c>
      <c r="W65" s="86">
        <f t="shared" si="1"/>
        <v>13523809.52380953</v>
      </c>
      <c r="X65" s="54">
        <f>+U$30*W65+V65</f>
        <v>2380713.2453749026</v>
      </c>
      <c r="Y65" s="93">
        <f>+Y64</f>
        <v>1409523.8095238106</v>
      </c>
      <c r="Z65" s="86">
        <f>+Z64</f>
        <v>57142.857142857145</v>
      </c>
      <c r="AA65" s="86">
        <f t="shared" si="17"/>
        <v>1352380.9523809536</v>
      </c>
      <c r="AB65" s="54">
        <f>+Y$30*AA65+Z65</f>
        <v>227542.99472504499</v>
      </c>
      <c r="AC65" s="93">
        <f>+AC64</f>
        <v>1409523.8095238106</v>
      </c>
      <c r="AD65" s="86">
        <f>+AD64</f>
        <v>57142.857142857145</v>
      </c>
      <c r="AE65" s="86">
        <f t="shared" si="18"/>
        <v>1352380.9523809536</v>
      </c>
      <c r="AF65" s="54">
        <f>+AC$30*AE65+AD65</f>
        <v>227542.99472504499</v>
      </c>
      <c r="AG65" s="93">
        <f>+AG64</f>
        <v>1409523.8095238106</v>
      </c>
      <c r="AH65" s="86">
        <f>+AH64</f>
        <v>57142.857142857145</v>
      </c>
      <c r="AI65" s="86">
        <f t="shared" si="19"/>
        <v>1352380.9523809536</v>
      </c>
      <c r="AJ65" s="54">
        <f>+AG$30*AI65+AH65</f>
        <v>227542.99472504499</v>
      </c>
      <c r="AK65" s="93">
        <f>+AK64</f>
        <v>1428571.4285714296</v>
      </c>
      <c r="AL65" s="86">
        <f>+AL64</f>
        <v>57142.857142857145</v>
      </c>
      <c r="AM65" s="86">
        <f t="shared" si="20"/>
        <v>1371428.5714285725</v>
      </c>
      <c r="AN65" s="54">
        <f>+AK$30*AM65+AL65</f>
        <v>229942.99666282226</v>
      </c>
      <c r="AO65" s="93">
        <f>+AQ63</f>
        <v>11566349.742857143</v>
      </c>
      <c r="AP65" s="86">
        <f>+AP64</f>
        <v>453582.34285714285</v>
      </c>
      <c r="AQ65" s="86">
        <f t="shared" si="22"/>
        <v>11112767.4</v>
      </c>
      <c r="AR65" s="54">
        <f>+AO$30*AQ65+AP65</f>
        <v>1940305.4223675607</v>
      </c>
      <c r="AS65" s="93">
        <f>+AU63</f>
        <v>21525174.385714278</v>
      </c>
      <c r="AT65" s="86">
        <f>+AT64</f>
        <v>844124.48571428575</v>
      </c>
      <c r="AU65" s="86">
        <f t="shared" si="24"/>
        <v>20681049.899999991</v>
      </c>
      <c r="AV65" s="54">
        <f>+AS$30*AU65+AT65</f>
        <v>3610941.5249008164</v>
      </c>
      <c r="AW65" s="93">
        <f>+AY63</f>
        <v>42680566.714285694</v>
      </c>
      <c r="AX65" s="86">
        <f>+AX64</f>
        <v>1673747.7142857143</v>
      </c>
      <c r="AY65" s="86">
        <f t="shared" si="26"/>
        <v>41006818.999999978</v>
      </c>
      <c r="AZ65" s="54">
        <f>+AW$30*AY65+AX65</f>
        <v>6840611.0800450509</v>
      </c>
      <c r="BA65" s="93">
        <f>+BC63</f>
        <v>3808209.342857141</v>
      </c>
      <c r="BB65" s="86">
        <f>+BB64</f>
        <v>149341.54285714286</v>
      </c>
      <c r="BC65" s="86">
        <f t="shared" si="28"/>
        <v>3658867.799999998</v>
      </c>
      <c r="BD65" s="54">
        <f>+BA$30*BC65+BB65</f>
        <v>610359.2578858668</v>
      </c>
      <c r="BE65" s="93">
        <f>+BG63</f>
        <v>14406363.74285714</v>
      </c>
      <c r="BF65" s="86">
        <f>+BF64</f>
        <v>543480.11428571434</v>
      </c>
      <c r="BG65" s="86">
        <f t="shared" si="30"/>
        <v>13862883.628571425</v>
      </c>
      <c r="BH65" s="54">
        <f>+BE$30*BG65+BF65</f>
        <v>2398127.8628892046</v>
      </c>
      <c r="BI65" s="93">
        <f>+BK63</f>
        <v>41200683.418666646</v>
      </c>
      <c r="BJ65" s="86">
        <f>+BJ64</f>
        <v>1481495.7768571428</v>
      </c>
      <c r="BK65" s="86">
        <f t="shared" si="32"/>
        <v>39719187.641809501</v>
      </c>
      <c r="BL65" s="54">
        <f>+BI$30*BK65+BJ65</f>
        <v>6486117.4604894817</v>
      </c>
      <c r="BM65" s="93">
        <f>+BO63</f>
        <v>6950601.0933333319</v>
      </c>
      <c r="BN65" s="86">
        <f>+BN64</f>
        <v>246385.85714285713</v>
      </c>
      <c r="BO65" s="86">
        <f t="shared" si="34"/>
        <v>6704215.2361904746</v>
      </c>
      <c r="BP65" s="54">
        <f>+BM$30*BO65+BN65</f>
        <v>1091117.6589448492</v>
      </c>
      <c r="BQ65" s="87">
        <f t="shared" si="13"/>
        <v>35674600.15467409</v>
      </c>
      <c r="BR65" s="90">
        <f>+BQ65</f>
        <v>35674600.15467409</v>
      </c>
      <c r="BS65" s="38"/>
    </row>
    <row r="66" spans="1:71">
      <c r="A66">
        <f t="shared" si="10"/>
        <v>51</v>
      </c>
      <c r="C66" s="37" t="str">
        <f t="shared" si="11"/>
        <v>Base FCR</v>
      </c>
      <c r="D66" s="85">
        <f t="shared" si="12"/>
        <v>2023</v>
      </c>
      <c r="E66" s="86">
        <f>+G65</f>
        <v>20654383.880952366</v>
      </c>
      <c r="F66" s="86">
        <f>+E$32</f>
        <v>958810.85714285716</v>
      </c>
      <c r="G66" s="86">
        <f t="shared" si="14"/>
        <v>19695573.023809507</v>
      </c>
      <c r="H66" s="43">
        <f>+E$29*G66+F66</f>
        <v>3440455.0618386483</v>
      </c>
      <c r="I66" s="93">
        <f>+K65</f>
        <v>4483262.7583333356</v>
      </c>
      <c r="J66" s="86">
        <f>+I$32</f>
        <v>199625.8</v>
      </c>
      <c r="K66" s="86">
        <f t="shared" si="15"/>
        <v>4283636.9583333358</v>
      </c>
      <c r="L66" s="54">
        <f>+I$29*K66+J66</f>
        <v>739364.49253855762</v>
      </c>
      <c r="M66" s="93">
        <f>+O65</f>
        <v>3216781.5166666675</v>
      </c>
      <c r="N66" s="86">
        <f>+M$32</f>
        <v>143233.3142857143</v>
      </c>
      <c r="O66" s="86">
        <f t="shared" si="16"/>
        <v>3073548.2023809534</v>
      </c>
      <c r="P66" s="54">
        <f>+M$29*O66+N66</f>
        <v>530500.70046793972</v>
      </c>
      <c r="Q66" s="93">
        <f>+S65</f>
        <v>24816190.476190481</v>
      </c>
      <c r="R66" s="86">
        <f>+Q$32</f>
        <v>1048571.4285714285</v>
      </c>
      <c r="S66" s="86">
        <f t="shared" si="0"/>
        <v>23767619.047619052</v>
      </c>
      <c r="T66" s="54">
        <f>+Q$29*S66+R66</f>
        <v>4043293.8465299336</v>
      </c>
      <c r="U66" s="93">
        <f>+W65</f>
        <v>13523809.52380953</v>
      </c>
      <c r="V66" s="86">
        <f>+U$32</f>
        <v>571428.57142857148</v>
      </c>
      <c r="W66" s="86">
        <f t="shared" si="1"/>
        <v>12952380.952380959</v>
      </c>
      <c r="X66" s="54">
        <f>+U$29*W66+V66</f>
        <v>2203429.8891171305</v>
      </c>
      <c r="Y66" s="93">
        <f>+AA65</f>
        <v>1352380.9523809536</v>
      </c>
      <c r="Z66" s="86">
        <f>+Y$32</f>
        <v>57142.857142857145</v>
      </c>
      <c r="AA66" s="86">
        <f t="shared" si="17"/>
        <v>1295238.0952380965</v>
      </c>
      <c r="AB66" s="54">
        <f>+Y$29*AA66+Z66</f>
        <v>220342.98891171312</v>
      </c>
      <c r="AC66" s="93">
        <f>+AE65</f>
        <v>1352380.9523809536</v>
      </c>
      <c r="AD66" s="86">
        <f>+AC$32</f>
        <v>57142.857142857145</v>
      </c>
      <c r="AE66" s="86">
        <f t="shared" si="18"/>
        <v>1295238.0952380965</v>
      </c>
      <c r="AF66" s="54">
        <f>+AC$29*AE66+AD66</f>
        <v>220342.98891171312</v>
      </c>
      <c r="AG66" s="93">
        <f>+AI65</f>
        <v>1352380.9523809536</v>
      </c>
      <c r="AH66" s="86">
        <f>+AG$32</f>
        <v>57142.857142857145</v>
      </c>
      <c r="AI66" s="86">
        <f t="shared" si="19"/>
        <v>1295238.0952380965</v>
      </c>
      <c r="AJ66" s="54">
        <f>+AG$29*AI66+AH66</f>
        <v>220342.98891171312</v>
      </c>
      <c r="AK66" s="93">
        <f>+AM65</f>
        <v>1371428.5714285725</v>
      </c>
      <c r="AL66" s="86">
        <f>+AK$32</f>
        <v>57142.857142857145</v>
      </c>
      <c r="AM66" s="86">
        <f t="shared" si="20"/>
        <v>1314285.7142857155</v>
      </c>
      <c r="AN66" s="54">
        <f>+AK$29*AM66+AL66</f>
        <v>222742.99084949039</v>
      </c>
      <c r="AO66" s="93">
        <f t="shared" si="21"/>
        <v>11112767.4</v>
      </c>
      <c r="AP66" s="86">
        <f>+AO$32</f>
        <v>453582.34285714285</v>
      </c>
      <c r="AQ66" s="86">
        <f t="shared" si="22"/>
        <v>10659185.057142857</v>
      </c>
      <c r="AR66" s="54">
        <f>+AO$29*AQ66+AP66</f>
        <v>1796640.7444512974</v>
      </c>
      <c r="AS66" s="93">
        <f t="shared" si="23"/>
        <v>20681049.899999991</v>
      </c>
      <c r="AT66" s="86">
        <f>+AS$32</f>
        <v>844124.48571428575</v>
      </c>
      <c r="AU66" s="86">
        <f t="shared" si="24"/>
        <v>19836925.414285704</v>
      </c>
      <c r="AV66" s="54">
        <f>+AS$29*AU66+AT66</f>
        <v>3343579.1059903237</v>
      </c>
      <c r="AW66" s="93">
        <f t="shared" si="25"/>
        <v>41006818.999999978</v>
      </c>
      <c r="AX66" s="86">
        <f>+AW$32</f>
        <v>1673747.7142857143</v>
      </c>
      <c r="AY66" s="86">
        <f t="shared" si="26"/>
        <v>39333071.285714261</v>
      </c>
      <c r="AZ66" s="54">
        <f>+AW$29*AY66+AX66</f>
        <v>6629718.6977691595</v>
      </c>
      <c r="BA66" s="93">
        <f t="shared" si="27"/>
        <v>3658867.799999998</v>
      </c>
      <c r="BB66" s="86">
        <f>+BA$32</f>
        <v>149341.54285714286</v>
      </c>
      <c r="BC66" s="86">
        <f t="shared" si="28"/>
        <v>3509526.2571428549</v>
      </c>
      <c r="BD66" s="54">
        <f>+BA$29*BC66+BB66</f>
        <v>591542.20829285751</v>
      </c>
      <c r="BE66" s="93">
        <f t="shared" ref="BE66" si="47">+BG65</f>
        <v>13862883.628571425</v>
      </c>
      <c r="BF66" s="86">
        <f>+BE$32</f>
        <v>543480.11428571434</v>
      </c>
      <c r="BG66" s="86">
        <f t="shared" si="30"/>
        <v>13319403.51428571</v>
      </c>
      <c r="BH66" s="54">
        <f>+BE$29*BG66+BF66</f>
        <v>2221726.3121126913</v>
      </c>
      <c r="BI66" s="93">
        <f t="shared" ref="BI66" si="48">+BK65</f>
        <v>39719187.641809501</v>
      </c>
      <c r="BJ66" s="86">
        <f>+BI$32</f>
        <v>1481495.7768571428</v>
      </c>
      <c r="BK66" s="86">
        <f t="shared" si="32"/>
        <v>38237691.864952356</v>
      </c>
      <c r="BL66" s="54">
        <f>+BI$29*BK66+BJ66</f>
        <v>6299448.8418880161</v>
      </c>
      <c r="BM66" s="93">
        <f t="shared" ref="BM66" si="49">+BO65</f>
        <v>6704215.2361904746</v>
      </c>
      <c r="BN66" s="86">
        <f>+BM$32</f>
        <v>246385.85714285713</v>
      </c>
      <c r="BO66" s="86">
        <f t="shared" si="34"/>
        <v>6457829.3790476173</v>
      </c>
      <c r="BP66" s="54">
        <f>+BM$29*BO66+BN66</f>
        <v>1060073.0158792008</v>
      </c>
      <c r="BQ66" s="87">
        <f t="shared" si="13"/>
        <v>33783544.874460384</v>
      </c>
      <c r="BR66" s="36"/>
      <c r="BS66" s="88">
        <f>+BQ66</f>
        <v>33783544.874460384</v>
      </c>
    </row>
    <row r="67" spans="1:71">
      <c r="A67">
        <f t="shared" si="10"/>
        <v>52</v>
      </c>
      <c r="C67" s="37" t="str">
        <f t="shared" si="11"/>
        <v>W Increased ROE</v>
      </c>
      <c r="D67" s="85">
        <f t="shared" si="12"/>
        <v>2023</v>
      </c>
      <c r="E67" s="86">
        <f>+E66</f>
        <v>20654383.880952366</v>
      </c>
      <c r="F67" s="86">
        <f>+F66</f>
        <v>958810.85714285716</v>
      </c>
      <c r="G67" s="86">
        <f t="shared" si="14"/>
        <v>19695573.023809507</v>
      </c>
      <c r="H67" s="43">
        <f>+E$30*G67+F67</f>
        <v>3593785.7400581948</v>
      </c>
      <c r="I67" s="93">
        <f>+I66</f>
        <v>4483262.7583333356</v>
      </c>
      <c r="J67" s="86">
        <f>+J66</f>
        <v>199625.8</v>
      </c>
      <c r="K67" s="86">
        <f t="shared" si="15"/>
        <v>4283636.9583333358</v>
      </c>
      <c r="L67" s="54">
        <f>+I$30*K67+J67</f>
        <v>739364.49253855762</v>
      </c>
      <c r="M67" s="93">
        <f>+M66</f>
        <v>3216781.5166666675</v>
      </c>
      <c r="N67" s="86">
        <f>+N66</f>
        <v>143233.3142857143</v>
      </c>
      <c r="O67" s="86">
        <f t="shared" si="16"/>
        <v>3073548.2023809534</v>
      </c>
      <c r="P67" s="54">
        <f>+M$30*O67+N67</f>
        <v>530500.70046793972</v>
      </c>
      <c r="Q67" s="93">
        <f>+Q66</f>
        <v>24816190.476190481</v>
      </c>
      <c r="R67" s="86">
        <f>+R66</f>
        <v>1048571.4285714285</v>
      </c>
      <c r="S67" s="86">
        <f t="shared" si="0"/>
        <v>23767619.047619052</v>
      </c>
      <c r="T67" s="54">
        <f>+Q$30*S67+R67</f>
        <v>4228325.5358252758</v>
      </c>
      <c r="U67" s="93">
        <f>+U66</f>
        <v>13523809.52380953</v>
      </c>
      <c r="V67" s="86">
        <f>+V66</f>
        <v>571428.57142857148</v>
      </c>
      <c r="W67" s="86">
        <f t="shared" si="1"/>
        <v>12952380.952380959</v>
      </c>
      <c r="X67" s="54">
        <f>+U$30*W67+V67</f>
        <v>2304264.5971799875</v>
      </c>
      <c r="Y67" s="93">
        <f>+Y66</f>
        <v>1352380.9523809536</v>
      </c>
      <c r="Z67" s="86">
        <f>+Z66</f>
        <v>57142.857142857145</v>
      </c>
      <c r="AA67" s="86">
        <f t="shared" si="17"/>
        <v>1295238.0952380965</v>
      </c>
      <c r="AB67" s="54">
        <f>+Y$30*AA67+Z67</f>
        <v>220342.98891171312</v>
      </c>
      <c r="AC67" s="93">
        <f>+AC66</f>
        <v>1352380.9523809536</v>
      </c>
      <c r="AD67" s="86">
        <f>+AD66</f>
        <v>57142.857142857145</v>
      </c>
      <c r="AE67" s="86">
        <f t="shared" si="18"/>
        <v>1295238.0952380965</v>
      </c>
      <c r="AF67" s="54">
        <f>+AC$30*AE67+AD67</f>
        <v>220342.98891171312</v>
      </c>
      <c r="AG67" s="93">
        <f>+AG66</f>
        <v>1352380.9523809536</v>
      </c>
      <c r="AH67" s="86">
        <f>+AH66</f>
        <v>57142.857142857145</v>
      </c>
      <c r="AI67" s="86">
        <f t="shared" si="19"/>
        <v>1295238.0952380965</v>
      </c>
      <c r="AJ67" s="54">
        <f>+AG$30*AI67+AH67</f>
        <v>220342.98891171312</v>
      </c>
      <c r="AK67" s="93">
        <f>+AK66</f>
        <v>1371428.5714285725</v>
      </c>
      <c r="AL67" s="86">
        <f>+AL66</f>
        <v>57142.857142857145</v>
      </c>
      <c r="AM67" s="86">
        <f t="shared" si="20"/>
        <v>1314285.7142857155</v>
      </c>
      <c r="AN67" s="54">
        <f>+AK$30*AM67+AL67</f>
        <v>222742.99084949039</v>
      </c>
      <c r="AO67" s="93">
        <f>+AQ65</f>
        <v>11112767.4</v>
      </c>
      <c r="AP67" s="86">
        <f>+AP66</f>
        <v>453582.34285714285</v>
      </c>
      <c r="AQ67" s="86">
        <f t="shared" si="22"/>
        <v>10659185.057142857</v>
      </c>
      <c r="AR67" s="54">
        <f>+AO$30*AQ67+AP67</f>
        <v>1879622.8476936659</v>
      </c>
      <c r="AS67" s="93">
        <f>+AU65</f>
        <v>20681049.899999991</v>
      </c>
      <c r="AT67" s="86">
        <f>+AT66</f>
        <v>844124.48571428575</v>
      </c>
      <c r="AU67" s="86">
        <f t="shared" si="24"/>
        <v>19836925.414285704</v>
      </c>
      <c r="AV67" s="54">
        <f>+AS$30*AU67+AT67</f>
        <v>3498010.217178917</v>
      </c>
      <c r="AW67" s="93">
        <f>+AY65</f>
        <v>41006818.999999978</v>
      </c>
      <c r="AX67" s="86">
        <f>+AX66</f>
        <v>1673747.7142857143</v>
      </c>
      <c r="AY67" s="86">
        <f t="shared" si="26"/>
        <v>39333071.285714261</v>
      </c>
      <c r="AZ67" s="54">
        <f>+AW$30*AY67+AX67</f>
        <v>6629718.6977691595</v>
      </c>
      <c r="BA67" s="93">
        <f>+BC65</f>
        <v>3658867.799999998</v>
      </c>
      <c r="BB67" s="86">
        <f>+BB66</f>
        <v>149341.54285714286</v>
      </c>
      <c r="BC67" s="86">
        <f t="shared" si="28"/>
        <v>3509526.2571428549</v>
      </c>
      <c r="BD67" s="54">
        <f>+BA$30*BC67+BB67</f>
        <v>591542.20829285751</v>
      </c>
      <c r="BE67" s="93">
        <f>+BG65</f>
        <v>13862883.628571425</v>
      </c>
      <c r="BF67" s="86">
        <f>+BF66</f>
        <v>543480.11428571434</v>
      </c>
      <c r="BG67" s="86">
        <f t="shared" si="30"/>
        <v>13319403.51428571</v>
      </c>
      <c r="BH67" s="54">
        <f>+BE$30*BG67+BF67</f>
        <v>2325418.3027877728</v>
      </c>
      <c r="BI67" s="93">
        <f>+BK65</f>
        <v>39719187.641809501</v>
      </c>
      <c r="BJ67" s="86">
        <f>+BJ66</f>
        <v>1481495.7768571428</v>
      </c>
      <c r="BK67" s="86">
        <f t="shared" si="32"/>
        <v>38237691.864952356</v>
      </c>
      <c r="BL67" s="54">
        <f>+BI$30*BK67+BJ67</f>
        <v>6299448.8418880161</v>
      </c>
      <c r="BM67" s="93">
        <f>+BO65</f>
        <v>6704215.2361904746</v>
      </c>
      <c r="BN67" s="86">
        <f>+BN66</f>
        <v>246385.85714285713</v>
      </c>
      <c r="BO67" s="86">
        <f t="shared" si="34"/>
        <v>6457829.3790476173</v>
      </c>
      <c r="BP67" s="54">
        <f>+BM$30*BO67+BN67</f>
        <v>1060073.0158792008</v>
      </c>
      <c r="BQ67" s="87">
        <f t="shared" si="13"/>
        <v>34563847.15514417</v>
      </c>
      <c r="BR67" s="90">
        <f>+BQ67</f>
        <v>34563847.15514417</v>
      </c>
      <c r="BS67" s="38"/>
    </row>
    <row r="68" spans="1:71">
      <c r="A68">
        <f t="shared" si="10"/>
        <v>53</v>
      </c>
      <c r="C68" s="37" t="str">
        <f t="shared" si="11"/>
        <v>Base FCR</v>
      </c>
      <c r="D68" s="85">
        <f t="shared" si="12"/>
        <v>2024</v>
      </c>
      <c r="E68" s="86">
        <f>+G67</f>
        <v>19695573.023809507</v>
      </c>
      <c r="F68" s="86">
        <f>+E$32</f>
        <v>958810.85714285716</v>
      </c>
      <c r="G68" s="86">
        <f t="shared" si="14"/>
        <v>18736762.166666649</v>
      </c>
      <c r="H68" s="43">
        <f>+E$29*G68+F68</f>
        <v>3319644.796295648</v>
      </c>
      <c r="I68" s="93">
        <f>+K67</f>
        <v>4283636.9583333358</v>
      </c>
      <c r="J68" s="86">
        <f>+I$32</f>
        <v>199625.8</v>
      </c>
      <c r="K68" s="86">
        <f t="shared" si="15"/>
        <v>4084011.158333336</v>
      </c>
      <c r="L68" s="54">
        <f>+I$29*K68+J68</f>
        <v>714211.62142996467</v>
      </c>
      <c r="M68" s="93">
        <f>+O67</f>
        <v>3073548.2023809534</v>
      </c>
      <c r="N68" s="86">
        <f>+M$32</f>
        <v>143233.3142857143</v>
      </c>
      <c r="O68" s="86">
        <f t="shared" si="16"/>
        <v>2930314.8880952392</v>
      </c>
      <c r="P68" s="54">
        <f>+M$29*O68+N68</f>
        <v>512453.28829634091</v>
      </c>
      <c r="Q68" s="93">
        <f>+S67</f>
        <v>23767619.047619052</v>
      </c>
      <c r="R68" s="86">
        <f>+Q$32</f>
        <v>1048571.4285714285</v>
      </c>
      <c r="S68" s="86">
        <f t="shared" si="0"/>
        <v>22719047.619047623</v>
      </c>
      <c r="T68" s="54">
        <f>+Q$29*S68+R68</f>
        <v>3911173.7398552937</v>
      </c>
      <c r="U68" s="93">
        <f>+W67</f>
        <v>12952380.952380959</v>
      </c>
      <c r="V68" s="86">
        <f>+U$32</f>
        <v>571428.57142857148</v>
      </c>
      <c r="W68" s="86">
        <f t="shared" si="1"/>
        <v>12380952.380952388</v>
      </c>
      <c r="X68" s="54">
        <f>+U$29*W68+V68</f>
        <v>2131429.830983812</v>
      </c>
      <c r="Y68" s="93">
        <f>+AA67</f>
        <v>1295238.0952380965</v>
      </c>
      <c r="Z68" s="86">
        <f>+Y$32</f>
        <v>57142.857142857145</v>
      </c>
      <c r="AA68" s="86">
        <f t="shared" si="17"/>
        <v>1238095.2380952395</v>
      </c>
      <c r="AB68" s="54">
        <f>+Y$29*AA68+Z68</f>
        <v>213142.98309838126</v>
      </c>
      <c r="AC68" s="93">
        <f>+AE67</f>
        <v>1295238.0952380965</v>
      </c>
      <c r="AD68" s="86">
        <f>+AC$32</f>
        <v>57142.857142857145</v>
      </c>
      <c r="AE68" s="86">
        <f t="shared" si="18"/>
        <v>1238095.2380952395</v>
      </c>
      <c r="AF68" s="54">
        <f>+AC$29*AE68+AD68</f>
        <v>213142.98309838126</v>
      </c>
      <c r="AG68" s="93">
        <f>+AI67</f>
        <v>1295238.0952380965</v>
      </c>
      <c r="AH68" s="86">
        <f>+AG$32</f>
        <v>57142.857142857145</v>
      </c>
      <c r="AI68" s="86">
        <f t="shared" si="19"/>
        <v>1238095.2380952395</v>
      </c>
      <c r="AJ68" s="54">
        <f>+AG$29*AI68+AH68</f>
        <v>213142.98309838126</v>
      </c>
      <c r="AK68" s="93">
        <f>+AM67</f>
        <v>1314285.7142857155</v>
      </c>
      <c r="AL68" s="86">
        <f>+AK$32</f>
        <v>57142.857142857145</v>
      </c>
      <c r="AM68" s="86">
        <f t="shared" si="20"/>
        <v>1257142.8571428584</v>
      </c>
      <c r="AN68" s="54">
        <f>+AK$29*AM68+AL68</f>
        <v>215542.98503615853</v>
      </c>
      <c r="AO68" s="93">
        <f t="shared" si="21"/>
        <v>10659185.057142857</v>
      </c>
      <c r="AP68" s="86">
        <f>+AO$32</f>
        <v>453582.34285714285</v>
      </c>
      <c r="AQ68" s="86">
        <f t="shared" si="22"/>
        <v>10205602.714285715</v>
      </c>
      <c r="AR68" s="54">
        <f>+AO$29*AQ68+AP68</f>
        <v>1739489.3231068652</v>
      </c>
      <c r="AS68" s="93">
        <f t="shared" si="23"/>
        <v>19836925.414285704</v>
      </c>
      <c r="AT68" s="86">
        <f>+AS$32</f>
        <v>844124.48571428575</v>
      </c>
      <c r="AU68" s="86">
        <f t="shared" si="24"/>
        <v>18992800.928571418</v>
      </c>
      <c r="AV68" s="54">
        <f>+AS$29*AU68+AT68</f>
        <v>3237219.3349147472</v>
      </c>
      <c r="AW68" s="93">
        <f t="shared" si="25"/>
        <v>39333071.285714261</v>
      </c>
      <c r="AX68" s="86">
        <f>+AW$32</f>
        <v>1673747.7142857143</v>
      </c>
      <c r="AY68" s="86">
        <f t="shared" si="26"/>
        <v>37659323.571428545</v>
      </c>
      <c r="AZ68" s="54">
        <f>+AW$29*AY68+AX68</f>
        <v>6418826.315493268</v>
      </c>
      <c r="BA68" s="93">
        <f t="shared" si="27"/>
        <v>3509526.2571428549</v>
      </c>
      <c r="BB68" s="86">
        <f>+BA$32</f>
        <v>149341.54285714286</v>
      </c>
      <c r="BC68" s="86">
        <f t="shared" si="28"/>
        <v>3360184.7142857118</v>
      </c>
      <c r="BD68" s="54">
        <f>+BA$29*BC68+BB68</f>
        <v>572725.15869984846</v>
      </c>
      <c r="BE68" s="93">
        <f t="shared" ref="BE68" si="50">+BG67</f>
        <v>13319403.51428571</v>
      </c>
      <c r="BF68" s="86">
        <f>+BE$32</f>
        <v>543480.11428571434</v>
      </c>
      <c r="BG68" s="86">
        <f t="shared" si="30"/>
        <v>12775923.399999995</v>
      </c>
      <c r="BH68" s="54">
        <f>+BE$29*BG68+BF68</f>
        <v>2153247.7624226613</v>
      </c>
      <c r="BI68" s="93">
        <f t="shared" ref="BI68" si="51">+BK67</f>
        <v>38237691.864952356</v>
      </c>
      <c r="BJ68" s="86">
        <f>+BI$32</f>
        <v>1481495.7768571428</v>
      </c>
      <c r="BK68" s="86">
        <f t="shared" si="32"/>
        <v>36756196.08809521</v>
      </c>
      <c r="BL68" s="54">
        <f>+BI$29*BK68+BJ68</f>
        <v>6112780.2232865505</v>
      </c>
      <c r="BM68" s="93">
        <f t="shared" ref="BM68" si="52">+BO67</f>
        <v>6457829.3790476173</v>
      </c>
      <c r="BN68" s="86">
        <f>+BM$32</f>
        <v>246385.85714285713</v>
      </c>
      <c r="BO68" s="86">
        <f t="shared" si="34"/>
        <v>6211443.52190476</v>
      </c>
      <c r="BP68" s="54">
        <f>+BM$29*BO68+BN68</f>
        <v>1029028.3728135526</v>
      </c>
      <c r="BQ68" s="87">
        <f t="shared" si="13"/>
        <v>32707201.701929856</v>
      </c>
      <c r="BR68" s="36"/>
      <c r="BS68" s="88">
        <f>+BQ68</f>
        <v>32707201.701929856</v>
      </c>
    </row>
    <row r="69" spans="1:71">
      <c r="A69">
        <f t="shared" si="10"/>
        <v>54</v>
      </c>
      <c r="C69" s="37" t="str">
        <f t="shared" si="11"/>
        <v>W Increased ROE</v>
      </c>
      <c r="D69" s="85">
        <f t="shared" si="12"/>
        <v>2024</v>
      </c>
      <c r="E69" s="86">
        <f>+E68</f>
        <v>19695573.023809507</v>
      </c>
      <c r="F69" s="86">
        <f>+F68</f>
        <v>958810.85714285716</v>
      </c>
      <c r="G69" s="86">
        <f t="shared" si="14"/>
        <v>18736762.166666649</v>
      </c>
      <c r="H69" s="43">
        <f>+E$30*G69+F69</f>
        <v>3465511.1007276303</v>
      </c>
      <c r="I69" s="93">
        <f>+I68</f>
        <v>4283636.9583333358</v>
      </c>
      <c r="J69" s="86">
        <f>+J68</f>
        <v>199625.8</v>
      </c>
      <c r="K69" s="86">
        <f t="shared" si="15"/>
        <v>4084011.158333336</v>
      </c>
      <c r="L69" s="54">
        <f>+I$30*K69+J69</f>
        <v>714211.62142996467</v>
      </c>
      <c r="M69" s="93">
        <f>+M68</f>
        <v>3073548.2023809534</v>
      </c>
      <c r="N69" s="86">
        <f>+N68</f>
        <v>143233.3142857143</v>
      </c>
      <c r="O69" s="86">
        <f t="shared" si="16"/>
        <v>2930314.8880952392</v>
      </c>
      <c r="P69" s="54">
        <f>+M$30*O69+N69</f>
        <v>512453.28829634091</v>
      </c>
      <c r="Q69" s="93">
        <f>+Q68</f>
        <v>23767619.047619052</v>
      </c>
      <c r="R69" s="86">
        <f>+R68</f>
        <v>1048571.4285714285</v>
      </c>
      <c r="S69" s="86">
        <f t="shared" si="0"/>
        <v>22719047.619047623</v>
      </c>
      <c r="T69" s="54">
        <f>+Q$30*S69+R69</f>
        <v>4088042.266387606</v>
      </c>
      <c r="U69" s="93">
        <f>+U68</f>
        <v>12952380.952380959</v>
      </c>
      <c r="V69" s="86">
        <f>+V68</f>
        <v>571428.57142857148</v>
      </c>
      <c r="W69" s="86">
        <f t="shared" si="1"/>
        <v>12380952.380952388</v>
      </c>
      <c r="X69" s="54">
        <f>+U$30*W69+V69</f>
        <v>2227815.9489850723</v>
      </c>
      <c r="Y69" s="93">
        <f>+Y68</f>
        <v>1295238.0952380965</v>
      </c>
      <c r="Z69" s="86">
        <f>+Z68</f>
        <v>57142.857142857145</v>
      </c>
      <c r="AA69" s="86">
        <f t="shared" si="17"/>
        <v>1238095.2380952395</v>
      </c>
      <c r="AB69" s="54">
        <f>+Y$30*AA69+Z69</f>
        <v>213142.98309838126</v>
      </c>
      <c r="AC69" s="93">
        <f>+AC68</f>
        <v>1295238.0952380965</v>
      </c>
      <c r="AD69" s="86">
        <f>+AD68</f>
        <v>57142.857142857145</v>
      </c>
      <c r="AE69" s="86">
        <f t="shared" si="18"/>
        <v>1238095.2380952395</v>
      </c>
      <c r="AF69" s="54">
        <f>+AC$30*AE69+AD69</f>
        <v>213142.98309838126</v>
      </c>
      <c r="AG69" s="93">
        <f>+AG68</f>
        <v>1295238.0952380965</v>
      </c>
      <c r="AH69" s="86">
        <f>+AH68</f>
        <v>57142.857142857145</v>
      </c>
      <c r="AI69" s="86">
        <f t="shared" si="19"/>
        <v>1238095.2380952395</v>
      </c>
      <c r="AJ69" s="54">
        <f>+AG$30*AI69+AH69</f>
        <v>213142.98309838126</v>
      </c>
      <c r="AK69" s="93">
        <f>+AK68</f>
        <v>1314285.7142857155</v>
      </c>
      <c r="AL69" s="86">
        <f>+AL68</f>
        <v>57142.857142857145</v>
      </c>
      <c r="AM69" s="86">
        <f t="shared" si="20"/>
        <v>1257142.8571428584</v>
      </c>
      <c r="AN69" s="54">
        <f>+AK$30*AM69+AL69</f>
        <v>215542.98503615853</v>
      </c>
      <c r="AO69" s="93">
        <f>+AQ67</f>
        <v>10659185.057142857</v>
      </c>
      <c r="AP69" s="86">
        <f>+AP68</f>
        <v>453582.34285714285</v>
      </c>
      <c r="AQ69" s="86">
        <f t="shared" si="22"/>
        <v>10205602.714285715</v>
      </c>
      <c r="AR69" s="54">
        <f>+AO$30*AQ69+AP69</f>
        <v>1818940.2730197713</v>
      </c>
      <c r="AS69" s="93">
        <f>+AU67</f>
        <v>19836925.414285704</v>
      </c>
      <c r="AT69" s="86">
        <f>+AT68</f>
        <v>844124.48571428575</v>
      </c>
      <c r="AU69" s="86">
        <f t="shared" si="24"/>
        <v>18992800.928571418</v>
      </c>
      <c r="AV69" s="54">
        <f>+AS$30*AU69+AT69</f>
        <v>3385078.9094570177</v>
      </c>
      <c r="AW69" s="93">
        <f>+AY67</f>
        <v>39333071.285714261</v>
      </c>
      <c r="AX69" s="86">
        <f>+AX68</f>
        <v>1673747.7142857143</v>
      </c>
      <c r="AY69" s="86">
        <f t="shared" si="26"/>
        <v>37659323.571428545</v>
      </c>
      <c r="AZ69" s="54">
        <f>+AW$30*AY69+AX69</f>
        <v>6418826.315493268</v>
      </c>
      <c r="BA69" s="93">
        <f>+BC67</f>
        <v>3509526.2571428549</v>
      </c>
      <c r="BB69" s="86">
        <f>+BB68</f>
        <v>149341.54285714286</v>
      </c>
      <c r="BC69" s="86">
        <f t="shared" si="28"/>
        <v>3360184.7142857118</v>
      </c>
      <c r="BD69" s="54">
        <f>+BA$30*BC69+BB69</f>
        <v>572725.15869984846</v>
      </c>
      <c r="BE69" s="93">
        <f>+BG67</f>
        <v>13319403.51428571</v>
      </c>
      <c r="BF69" s="86">
        <f>+BF68</f>
        <v>543480.11428571434</v>
      </c>
      <c r="BG69" s="86">
        <f t="shared" si="30"/>
        <v>12775923.399999995</v>
      </c>
      <c r="BH69" s="54">
        <f>+BE$30*BG69+BF69</f>
        <v>2252708.7426863411</v>
      </c>
      <c r="BI69" s="93">
        <f>+BK67</f>
        <v>38237691.864952356</v>
      </c>
      <c r="BJ69" s="86">
        <f>+BJ68</f>
        <v>1481495.7768571428</v>
      </c>
      <c r="BK69" s="86">
        <f t="shared" si="32"/>
        <v>36756196.08809521</v>
      </c>
      <c r="BL69" s="54">
        <f>+BI$30*BK69+BJ69</f>
        <v>6112780.2232865505</v>
      </c>
      <c r="BM69" s="93">
        <f>+BO67</f>
        <v>6457829.3790476173</v>
      </c>
      <c r="BN69" s="86">
        <f>+BN68</f>
        <v>246385.85714285713</v>
      </c>
      <c r="BO69" s="86">
        <f t="shared" si="34"/>
        <v>6211443.52190476</v>
      </c>
      <c r="BP69" s="54">
        <f>+BM$30*BO69+BN69</f>
        <v>1029028.3728135526</v>
      </c>
      <c r="BQ69" s="87">
        <f t="shared" si="13"/>
        <v>33453094.155614268</v>
      </c>
      <c r="BR69" s="90">
        <f>+BQ69</f>
        <v>33453094.155614268</v>
      </c>
      <c r="BS69" s="38"/>
    </row>
    <row r="70" spans="1:71">
      <c r="A70">
        <f t="shared" si="10"/>
        <v>55</v>
      </c>
      <c r="C70" s="37" t="str">
        <f t="shared" si="11"/>
        <v>Base FCR</v>
      </c>
      <c r="D70" s="85">
        <f t="shared" si="12"/>
        <v>2025</v>
      </c>
      <c r="E70" s="86">
        <f>+G69</f>
        <v>18736762.166666649</v>
      </c>
      <c r="F70" s="86">
        <f>+E$32</f>
        <v>958810.85714285716</v>
      </c>
      <c r="G70" s="86">
        <f t="shared" si="14"/>
        <v>17777951.309523791</v>
      </c>
      <c r="H70" s="43">
        <f>+E$29*G70+F70</f>
        <v>3198834.5307526477</v>
      </c>
      <c r="I70" s="93">
        <f>+K69</f>
        <v>4084011.158333336</v>
      </c>
      <c r="J70" s="86">
        <f>+I$32</f>
        <v>199625.8</v>
      </c>
      <c r="K70" s="86">
        <f t="shared" si="15"/>
        <v>3884385.3583333362</v>
      </c>
      <c r="L70" s="54">
        <f>+I$29*K70+J70</f>
        <v>689058.75032137171</v>
      </c>
      <c r="M70" s="93">
        <f>+O69</f>
        <v>2930314.8880952392</v>
      </c>
      <c r="N70" s="86">
        <f>+M$32</f>
        <v>143233.3142857143</v>
      </c>
      <c r="O70" s="86">
        <f t="shared" si="16"/>
        <v>2787081.573809525</v>
      </c>
      <c r="P70" s="54">
        <f>+M$29*O70+N70</f>
        <v>494405.87612474209</v>
      </c>
      <c r="Q70" s="93">
        <f>+S69</f>
        <v>22719047.619047623</v>
      </c>
      <c r="R70" s="86">
        <f>+Q$32</f>
        <v>1048571.4285714285</v>
      </c>
      <c r="S70" s="86">
        <f t="shared" si="0"/>
        <v>21670476.190476194</v>
      </c>
      <c r="T70" s="54">
        <f>+Q$29*S70+R70</f>
        <v>3779053.6331806537</v>
      </c>
      <c r="U70" s="93">
        <f>+W69</f>
        <v>12380952.380952388</v>
      </c>
      <c r="V70" s="86">
        <f>+U$32</f>
        <v>571428.57142857148</v>
      </c>
      <c r="W70" s="86">
        <f t="shared" si="1"/>
        <v>11809523.809523817</v>
      </c>
      <c r="X70" s="54">
        <f>+U$29*W70+V70</f>
        <v>2059429.7728504934</v>
      </c>
      <c r="Y70" s="93">
        <f>+AA69</f>
        <v>1238095.2380952395</v>
      </c>
      <c r="Z70" s="86">
        <f>+Y$32</f>
        <v>57142.857142857145</v>
      </c>
      <c r="AA70" s="86">
        <f t="shared" si="17"/>
        <v>1180952.3809523825</v>
      </c>
      <c r="AB70" s="54">
        <f>+Y$29*AA70+Z70</f>
        <v>205942.97728504939</v>
      </c>
      <c r="AC70" s="93">
        <f>+AE69</f>
        <v>1238095.2380952395</v>
      </c>
      <c r="AD70" s="86">
        <f>+AC$32</f>
        <v>57142.857142857145</v>
      </c>
      <c r="AE70" s="86">
        <f t="shared" si="18"/>
        <v>1180952.3809523825</v>
      </c>
      <c r="AF70" s="54">
        <f>+AC$29*AE70+AD70</f>
        <v>205942.97728504939</v>
      </c>
      <c r="AG70" s="93">
        <f>+AI69</f>
        <v>1238095.2380952395</v>
      </c>
      <c r="AH70" s="86">
        <f>+AG$32</f>
        <v>57142.857142857145</v>
      </c>
      <c r="AI70" s="86">
        <f t="shared" si="19"/>
        <v>1180952.3809523825</v>
      </c>
      <c r="AJ70" s="54">
        <f>+AG$29*AI70+AH70</f>
        <v>205942.97728504939</v>
      </c>
      <c r="AK70" s="93">
        <f>+AM69</f>
        <v>1257142.8571428584</v>
      </c>
      <c r="AL70" s="86">
        <f>+AK$32</f>
        <v>57142.857142857145</v>
      </c>
      <c r="AM70" s="86">
        <f t="shared" si="20"/>
        <v>1200000.0000000014</v>
      </c>
      <c r="AN70" s="54">
        <f>+AK$29*AM70+AL70</f>
        <v>208342.97922282672</v>
      </c>
      <c r="AO70" s="93">
        <f t="shared" si="21"/>
        <v>10205602.714285715</v>
      </c>
      <c r="AP70" s="86">
        <f>+AO$32</f>
        <v>453582.34285714285</v>
      </c>
      <c r="AQ70" s="86">
        <f t="shared" si="22"/>
        <v>9752020.3714285716</v>
      </c>
      <c r="AR70" s="54">
        <f>+AO$29*AQ70+AP70</f>
        <v>1682337.9017624331</v>
      </c>
      <c r="AS70" s="93">
        <f t="shared" si="23"/>
        <v>18992800.928571418</v>
      </c>
      <c r="AT70" s="86">
        <f>+AS$32</f>
        <v>844124.48571428575</v>
      </c>
      <c r="AU70" s="86">
        <f t="shared" si="24"/>
        <v>18148676.442857131</v>
      </c>
      <c r="AV70" s="54">
        <f>+AS$29*AU70+AT70</f>
        <v>3130859.5638391711</v>
      </c>
      <c r="AW70" s="93">
        <f t="shared" si="25"/>
        <v>37659323.571428545</v>
      </c>
      <c r="AX70" s="86">
        <f>+AW$32</f>
        <v>1673747.7142857143</v>
      </c>
      <c r="AY70" s="86">
        <f t="shared" si="26"/>
        <v>35985575.857142828</v>
      </c>
      <c r="AZ70" s="54">
        <f>+AW$29*AY70+AX70</f>
        <v>6207933.9332173765</v>
      </c>
      <c r="BA70" s="93">
        <f t="shared" si="27"/>
        <v>3360184.7142857118</v>
      </c>
      <c r="BB70" s="86">
        <f>+BA$32</f>
        <v>149341.54285714286</v>
      </c>
      <c r="BC70" s="86">
        <f t="shared" si="28"/>
        <v>3210843.1714285687</v>
      </c>
      <c r="BD70" s="54">
        <f>+BA$29*BC70+BB70</f>
        <v>553908.10910683917</v>
      </c>
      <c r="BE70" s="93">
        <f t="shared" ref="BE70" si="53">+BG69</f>
        <v>12775923.399999995</v>
      </c>
      <c r="BF70" s="86">
        <f>+BE$32</f>
        <v>543480.11428571434</v>
      </c>
      <c r="BG70" s="86">
        <f t="shared" si="30"/>
        <v>12232443.28571428</v>
      </c>
      <c r="BH70" s="54">
        <f>+BE$29*BG70+BF70</f>
        <v>2084769.2127326317</v>
      </c>
      <c r="BI70" s="93">
        <f t="shared" ref="BI70" si="54">+BK69</f>
        <v>36756196.08809521</v>
      </c>
      <c r="BJ70" s="86">
        <f>+BI$32</f>
        <v>1481495.7768571428</v>
      </c>
      <c r="BK70" s="86">
        <f t="shared" si="32"/>
        <v>35274700.311238065</v>
      </c>
      <c r="BL70" s="54">
        <f>+BI$29*BK70+BJ70</f>
        <v>5926111.604685083</v>
      </c>
      <c r="BM70" s="93">
        <f t="shared" ref="BM70" si="55">+BO69</f>
        <v>6211443.52190476</v>
      </c>
      <c r="BN70" s="86">
        <f>+BM$32</f>
        <v>246385.85714285713</v>
      </c>
      <c r="BO70" s="86">
        <f t="shared" si="34"/>
        <v>5965057.6647619028</v>
      </c>
      <c r="BP70" s="54">
        <f>+BM$29*BO70+BN70</f>
        <v>997983.72974790435</v>
      </c>
      <c r="BQ70" s="87">
        <f t="shared" si="13"/>
        <v>31630858.52939932</v>
      </c>
      <c r="BR70" s="36"/>
      <c r="BS70" s="88">
        <f>+BQ70</f>
        <v>31630858.52939932</v>
      </c>
    </row>
    <row r="71" spans="1:71">
      <c r="A71">
        <f t="shared" si="10"/>
        <v>56</v>
      </c>
      <c r="C71" s="37" t="str">
        <f t="shared" si="11"/>
        <v>W Increased ROE</v>
      </c>
      <c r="D71" s="85">
        <f t="shared" si="12"/>
        <v>2025</v>
      </c>
      <c r="E71" s="86">
        <f>+E70</f>
        <v>18736762.166666649</v>
      </c>
      <c r="F71" s="86">
        <f>+F70</f>
        <v>958810.85714285716</v>
      </c>
      <c r="G71" s="86">
        <f t="shared" si="14"/>
        <v>17777951.309523791</v>
      </c>
      <c r="H71" s="43">
        <f>+E$30*G71+F71</f>
        <v>3337236.4613970662</v>
      </c>
      <c r="I71" s="93">
        <f>+I70</f>
        <v>4084011.158333336</v>
      </c>
      <c r="J71" s="86">
        <f>+J70</f>
        <v>199625.8</v>
      </c>
      <c r="K71" s="86">
        <f t="shared" si="15"/>
        <v>3884385.3583333362</v>
      </c>
      <c r="L71" s="54">
        <f>+I$30*K71+J71</f>
        <v>689058.75032137171</v>
      </c>
      <c r="M71" s="93">
        <f>+M70</f>
        <v>2930314.8880952392</v>
      </c>
      <c r="N71" s="86">
        <f>+N70</f>
        <v>143233.3142857143</v>
      </c>
      <c r="O71" s="86">
        <f t="shared" si="16"/>
        <v>2787081.573809525</v>
      </c>
      <c r="P71" s="54">
        <f>+M$30*O71+N71</f>
        <v>494405.87612474209</v>
      </c>
      <c r="Q71" s="93">
        <f>+Q70</f>
        <v>22719047.619047623</v>
      </c>
      <c r="R71" s="86">
        <f>+R70</f>
        <v>1048571.4285714285</v>
      </c>
      <c r="S71" s="86">
        <f t="shared" si="0"/>
        <v>21670476.190476194</v>
      </c>
      <c r="T71" s="54">
        <f>+Q$30*S71+R71</f>
        <v>3947758.9969499363</v>
      </c>
      <c r="U71" s="93">
        <f>+U70</f>
        <v>12380952.380952388</v>
      </c>
      <c r="V71" s="86">
        <f>+V70</f>
        <v>571428.57142857148</v>
      </c>
      <c r="W71" s="86">
        <f t="shared" si="1"/>
        <v>11809523.809523817</v>
      </c>
      <c r="X71" s="54">
        <f>+U$30*W71+V71</f>
        <v>2151367.3007901567</v>
      </c>
      <c r="Y71" s="93">
        <f>+Y70</f>
        <v>1238095.2380952395</v>
      </c>
      <c r="Z71" s="86">
        <f>+Z70</f>
        <v>57142.857142857145</v>
      </c>
      <c r="AA71" s="86">
        <f t="shared" si="17"/>
        <v>1180952.3809523825</v>
      </c>
      <c r="AB71" s="54">
        <f>+Y$30*AA71+Z71</f>
        <v>205942.97728504939</v>
      </c>
      <c r="AC71" s="93">
        <f>+AC70</f>
        <v>1238095.2380952395</v>
      </c>
      <c r="AD71" s="86">
        <f>+AD70</f>
        <v>57142.857142857145</v>
      </c>
      <c r="AE71" s="86">
        <f t="shared" si="18"/>
        <v>1180952.3809523825</v>
      </c>
      <c r="AF71" s="54">
        <f>+AC$30*AE71+AD71</f>
        <v>205942.97728504939</v>
      </c>
      <c r="AG71" s="93">
        <f>+AG70</f>
        <v>1238095.2380952395</v>
      </c>
      <c r="AH71" s="86">
        <f>+AH70</f>
        <v>57142.857142857145</v>
      </c>
      <c r="AI71" s="86">
        <f t="shared" si="19"/>
        <v>1180952.3809523825</v>
      </c>
      <c r="AJ71" s="54">
        <f>+AG$30*AI71+AH71</f>
        <v>205942.97728504939</v>
      </c>
      <c r="AK71" s="93">
        <f>+AK70</f>
        <v>1257142.8571428584</v>
      </c>
      <c r="AL71" s="86">
        <f>+AL70</f>
        <v>57142.857142857145</v>
      </c>
      <c r="AM71" s="86">
        <f t="shared" si="20"/>
        <v>1200000.0000000014</v>
      </c>
      <c r="AN71" s="54">
        <f>+AK$30*AM71+AL71</f>
        <v>208342.97922282672</v>
      </c>
      <c r="AO71" s="93">
        <f>+AQ69</f>
        <v>10205602.714285715</v>
      </c>
      <c r="AP71" s="86">
        <f>+AP70</f>
        <v>453582.34285714285</v>
      </c>
      <c r="AQ71" s="86">
        <f t="shared" si="22"/>
        <v>9752020.3714285716</v>
      </c>
      <c r="AR71" s="54">
        <f>+AO$30*AQ71+AP71</f>
        <v>1758257.6983458768</v>
      </c>
      <c r="AS71" s="93">
        <f>+AU69</f>
        <v>18992800.928571418</v>
      </c>
      <c r="AT71" s="86">
        <f>+AT70</f>
        <v>844124.48571428575</v>
      </c>
      <c r="AU71" s="86">
        <f t="shared" si="24"/>
        <v>18148676.442857131</v>
      </c>
      <c r="AV71" s="54">
        <f>+AS$30*AU71+AT71</f>
        <v>3272147.6017351183</v>
      </c>
      <c r="AW71" s="93">
        <f>+AY69</f>
        <v>37659323.571428545</v>
      </c>
      <c r="AX71" s="86">
        <f>+AX70</f>
        <v>1673747.7142857143</v>
      </c>
      <c r="AY71" s="86">
        <f t="shared" si="26"/>
        <v>35985575.857142828</v>
      </c>
      <c r="AZ71" s="54">
        <f>+AW$30*AY71+AX71</f>
        <v>6207933.9332173765</v>
      </c>
      <c r="BA71" s="93">
        <f>+BC69</f>
        <v>3360184.7142857118</v>
      </c>
      <c r="BB71" s="86">
        <f>+BB70</f>
        <v>149341.54285714286</v>
      </c>
      <c r="BC71" s="86">
        <f t="shared" si="28"/>
        <v>3210843.1714285687</v>
      </c>
      <c r="BD71" s="54">
        <f>+BA$30*BC71+BB71</f>
        <v>553908.10910683917</v>
      </c>
      <c r="BE71" s="93">
        <f>+BG69</f>
        <v>12775923.399999995</v>
      </c>
      <c r="BF71" s="86">
        <f>+BF70</f>
        <v>543480.11428571434</v>
      </c>
      <c r="BG71" s="86">
        <f t="shared" si="30"/>
        <v>12232443.28571428</v>
      </c>
      <c r="BH71" s="54">
        <f>+BE$30*BG71+BF71</f>
        <v>2179999.1825849093</v>
      </c>
      <c r="BI71" s="93">
        <f>+BK69</f>
        <v>36756196.08809521</v>
      </c>
      <c r="BJ71" s="86">
        <f>+BJ70</f>
        <v>1481495.7768571428</v>
      </c>
      <c r="BK71" s="86">
        <f t="shared" si="32"/>
        <v>35274700.311238065</v>
      </c>
      <c r="BL71" s="54">
        <f>+BI$30*BK71+BJ71</f>
        <v>5926111.604685083</v>
      </c>
      <c r="BM71" s="93">
        <f>+BO69</f>
        <v>6211443.52190476</v>
      </c>
      <c r="BN71" s="86">
        <f>+BN70</f>
        <v>246385.85714285713</v>
      </c>
      <c r="BO71" s="86">
        <f t="shared" si="34"/>
        <v>5965057.6647619028</v>
      </c>
      <c r="BP71" s="54">
        <f>+BM$30*BO71+BN71</f>
        <v>997983.72974790435</v>
      </c>
      <c r="BQ71" s="87">
        <f t="shared" si="13"/>
        <v>32342341.156084355</v>
      </c>
      <c r="BR71" s="90">
        <f>+BQ71</f>
        <v>32342341.156084355</v>
      </c>
      <c r="BS71" s="38"/>
    </row>
    <row r="72" spans="1:71">
      <c r="A72">
        <f t="shared" si="10"/>
        <v>57</v>
      </c>
      <c r="C72" s="37" t="str">
        <f t="shared" si="11"/>
        <v>Base FCR</v>
      </c>
      <c r="D72" s="85">
        <f t="shared" si="12"/>
        <v>2026</v>
      </c>
      <c r="E72" s="86">
        <f>+G71</f>
        <v>17777951.309523791</v>
      </c>
      <c r="F72" s="86">
        <f>+E$32</f>
        <v>958810.85714285716</v>
      </c>
      <c r="G72" s="86">
        <f t="shared" si="14"/>
        <v>16819140.452380933</v>
      </c>
      <c r="H72" s="43">
        <f>+E$29*G72+F72</f>
        <v>3078024.2652096474</v>
      </c>
      <c r="I72" s="93">
        <f>+K71</f>
        <v>3884385.3583333362</v>
      </c>
      <c r="J72" s="86">
        <f>+I$32</f>
        <v>199625.8</v>
      </c>
      <c r="K72" s="86">
        <f t="shared" si="15"/>
        <v>3684759.5583333364</v>
      </c>
      <c r="L72" s="54">
        <f>+I$29*K72+J72</f>
        <v>663905.87921277876</v>
      </c>
      <c r="M72" s="93">
        <f>+O71</f>
        <v>2787081.573809525</v>
      </c>
      <c r="N72" s="86">
        <f>+M$32</f>
        <v>143233.3142857143</v>
      </c>
      <c r="O72" s="86">
        <f t="shared" si="16"/>
        <v>2643848.2595238108</v>
      </c>
      <c r="P72" s="54">
        <f>+M$29*O72+N72</f>
        <v>476358.46395314322</v>
      </c>
      <c r="Q72" s="93">
        <f>+S71</f>
        <v>21670476.190476194</v>
      </c>
      <c r="R72" s="86">
        <f>+Q$32</f>
        <v>1048571.4285714285</v>
      </c>
      <c r="S72" s="86">
        <f t="shared" si="0"/>
        <v>20621904.761904765</v>
      </c>
      <c r="T72" s="54">
        <f>+Q$29*S72+R72</f>
        <v>3646933.5265060137</v>
      </c>
      <c r="U72" s="93">
        <f>+W71</f>
        <v>11809523.809523817</v>
      </c>
      <c r="V72" s="86">
        <f>+U$32</f>
        <v>571428.57142857148</v>
      </c>
      <c r="W72" s="86">
        <f t="shared" si="1"/>
        <v>11238095.238095246</v>
      </c>
      <c r="X72" s="54">
        <f>+U$29*W72+V72</f>
        <v>1987429.7147171744</v>
      </c>
      <c r="Y72" s="93">
        <f>+AA71</f>
        <v>1180952.3809523825</v>
      </c>
      <c r="Z72" s="86">
        <f>+Y$32</f>
        <v>57142.857142857145</v>
      </c>
      <c r="AA72" s="86">
        <f t="shared" si="17"/>
        <v>1123809.5238095254</v>
      </c>
      <c r="AB72" s="54">
        <f>+Y$29*AA72+Z72</f>
        <v>198742.97147171752</v>
      </c>
      <c r="AC72" s="93">
        <f>+AE71</f>
        <v>1180952.3809523825</v>
      </c>
      <c r="AD72" s="86">
        <f>+AC$32</f>
        <v>57142.857142857145</v>
      </c>
      <c r="AE72" s="86">
        <f t="shared" si="18"/>
        <v>1123809.5238095254</v>
      </c>
      <c r="AF72" s="54">
        <f>+AC$29*AE72+AD72</f>
        <v>198742.97147171752</v>
      </c>
      <c r="AG72" s="93">
        <f>+AI71</f>
        <v>1180952.3809523825</v>
      </c>
      <c r="AH72" s="86">
        <f>+AG$32</f>
        <v>57142.857142857145</v>
      </c>
      <c r="AI72" s="86">
        <f t="shared" si="19"/>
        <v>1123809.5238095254</v>
      </c>
      <c r="AJ72" s="54">
        <f>+AG$29*AI72+AH72</f>
        <v>198742.97147171752</v>
      </c>
      <c r="AK72" s="93">
        <f>+AM71</f>
        <v>1200000.0000000014</v>
      </c>
      <c r="AL72" s="86">
        <f>+AK$32</f>
        <v>57142.857142857145</v>
      </c>
      <c r="AM72" s="86">
        <f t="shared" si="20"/>
        <v>1142857.1428571444</v>
      </c>
      <c r="AN72" s="54">
        <f>+AK$29*AM72+AL72</f>
        <v>201142.97340949485</v>
      </c>
      <c r="AO72" s="93">
        <f t="shared" si="21"/>
        <v>9752020.3714285716</v>
      </c>
      <c r="AP72" s="86">
        <f>+AO$32</f>
        <v>453582.34285714285</v>
      </c>
      <c r="AQ72" s="86">
        <f t="shared" si="22"/>
        <v>9298438.0285714287</v>
      </c>
      <c r="AR72" s="54">
        <f>+AO$29*AQ72+AP72</f>
        <v>1625186.4804180011</v>
      </c>
      <c r="AS72" s="93">
        <f t="shared" si="23"/>
        <v>18148676.442857131</v>
      </c>
      <c r="AT72" s="86">
        <f>+AS$32</f>
        <v>844124.48571428575</v>
      </c>
      <c r="AU72" s="86">
        <f t="shared" si="24"/>
        <v>17304551.957142845</v>
      </c>
      <c r="AV72" s="54">
        <f>+AS$29*AU72+AT72</f>
        <v>3024499.792763595</v>
      </c>
      <c r="AW72" s="93">
        <f t="shared" si="25"/>
        <v>35985575.857142828</v>
      </c>
      <c r="AX72" s="86">
        <f>+AW$32</f>
        <v>1673747.7142857143</v>
      </c>
      <c r="AY72" s="86">
        <f t="shared" si="26"/>
        <v>34311828.142857112</v>
      </c>
      <c r="AZ72" s="54">
        <f>+AW$29*AY72+AX72</f>
        <v>5997041.550941485</v>
      </c>
      <c r="BA72" s="93">
        <f t="shared" si="27"/>
        <v>3210843.1714285687</v>
      </c>
      <c r="BB72" s="86">
        <f>+BA$32</f>
        <v>149341.54285714286</v>
      </c>
      <c r="BC72" s="86">
        <f t="shared" si="28"/>
        <v>3061501.6285714256</v>
      </c>
      <c r="BD72" s="54">
        <f>+BA$29*BC72+BB72</f>
        <v>535091.05951383</v>
      </c>
      <c r="BE72" s="93">
        <f t="shared" ref="BE72" si="56">+BG71</f>
        <v>12232443.28571428</v>
      </c>
      <c r="BF72" s="86">
        <f>+BE$32</f>
        <v>543480.11428571434</v>
      </c>
      <c r="BG72" s="86">
        <f t="shared" si="30"/>
        <v>11688963.171428565</v>
      </c>
      <c r="BH72" s="54">
        <f>+BE$29*BG72+BF72</f>
        <v>2016290.6630426017</v>
      </c>
      <c r="BI72" s="93">
        <f t="shared" ref="BI72" si="57">+BK71</f>
        <v>35274700.311238065</v>
      </c>
      <c r="BJ72" s="86">
        <f>+BI$32</f>
        <v>1481495.7768571428</v>
      </c>
      <c r="BK72" s="86">
        <f t="shared" si="32"/>
        <v>33793204.53438092</v>
      </c>
      <c r="BL72" s="54">
        <f>+BI$29*BK72+BJ72</f>
        <v>5739442.9860836174</v>
      </c>
      <c r="BM72" s="93">
        <f t="shared" ref="BM72" si="58">+BO71</f>
        <v>5965057.6647619028</v>
      </c>
      <c r="BN72" s="86">
        <f>+BM$32</f>
        <v>246385.85714285713</v>
      </c>
      <c r="BO72" s="86">
        <f t="shared" si="34"/>
        <v>5718671.8076190455</v>
      </c>
      <c r="BP72" s="54">
        <f>+BM$29*BO72+BN72</f>
        <v>966939.08668225619</v>
      </c>
      <c r="BQ72" s="87">
        <f t="shared" si="13"/>
        <v>30554515.356868785</v>
      </c>
      <c r="BR72" s="36"/>
      <c r="BS72" s="88">
        <f>+BQ72</f>
        <v>30554515.356868785</v>
      </c>
    </row>
    <row r="73" spans="1:71">
      <c r="A73">
        <f t="shared" si="10"/>
        <v>58</v>
      </c>
      <c r="C73" s="37" t="str">
        <f t="shared" si="11"/>
        <v>W Increased ROE</v>
      </c>
      <c r="D73" s="85">
        <f t="shared" si="12"/>
        <v>2026</v>
      </c>
      <c r="E73" s="86">
        <f>+E72</f>
        <v>17777951.309523791</v>
      </c>
      <c r="F73" s="86">
        <f>+F72</f>
        <v>958810.85714285716</v>
      </c>
      <c r="G73" s="86">
        <f t="shared" si="14"/>
        <v>16819140.452380933</v>
      </c>
      <c r="H73" s="43">
        <f>+E$30*G73+F73</f>
        <v>3208961.8220665017</v>
      </c>
      <c r="I73" s="93">
        <f>+I72</f>
        <v>3884385.3583333362</v>
      </c>
      <c r="J73" s="86">
        <f>+J72</f>
        <v>199625.8</v>
      </c>
      <c r="K73" s="86">
        <f t="shared" si="15"/>
        <v>3684759.5583333364</v>
      </c>
      <c r="L73" s="54">
        <f>+I$30*K73+J73</f>
        <v>663905.87921277876</v>
      </c>
      <c r="M73" s="93">
        <f>+M72</f>
        <v>2787081.573809525</v>
      </c>
      <c r="N73" s="86">
        <f>+N72</f>
        <v>143233.3142857143</v>
      </c>
      <c r="O73" s="86">
        <f t="shared" si="16"/>
        <v>2643848.2595238108</v>
      </c>
      <c r="P73" s="54">
        <f>+M$30*O73+N73</f>
        <v>476358.46395314322</v>
      </c>
      <c r="Q73" s="93">
        <f>+Q72</f>
        <v>21670476.190476194</v>
      </c>
      <c r="R73" s="86">
        <f>+R72</f>
        <v>1048571.4285714285</v>
      </c>
      <c r="S73" s="86">
        <f t="shared" si="0"/>
        <v>20621904.761904765</v>
      </c>
      <c r="T73" s="54">
        <f>+Q$30*S73+R73</f>
        <v>3807475.7275122665</v>
      </c>
      <c r="U73" s="93">
        <f>+U72</f>
        <v>11809523.809523817</v>
      </c>
      <c r="V73" s="86">
        <f>+V72</f>
        <v>571428.57142857148</v>
      </c>
      <c r="W73" s="86">
        <f t="shared" si="1"/>
        <v>11238095.238095246</v>
      </c>
      <c r="X73" s="54">
        <f>+U$30*W73+V73</f>
        <v>2074918.6525952416</v>
      </c>
      <c r="Y73" s="93">
        <f>+Y72</f>
        <v>1180952.3809523825</v>
      </c>
      <c r="Z73" s="86">
        <f>+Z72</f>
        <v>57142.857142857145</v>
      </c>
      <c r="AA73" s="86">
        <f t="shared" si="17"/>
        <v>1123809.5238095254</v>
      </c>
      <c r="AB73" s="54">
        <f>+Y$30*AA73+Z73</f>
        <v>198742.97147171752</v>
      </c>
      <c r="AC73" s="93">
        <f>+AC72</f>
        <v>1180952.3809523825</v>
      </c>
      <c r="AD73" s="86">
        <f>+AD72</f>
        <v>57142.857142857145</v>
      </c>
      <c r="AE73" s="86">
        <f t="shared" si="18"/>
        <v>1123809.5238095254</v>
      </c>
      <c r="AF73" s="54">
        <f>+AC$30*AE73+AD73</f>
        <v>198742.97147171752</v>
      </c>
      <c r="AG73" s="93">
        <f>+AG72</f>
        <v>1180952.3809523825</v>
      </c>
      <c r="AH73" s="86">
        <f>+AH72</f>
        <v>57142.857142857145</v>
      </c>
      <c r="AI73" s="86">
        <f t="shared" si="19"/>
        <v>1123809.5238095254</v>
      </c>
      <c r="AJ73" s="54">
        <f>+AG$30*AI73+AH73</f>
        <v>198742.97147171752</v>
      </c>
      <c r="AK73" s="93">
        <f>+AK72</f>
        <v>1200000.0000000014</v>
      </c>
      <c r="AL73" s="86">
        <f>+AL72</f>
        <v>57142.857142857145</v>
      </c>
      <c r="AM73" s="86">
        <f t="shared" si="20"/>
        <v>1142857.1428571444</v>
      </c>
      <c r="AN73" s="54">
        <f>+AK$30*AM73+AL73</f>
        <v>201142.97340949485</v>
      </c>
      <c r="AO73" s="93">
        <f>+AQ71</f>
        <v>9752020.3714285716</v>
      </c>
      <c r="AP73" s="86">
        <f>+AP72</f>
        <v>453582.34285714285</v>
      </c>
      <c r="AQ73" s="86">
        <f t="shared" si="22"/>
        <v>9298438.0285714287</v>
      </c>
      <c r="AR73" s="54">
        <f>+AO$30*AQ73+AP73</f>
        <v>1697575.1236719822</v>
      </c>
      <c r="AS73" s="93">
        <f>+AU71</f>
        <v>18148676.442857131</v>
      </c>
      <c r="AT73" s="86">
        <f>+AT72</f>
        <v>844124.48571428575</v>
      </c>
      <c r="AU73" s="86">
        <f t="shared" si="24"/>
        <v>17304551.957142845</v>
      </c>
      <c r="AV73" s="54">
        <f>+AS$30*AU73+AT73</f>
        <v>3159216.294013219</v>
      </c>
      <c r="AW73" s="93">
        <f>+AY71</f>
        <v>35985575.857142828</v>
      </c>
      <c r="AX73" s="86">
        <f>+AX72</f>
        <v>1673747.7142857143</v>
      </c>
      <c r="AY73" s="86">
        <f t="shared" si="26"/>
        <v>34311828.142857112</v>
      </c>
      <c r="AZ73" s="54">
        <f>+AW$30*AY73+AX73</f>
        <v>5997041.550941485</v>
      </c>
      <c r="BA73" s="93">
        <f>+BC71</f>
        <v>3210843.1714285687</v>
      </c>
      <c r="BB73" s="86">
        <f>+BB72</f>
        <v>149341.54285714286</v>
      </c>
      <c r="BC73" s="86">
        <f t="shared" si="28"/>
        <v>3061501.6285714256</v>
      </c>
      <c r="BD73" s="54">
        <f>+BA$30*BC73+BB73</f>
        <v>535091.05951383</v>
      </c>
      <c r="BE73" s="93">
        <f>+BG71</f>
        <v>12232443.28571428</v>
      </c>
      <c r="BF73" s="86">
        <f>+BF72</f>
        <v>543480.11428571434</v>
      </c>
      <c r="BG73" s="86">
        <f t="shared" si="30"/>
        <v>11688963.171428565</v>
      </c>
      <c r="BH73" s="54">
        <f>+BE$30*BG73+BF73</f>
        <v>2107289.6224834775</v>
      </c>
      <c r="BI73" s="93">
        <f>+BK71</f>
        <v>35274700.311238065</v>
      </c>
      <c r="BJ73" s="86">
        <f>+BJ72</f>
        <v>1481495.7768571428</v>
      </c>
      <c r="BK73" s="86">
        <f t="shared" si="32"/>
        <v>33793204.53438092</v>
      </c>
      <c r="BL73" s="54">
        <f>+BI$30*BK73+BJ73</f>
        <v>5739442.9860836174</v>
      </c>
      <c r="BM73" s="93">
        <f>+BO71</f>
        <v>5965057.6647619028</v>
      </c>
      <c r="BN73" s="86">
        <f>+BN72</f>
        <v>246385.85714285713</v>
      </c>
      <c r="BO73" s="86">
        <f t="shared" si="34"/>
        <v>5718671.8076190455</v>
      </c>
      <c r="BP73" s="54">
        <f>+BM$30*BO73+BN73</f>
        <v>966939.08668225619</v>
      </c>
      <c r="BQ73" s="87">
        <f t="shared" si="13"/>
        <v>31231588.156554442</v>
      </c>
      <c r="BR73" s="90">
        <f>+BQ73</f>
        <v>31231588.156554442</v>
      </c>
      <c r="BS73" s="38"/>
    </row>
    <row r="74" spans="1:71">
      <c r="A74">
        <f t="shared" si="10"/>
        <v>59</v>
      </c>
      <c r="C74" s="37" t="str">
        <f t="shared" si="11"/>
        <v>Base FCR</v>
      </c>
      <c r="D74" s="85">
        <f t="shared" si="12"/>
        <v>2027</v>
      </c>
      <c r="E74" s="86">
        <f>+G73</f>
        <v>16819140.452380933</v>
      </c>
      <c r="F74" s="86">
        <f>+E$32</f>
        <v>958810.85714285716</v>
      </c>
      <c r="G74" s="86">
        <f t="shared" si="14"/>
        <v>15860329.595238077</v>
      </c>
      <c r="H74" s="43">
        <f>+E$29*G74+F74</f>
        <v>2957213.9996666475</v>
      </c>
      <c r="I74" s="93">
        <f>+K73</f>
        <v>3684759.5583333364</v>
      </c>
      <c r="J74" s="86">
        <f>+I$32</f>
        <v>199625.8</v>
      </c>
      <c r="K74" s="86">
        <f t="shared" si="15"/>
        <v>3485133.7583333366</v>
      </c>
      <c r="L74" s="54">
        <f>+I$29*K74+J74</f>
        <v>638753.00810418581</v>
      </c>
      <c r="M74" s="93">
        <f>+O73</f>
        <v>2643848.2595238108</v>
      </c>
      <c r="N74" s="86">
        <f>+M$32</f>
        <v>143233.3142857143</v>
      </c>
      <c r="O74" s="86">
        <f t="shared" si="16"/>
        <v>2500614.9452380966</v>
      </c>
      <c r="P74" s="54">
        <f>+M$29*O74+N74</f>
        <v>458311.0517815444</v>
      </c>
      <c r="Q74" s="93">
        <f>+S73</f>
        <v>20621904.761904765</v>
      </c>
      <c r="R74" s="86">
        <f>+Q$32</f>
        <v>1048571.4285714285</v>
      </c>
      <c r="S74" s="86">
        <f t="shared" si="0"/>
        <v>19573333.333333336</v>
      </c>
      <c r="T74" s="54">
        <f>+Q$29*S74+R74</f>
        <v>3514813.4198313737</v>
      </c>
      <c r="U74" s="93">
        <f>+W73</f>
        <v>11238095.238095246</v>
      </c>
      <c r="V74" s="86">
        <f>+U$32</f>
        <v>571428.57142857148</v>
      </c>
      <c r="W74" s="86">
        <f t="shared" si="1"/>
        <v>10666666.666666675</v>
      </c>
      <c r="X74" s="54">
        <f>+U$29*W74+V74</f>
        <v>1915429.6565838559</v>
      </c>
      <c r="Y74" s="93">
        <f>+AA73</f>
        <v>1123809.5238095254</v>
      </c>
      <c r="Z74" s="86">
        <f>+Y$32</f>
        <v>57142.857142857145</v>
      </c>
      <c r="AA74" s="86">
        <f t="shared" si="17"/>
        <v>1066666.6666666684</v>
      </c>
      <c r="AB74" s="54">
        <f>+Y$29*AA74+Z74</f>
        <v>191542.96565838571</v>
      </c>
      <c r="AC74" s="93">
        <f>+AE73</f>
        <v>1123809.5238095254</v>
      </c>
      <c r="AD74" s="86">
        <f>+AC$32</f>
        <v>57142.857142857145</v>
      </c>
      <c r="AE74" s="86">
        <f t="shared" si="18"/>
        <v>1066666.6666666684</v>
      </c>
      <c r="AF74" s="54">
        <f>+AC$29*AE74+AD74</f>
        <v>191542.96565838571</v>
      </c>
      <c r="AG74" s="93">
        <f>+AI73</f>
        <v>1123809.5238095254</v>
      </c>
      <c r="AH74" s="86">
        <f>+AG$32</f>
        <v>57142.857142857145</v>
      </c>
      <c r="AI74" s="86">
        <f t="shared" si="19"/>
        <v>1066666.6666666684</v>
      </c>
      <c r="AJ74" s="54">
        <f>+AG$29*AI74+AH74</f>
        <v>191542.96565838571</v>
      </c>
      <c r="AK74" s="93">
        <f>+AM73</f>
        <v>1142857.1428571444</v>
      </c>
      <c r="AL74" s="86">
        <f>+AK$32</f>
        <v>57142.857142857145</v>
      </c>
      <c r="AM74" s="86">
        <f t="shared" si="20"/>
        <v>1085714.2857142873</v>
      </c>
      <c r="AN74" s="54">
        <f>+AK$29*AM74+AL74</f>
        <v>193942.96759616298</v>
      </c>
      <c r="AO74" s="93">
        <f t="shared" si="21"/>
        <v>9298438.0285714287</v>
      </c>
      <c r="AP74" s="86">
        <f>+AO$32</f>
        <v>453582.34285714285</v>
      </c>
      <c r="AQ74" s="86">
        <f t="shared" si="22"/>
        <v>8844855.6857142858</v>
      </c>
      <c r="AR74" s="54">
        <f>+AO$29*AQ74+AP74</f>
        <v>1568035.0590735688</v>
      </c>
      <c r="AS74" s="93">
        <f t="shared" si="23"/>
        <v>17304551.957142845</v>
      </c>
      <c r="AT74" s="86">
        <f>+AS$32</f>
        <v>844124.48571428575</v>
      </c>
      <c r="AU74" s="86">
        <f t="shared" si="24"/>
        <v>16460427.471428558</v>
      </c>
      <c r="AV74" s="54">
        <f>+AS$29*AU74+AT74</f>
        <v>2918140.0216880185</v>
      </c>
      <c r="AW74" s="93">
        <f t="shared" si="25"/>
        <v>34311828.142857112</v>
      </c>
      <c r="AX74" s="86">
        <f>+AW$32</f>
        <v>1673747.7142857143</v>
      </c>
      <c r="AY74" s="86">
        <f t="shared" si="26"/>
        <v>32638080.428571399</v>
      </c>
      <c r="AZ74" s="54">
        <f>+AW$29*AY74+AX74</f>
        <v>5786149.1686655935</v>
      </c>
      <c r="BA74" s="93">
        <f t="shared" si="27"/>
        <v>3061501.6285714256</v>
      </c>
      <c r="BB74" s="86">
        <f>+BA$32</f>
        <v>149341.54285714286</v>
      </c>
      <c r="BC74" s="86">
        <f t="shared" si="28"/>
        <v>2912160.0857142825</v>
      </c>
      <c r="BD74" s="54">
        <f>+BA$29*BC74+BB74</f>
        <v>516274.00992082083</v>
      </c>
      <c r="BE74" s="93">
        <f t="shared" ref="BE74" si="59">+BG73</f>
        <v>11688963.171428565</v>
      </c>
      <c r="BF74" s="86">
        <f>+BE$32</f>
        <v>543480.11428571434</v>
      </c>
      <c r="BG74" s="86">
        <f t="shared" si="30"/>
        <v>11145483.05714285</v>
      </c>
      <c r="BH74" s="54">
        <f>+BE$29*BG74+BF74</f>
        <v>1947812.1133525721</v>
      </c>
      <c r="BI74" s="93">
        <f t="shared" ref="BI74" si="60">+BK73</f>
        <v>33793204.53438092</v>
      </c>
      <c r="BJ74" s="86">
        <f>+BI$32</f>
        <v>1481495.7768571428</v>
      </c>
      <c r="BK74" s="86">
        <f t="shared" si="32"/>
        <v>32311708.757523779</v>
      </c>
      <c r="BL74" s="54">
        <f>+BI$29*BK74+BJ74</f>
        <v>5552774.3674821518</v>
      </c>
      <c r="BM74" s="93">
        <f t="shared" ref="BM74" si="61">+BO73</f>
        <v>5718671.8076190455</v>
      </c>
      <c r="BN74" s="86">
        <f>+BM$32</f>
        <v>246385.85714285713</v>
      </c>
      <c r="BO74" s="86">
        <f t="shared" si="34"/>
        <v>5472285.9504761882</v>
      </c>
      <c r="BP74" s="54">
        <f>+BM$29*BO74+BN74</f>
        <v>935894.44361660792</v>
      </c>
      <c r="BQ74" s="87">
        <f t="shared" si="13"/>
        <v>29478172.184338257</v>
      </c>
      <c r="BR74" s="36"/>
      <c r="BS74" s="88">
        <f>+BQ74</f>
        <v>29478172.184338257</v>
      </c>
    </row>
    <row r="75" spans="1:71">
      <c r="A75">
        <f t="shared" si="10"/>
        <v>60</v>
      </c>
      <c r="C75" s="37" t="str">
        <f t="shared" si="11"/>
        <v>W Increased ROE</v>
      </c>
      <c r="D75" s="85">
        <f t="shared" si="12"/>
        <v>2027</v>
      </c>
      <c r="E75" s="86">
        <f>+E74</f>
        <v>16819140.452380933</v>
      </c>
      <c r="F75" s="86">
        <f>+F74</f>
        <v>958810.85714285716</v>
      </c>
      <c r="G75" s="86">
        <f t="shared" si="14"/>
        <v>15860329.595238077</v>
      </c>
      <c r="H75" s="43">
        <f>+E$30*G75+F75</f>
        <v>3080687.1827359376</v>
      </c>
      <c r="I75" s="93">
        <f>+I74</f>
        <v>3684759.5583333364</v>
      </c>
      <c r="J75" s="86">
        <f>+J74</f>
        <v>199625.8</v>
      </c>
      <c r="K75" s="86">
        <f t="shared" si="15"/>
        <v>3485133.7583333366</v>
      </c>
      <c r="L75" s="54">
        <f>+I$30*K75+J75</f>
        <v>638753.00810418581</v>
      </c>
      <c r="M75" s="93">
        <f>+M74</f>
        <v>2643848.2595238108</v>
      </c>
      <c r="N75" s="86">
        <f>+N74</f>
        <v>143233.3142857143</v>
      </c>
      <c r="O75" s="86">
        <f t="shared" si="16"/>
        <v>2500614.9452380966</v>
      </c>
      <c r="P75" s="54">
        <f>+M$30*O75+N75</f>
        <v>458311.0517815444</v>
      </c>
      <c r="Q75" s="93">
        <f>+Q74</f>
        <v>20621904.761904765</v>
      </c>
      <c r="R75" s="86">
        <f>+R74</f>
        <v>1048571.4285714285</v>
      </c>
      <c r="S75" s="86">
        <f t="shared" si="0"/>
        <v>19573333.333333336</v>
      </c>
      <c r="T75" s="54">
        <f>+Q$30*S75+R75</f>
        <v>3667192.4580745967</v>
      </c>
      <c r="U75" s="93">
        <f>+U74</f>
        <v>11238095.238095246</v>
      </c>
      <c r="V75" s="86">
        <f>+V74</f>
        <v>571428.57142857148</v>
      </c>
      <c r="W75" s="86">
        <f t="shared" si="1"/>
        <v>10666666.666666675</v>
      </c>
      <c r="X75" s="54">
        <f>+U$30*W75+V75</f>
        <v>1998470.0044003264</v>
      </c>
      <c r="Y75" s="93">
        <f>+Y74</f>
        <v>1123809.5238095254</v>
      </c>
      <c r="Z75" s="86">
        <f>+Z74</f>
        <v>57142.857142857145</v>
      </c>
      <c r="AA75" s="86">
        <f t="shared" si="17"/>
        <v>1066666.6666666684</v>
      </c>
      <c r="AB75" s="54">
        <f>+Y$30*AA75+Z75</f>
        <v>191542.96565838571</v>
      </c>
      <c r="AC75" s="93">
        <f>+AC74</f>
        <v>1123809.5238095254</v>
      </c>
      <c r="AD75" s="86">
        <f>+AD74</f>
        <v>57142.857142857145</v>
      </c>
      <c r="AE75" s="86">
        <f t="shared" si="18"/>
        <v>1066666.6666666684</v>
      </c>
      <c r="AF75" s="54">
        <f>+AC$30*AE75+AD75</f>
        <v>191542.96565838571</v>
      </c>
      <c r="AG75" s="93">
        <f>+AG74</f>
        <v>1123809.5238095254</v>
      </c>
      <c r="AH75" s="86">
        <f>+AH74</f>
        <v>57142.857142857145</v>
      </c>
      <c r="AI75" s="86">
        <f t="shared" si="19"/>
        <v>1066666.6666666684</v>
      </c>
      <c r="AJ75" s="54">
        <f>+AG$30*AI75+AH75</f>
        <v>191542.96565838571</v>
      </c>
      <c r="AK75" s="93">
        <f>+AK74</f>
        <v>1142857.1428571444</v>
      </c>
      <c r="AL75" s="86">
        <f>+AL74</f>
        <v>57142.857142857145</v>
      </c>
      <c r="AM75" s="86">
        <f t="shared" si="20"/>
        <v>1085714.2857142873</v>
      </c>
      <c r="AN75" s="54">
        <f>+AK$30*AM75+AL75</f>
        <v>193942.96759616298</v>
      </c>
      <c r="AO75" s="93">
        <f>+AQ73</f>
        <v>9298438.0285714287</v>
      </c>
      <c r="AP75" s="86">
        <f>+AP74</f>
        <v>453582.34285714285</v>
      </c>
      <c r="AQ75" s="86">
        <f t="shared" si="22"/>
        <v>8844855.6857142858</v>
      </c>
      <c r="AR75" s="54">
        <f>+AO$30*AQ75+AP75</f>
        <v>1636892.5489980876</v>
      </c>
      <c r="AS75" s="93">
        <f>+AU73</f>
        <v>17304551.957142845</v>
      </c>
      <c r="AT75" s="86">
        <f>+AT74</f>
        <v>844124.48571428575</v>
      </c>
      <c r="AU75" s="86">
        <f t="shared" si="24"/>
        <v>16460427.471428558</v>
      </c>
      <c r="AV75" s="54">
        <f>+AS$30*AU75+AT75</f>
        <v>3046284.9862913196</v>
      </c>
      <c r="AW75" s="93">
        <f>+AY73</f>
        <v>34311828.142857112</v>
      </c>
      <c r="AX75" s="86">
        <f>+AX74</f>
        <v>1673747.7142857143</v>
      </c>
      <c r="AY75" s="86">
        <f t="shared" si="26"/>
        <v>32638080.428571399</v>
      </c>
      <c r="AZ75" s="54">
        <f>+AW$30*AY75+AX75</f>
        <v>5786149.1686655935</v>
      </c>
      <c r="BA75" s="93">
        <f>+BC73</f>
        <v>3061501.6285714256</v>
      </c>
      <c r="BB75" s="86">
        <f>+BB74</f>
        <v>149341.54285714286</v>
      </c>
      <c r="BC75" s="86">
        <f t="shared" si="28"/>
        <v>2912160.0857142825</v>
      </c>
      <c r="BD75" s="54">
        <f>+BA$30*BC75+BB75</f>
        <v>516274.00992082083</v>
      </c>
      <c r="BE75" s="93">
        <f>+BG73</f>
        <v>11688963.171428565</v>
      </c>
      <c r="BF75" s="86">
        <f>+BF74</f>
        <v>543480.11428571434</v>
      </c>
      <c r="BG75" s="86">
        <f t="shared" si="30"/>
        <v>11145483.05714285</v>
      </c>
      <c r="BH75" s="54">
        <f>+BE$30*BG75+BF75</f>
        <v>2034580.0623820457</v>
      </c>
      <c r="BI75" s="93">
        <f>+BK73</f>
        <v>33793204.53438092</v>
      </c>
      <c r="BJ75" s="86">
        <f>+BJ74</f>
        <v>1481495.7768571428</v>
      </c>
      <c r="BK75" s="86">
        <f t="shared" si="32"/>
        <v>32311708.757523779</v>
      </c>
      <c r="BL75" s="54">
        <f>+BI$30*BK75+BJ75</f>
        <v>5552774.3674821518</v>
      </c>
      <c r="BM75" s="93">
        <f>+BO73</f>
        <v>5718671.8076190455</v>
      </c>
      <c r="BN75" s="86">
        <f>+BN74</f>
        <v>246385.85714285713</v>
      </c>
      <c r="BO75" s="86">
        <f t="shared" si="34"/>
        <v>5472285.9504761882</v>
      </c>
      <c r="BP75" s="54">
        <f>+BM$30*BO75+BN75</f>
        <v>935894.44361660792</v>
      </c>
      <c r="BQ75" s="87">
        <f t="shared" si="13"/>
        <v>30120835.157024533</v>
      </c>
      <c r="BR75" s="90">
        <f>+BQ75</f>
        <v>30120835.157024533</v>
      </c>
      <c r="BS75" s="38"/>
    </row>
    <row r="76" spans="1:71">
      <c r="A76">
        <f t="shared" si="10"/>
        <v>61</v>
      </c>
      <c r="C76" s="37"/>
      <c r="D76" s="95"/>
      <c r="E76" s="96"/>
      <c r="F76" s="96"/>
      <c r="G76" s="96"/>
      <c r="H76" s="97"/>
      <c r="I76" s="96"/>
      <c r="J76" s="96"/>
      <c r="K76" s="96"/>
      <c r="L76" s="97"/>
      <c r="M76" s="98"/>
      <c r="N76" s="98"/>
      <c r="O76" s="98"/>
      <c r="P76" s="97"/>
      <c r="Q76" s="98"/>
      <c r="R76" s="98"/>
      <c r="S76" s="98"/>
      <c r="T76" s="97"/>
      <c r="U76" s="98"/>
      <c r="V76" s="98"/>
      <c r="W76" s="98"/>
      <c r="X76" s="97"/>
      <c r="Y76" s="98"/>
      <c r="Z76" s="98"/>
      <c r="AA76" s="98"/>
      <c r="AB76" s="97"/>
      <c r="AC76" s="98"/>
      <c r="AD76" s="98"/>
      <c r="AE76" s="98"/>
      <c r="AF76" s="97"/>
      <c r="AG76" s="98"/>
      <c r="AH76" s="98"/>
      <c r="AI76" s="98"/>
      <c r="AJ76" s="97"/>
      <c r="AK76" s="98"/>
      <c r="AL76" s="98"/>
      <c r="AM76" s="98"/>
      <c r="AN76" s="97"/>
      <c r="AO76" s="98"/>
      <c r="AP76" s="98"/>
      <c r="AQ76" s="98"/>
      <c r="AR76" s="97"/>
      <c r="AS76" s="98"/>
      <c r="AT76" s="98"/>
      <c r="AU76" s="98"/>
      <c r="AV76" s="97"/>
      <c r="AW76" s="98"/>
      <c r="AX76" s="98"/>
      <c r="AY76" s="98"/>
      <c r="AZ76" s="97"/>
      <c r="BA76" s="98"/>
      <c r="BB76" s="98"/>
      <c r="BC76" s="98"/>
      <c r="BD76" s="97"/>
      <c r="BE76" s="98"/>
      <c r="BF76" s="98"/>
      <c r="BG76" s="98"/>
      <c r="BH76" s="97"/>
      <c r="BI76" s="98"/>
      <c r="BJ76" s="98"/>
      <c r="BK76" s="98"/>
      <c r="BL76" s="97"/>
      <c r="BM76" s="98"/>
      <c r="BN76" s="98"/>
      <c r="BO76" s="98"/>
      <c r="BP76" s="97"/>
      <c r="BQ76" s="87"/>
      <c r="BR76" s="36"/>
      <c r="BS76" s="88"/>
    </row>
    <row r="77" spans="1:71" ht="15.75" thickBot="1">
      <c r="A77">
        <f t="shared" si="10"/>
        <v>62</v>
      </c>
      <c r="C77" s="68"/>
      <c r="D77" s="99"/>
      <c r="E77" s="100"/>
      <c r="F77" s="100"/>
      <c r="G77" s="100"/>
      <c r="H77" s="101"/>
      <c r="I77" s="100"/>
      <c r="J77" s="100"/>
      <c r="K77" s="100"/>
      <c r="L77" s="101"/>
      <c r="M77" s="102"/>
      <c r="N77" s="102"/>
      <c r="O77" s="102"/>
      <c r="P77" s="101"/>
      <c r="Q77" s="102"/>
      <c r="R77" s="102"/>
      <c r="S77" s="102"/>
      <c r="T77" s="101"/>
      <c r="U77" s="102"/>
      <c r="V77" s="102"/>
      <c r="W77" s="102"/>
      <c r="X77" s="101"/>
      <c r="Y77" s="102"/>
      <c r="Z77" s="102"/>
      <c r="AA77" s="102"/>
      <c r="AB77" s="101"/>
      <c r="AC77" s="102"/>
      <c r="AD77" s="102"/>
      <c r="AE77" s="102"/>
      <c r="AF77" s="101"/>
      <c r="AG77" s="102"/>
      <c r="AH77" s="102"/>
      <c r="AI77" s="102"/>
      <c r="AJ77" s="101"/>
      <c r="AK77" s="102"/>
      <c r="AL77" s="102"/>
      <c r="AM77" s="102"/>
      <c r="AN77" s="101"/>
      <c r="AO77" s="102"/>
      <c r="AP77" s="102"/>
      <c r="AQ77" s="102"/>
      <c r="AR77" s="101"/>
      <c r="AS77" s="102"/>
      <c r="AT77" s="102"/>
      <c r="AU77" s="102"/>
      <c r="AV77" s="101"/>
      <c r="AW77" s="102"/>
      <c r="AX77" s="102"/>
      <c r="AY77" s="102"/>
      <c r="AZ77" s="101"/>
      <c r="BA77" s="102"/>
      <c r="BB77" s="102"/>
      <c r="BC77" s="102"/>
      <c r="BD77" s="101"/>
      <c r="BE77" s="102"/>
      <c r="BF77" s="102"/>
      <c r="BG77" s="102"/>
      <c r="BH77" s="101"/>
      <c r="BI77" s="102"/>
      <c r="BJ77" s="102"/>
      <c r="BK77" s="102"/>
      <c r="BL77" s="101"/>
      <c r="BM77" s="102"/>
      <c r="BN77" s="102"/>
      <c r="BO77" s="102"/>
      <c r="BP77" s="101"/>
      <c r="BQ77" s="103"/>
      <c r="BR77" s="104"/>
      <c r="BS77" s="77"/>
    </row>
    <row r="78" spans="1:71">
      <c r="A78">
        <f>A77+1</f>
        <v>63</v>
      </c>
      <c r="C78" s="105"/>
      <c r="D78" s="106"/>
      <c r="E78" s="105"/>
      <c r="F78" s="105"/>
      <c r="G78" s="105"/>
      <c r="H78" s="107"/>
      <c r="I78" s="105"/>
      <c r="J78" s="105"/>
      <c r="K78" s="105"/>
      <c r="L78" s="107"/>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8">
        <f>SUM(BR36:BR75)</f>
        <v>702221291.4822247</v>
      </c>
      <c r="BS78" s="108">
        <f>SUM(BS36:BS75)</f>
        <v>683489120.6643008</v>
      </c>
    </row>
    <row r="79" spans="1:71">
      <c r="C79" s="109"/>
    </row>
    <row r="80" spans="1:71">
      <c r="BR80" s="110"/>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10" spans="3:12">
      <c r="C310" s="111"/>
      <c r="D310" s="112"/>
      <c r="E310" s="111"/>
      <c r="F310" s="111"/>
      <c r="G310" s="111"/>
      <c r="H310" s="113"/>
      <c r="I310" s="111"/>
      <c r="J310" s="111"/>
      <c r="K310" s="111"/>
      <c r="L310" s="113"/>
    </row>
    <row r="311" spans="3:12">
      <c r="C311" s="111"/>
      <c r="D311" s="112"/>
      <c r="E311" s="111"/>
      <c r="F311" s="111"/>
      <c r="G311" s="111"/>
      <c r="H311" s="113"/>
      <c r="I311" s="111"/>
      <c r="J311" s="111"/>
      <c r="K311" s="111"/>
      <c r="L311" s="113"/>
    </row>
    <row r="312" spans="3:12">
      <c r="C312" s="111"/>
      <c r="D312" s="112"/>
      <c r="E312" s="111"/>
      <c r="F312" s="111"/>
      <c r="G312" s="111"/>
      <c r="H312" s="113"/>
      <c r="I312" s="111"/>
      <c r="J312" s="111"/>
      <c r="K312" s="111"/>
      <c r="L312" s="113"/>
    </row>
    <row r="313" spans="3:12">
      <c r="C313" s="111"/>
      <c r="D313" s="112"/>
      <c r="E313" s="111"/>
      <c r="F313" s="111"/>
      <c r="G313" s="111"/>
      <c r="H313" s="113"/>
      <c r="I313" s="111"/>
      <c r="J313" s="111"/>
      <c r="K313" s="111"/>
      <c r="L313" s="113"/>
    </row>
    <row r="314" spans="3:12">
      <c r="C314" s="111"/>
      <c r="D314" s="112"/>
      <c r="E314" s="111"/>
      <c r="F314" s="111"/>
      <c r="G314" s="111"/>
      <c r="H314" s="113"/>
      <c r="I314" s="111"/>
      <c r="J314" s="111"/>
      <c r="K314" s="111"/>
      <c r="L314" s="113"/>
    </row>
    <row r="315" spans="3:12">
      <c r="C315" s="111"/>
      <c r="D315" s="112"/>
      <c r="E315" s="111"/>
      <c r="F315" s="111"/>
      <c r="G315" s="111"/>
      <c r="H315" s="113"/>
      <c r="I315" s="111"/>
      <c r="J315" s="111"/>
      <c r="K315" s="111"/>
      <c r="L315" s="113"/>
    </row>
    <row r="316" spans="3:12">
      <c r="C316" s="111"/>
      <c r="D316" s="112"/>
      <c r="E316" s="111"/>
      <c r="F316" s="111"/>
      <c r="G316" s="111"/>
      <c r="H316" s="113"/>
      <c r="I316" s="111"/>
      <c r="J316" s="111"/>
      <c r="K316" s="111"/>
      <c r="L316" s="113"/>
    </row>
    <row r="317" spans="3:12">
      <c r="C317" s="111"/>
      <c r="D317" s="112"/>
      <c r="E317" s="111"/>
      <c r="F317" s="111"/>
      <c r="G317" s="111"/>
      <c r="H317" s="113"/>
      <c r="I317" s="111"/>
      <c r="J317" s="111"/>
      <c r="K317" s="111"/>
      <c r="L317" s="113"/>
    </row>
    <row r="318" spans="3:12">
      <c r="C318" s="111"/>
      <c r="D318" s="112"/>
      <c r="E318" s="111"/>
      <c r="F318" s="111"/>
      <c r="G318" s="111"/>
      <c r="H318" s="113"/>
      <c r="I318" s="111"/>
      <c r="J318" s="111"/>
      <c r="K318" s="111"/>
      <c r="L318" s="113"/>
    </row>
  </sheetData>
  <mergeCells count="18">
    <mergeCell ref="BA24:BD24"/>
    <mergeCell ref="BE24:BH24"/>
    <mergeCell ref="BI24:BL24"/>
    <mergeCell ref="BM24:BP24"/>
    <mergeCell ref="C32:D32"/>
    <mergeCell ref="AS24:AV24"/>
    <mergeCell ref="AW24:AZ24"/>
    <mergeCell ref="C33:D33"/>
    <mergeCell ref="AC24:AF24"/>
    <mergeCell ref="AG24:AJ24"/>
    <mergeCell ref="AK24:AN24"/>
    <mergeCell ref="AO24:AR24"/>
    <mergeCell ref="E24:H24"/>
    <mergeCell ref="I24:L24"/>
    <mergeCell ref="M24:P24"/>
    <mergeCell ref="Q24:T24"/>
    <mergeCell ref="U24:X24"/>
    <mergeCell ref="Y24:AB24"/>
  </mergeCells>
  <pageMargins left="0.25" right="0.25" top="0.25" bottom="0.25" header="0.5" footer="0.5"/>
  <pageSetup scale="58" fitToWidth="0" orientation="landscape" r:id="rId1"/>
  <colBreaks count="4" manualBreakCount="4">
    <brk id="12" max="1048575" man="1"/>
    <brk id="28" max="1048575" man="1"/>
    <brk id="44" max="1048575" man="1"/>
    <brk id="6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6"/>
  <sheetViews>
    <sheetView workbookViewId="0"/>
  </sheetViews>
  <sheetFormatPr defaultRowHeight="1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155" t="str">
        <f>+'ATT H-9A'!A4</f>
        <v>Potomac Electric Power Company</v>
      </c>
      <c r="B1" s="1155"/>
      <c r="C1" s="1155"/>
      <c r="D1" s="1155"/>
      <c r="E1" s="1155"/>
      <c r="F1" s="1155"/>
    </row>
    <row r="2" spans="1:8">
      <c r="A2" s="1"/>
    </row>
    <row r="3" spans="1:8" ht="15.75">
      <c r="A3" s="1157" t="s">
        <v>0</v>
      </c>
      <c r="B3" s="1235"/>
      <c r="C3" s="1235"/>
      <c r="D3" s="1235"/>
      <c r="E3" s="1235"/>
      <c r="F3" s="1235"/>
    </row>
    <row r="4" spans="1:8">
      <c r="B4" s="2"/>
      <c r="C4" s="3"/>
      <c r="D4" s="3"/>
    </row>
    <row r="5" spans="1:8">
      <c r="A5" s="2"/>
    </row>
    <row r="6" spans="1:8">
      <c r="E6" s="4"/>
    </row>
    <row r="8" spans="1:8">
      <c r="B8" s="5"/>
      <c r="C8" s="5"/>
      <c r="D8" s="5"/>
      <c r="E8" s="5"/>
      <c r="F8" s="5"/>
      <c r="G8" s="5"/>
      <c r="H8" s="5"/>
    </row>
    <row r="9" spans="1:8">
      <c r="B9" s="6"/>
      <c r="C9" s="6"/>
      <c r="D9" s="6"/>
      <c r="E9" s="6"/>
      <c r="F9" s="6"/>
      <c r="G9" s="6"/>
      <c r="H9" s="5"/>
    </row>
    <row r="10" spans="1:8">
      <c r="B10" s="5"/>
      <c r="C10" s="5"/>
      <c r="D10" s="5"/>
      <c r="E10" s="5"/>
      <c r="F10" s="5"/>
      <c r="G10" s="5"/>
      <c r="H10" s="5"/>
    </row>
    <row r="12" spans="1:8">
      <c r="A12" t="s">
        <v>1</v>
      </c>
    </row>
    <row r="13" spans="1:8">
      <c r="C13" t="s">
        <v>2</v>
      </c>
    </row>
    <row r="14" spans="1:8">
      <c r="A14" s="1">
        <f>+'ATT H-9A'!A181</f>
        <v>101</v>
      </c>
      <c r="B14" s="1">
        <f>+'ATT H-9A'!B181</f>
        <v>0</v>
      </c>
      <c r="C14" s="1" t="str">
        <f>+'ATT H-9A'!C181</f>
        <v xml:space="preserve">    Less LTD Interest on Securitization Bonds</v>
      </c>
      <c r="D14" s="1"/>
      <c r="E14" s="7">
        <v>0</v>
      </c>
      <c r="F14" s="1"/>
    </row>
    <row r="17" spans="1:6">
      <c r="C17" t="s">
        <v>3</v>
      </c>
    </row>
    <row r="18" spans="1:6">
      <c r="A18" s="1">
        <f>+'ATT H-9A'!A197</f>
        <v>112</v>
      </c>
      <c r="C18" s="1" t="str">
        <f>+'ATT H-9A'!C197</f>
        <v xml:space="preserve">      Less LTD on Securitization Bonds</v>
      </c>
      <c r="D18" s="1"/>
      <c r="E18" s="7">
        <v>0</v>
      </c>
      <c r="F18" s="1"/>
    </row>
    <row r="21" spans="1:6">
      <c r="C21" s="5" t="s">
        <v>4</v>
      </c>
      <c r="D21" s="5"/>
      <c r="E21" s="5"/>
    </row>
    <row r="22" spans="1:6">
      <c r="D22" s="7"/>
      <c r="E22" s="7"/>
      <c r="F22" s="7"/>
    </row>
    <row r="23" spans="1:6">
      <c r="D23" s="7"/>
      <c r="E23" s="7"/>
      <c r="F23" s="7"/>
    </row>
    <row r="24" spans="1:6">
      <c r="D24" s="7"/>
      <c r="E24" s="7"/>
      <c r="F24" s="7"/>
    </row>
    <row r="25" spans="1:6">
      <c r="D25" s="7"/>
      <c r="E25" s="7"/>
      <c r="F25" s="7"/>
    </row>
    <row r="26" spans="1:6">
      <c r="D26" s="7"/>
      <c r="E26" s="7"/>
      <c r="F26" s="7"/>
    </row>
    <row r="27" spans="1:6">
      <c r="D27" s="7"/>
      <c r="E27" s="7"/>
      <c r="F27" s="7"/>
    </row>
    <row r="28" spans="1:6">
      <c r="D28" s="7"/>
      <c r="E28" s="7"/>
      <c r="F28" s="7"/>
    </row>
    <row r="29" spans="1:6">
      <c r="D29" s="7"/>
      <c r="E29" s="7"/>
      <c r="F29" s="7"/>
    </row>
    <row r="30" spans="1:6">
      <c r="D30" s="7"/>
      <c r="E30" s="7"/>
      <c r="F30" s="7"/>
    </row>
    <row r="31" spans="1:6">
      <c r="D31" s="7"/>
      <c r="E31" s="7"/>
      <c r="F31" s="7"/>
    </row>
    <row r="32" spans="1:6">
      <c r="D32" s="7"/>
      <c r="E32" s="7"/>
      <c r="F32" s="7"/>
    </row>
    <row r="33" spans="4:6">
      <c r="D33" s="7"/>
      <c r="E33" s="7"/>
      <c r="F33" s="7"/>
    </row>
    <row r="34" spans="4:6">
      <c r="D34" s="7"/>
      <c r="E34" s="7"/>
      <c r="F34" s="7"/>
    </row>
    <row r="35" spans="4:6">
      <c r="D35" s="7"/>
      <c r="E35" s="7"/>
      <c r="F35" s="7"/>
    </row>
    <row r="36" spans="4:6">
      <c r="D36" s="7"/>
      <c r="E36" s="7"/>
      <c r="F36" s="7"/>
    </row>
    <row r="37" spans="4:6">
      <c r="D37" s="7"/>
      <c r="E37" s="7"/>
      <c r="F37" s="7"/>
    </row>
    <row r="38" spans="4:6">
      <c r="D38" s="7"/>
      <c r="E38" s="7"/>
      <c r="F38" s="7"/>
    </row>
    <row r="39" spans="4:6">
      <c r="D39" s="7"/>
      <c r="E39" s="7"/>
      <c r="F39" s="7"/>
    </row>
    <row r="40" spans="4:6">
      <c r="D40" s="7"/>
      <c r="E40" s="7"/>
      <c r="F40" s="7"/>
    </row>
    <row r="41" spans="4:6">
      <c r="D41" s="7"/>
      <c r="E41" s="7"/>
      <c r="F41" s="7"/>
    </row>
    <row r="42" spans="4:6">
      <c r="D42" s="7"/>
      <c r="E42" s="7"/>
      <c r="F42" s="7"/>
    </row>
    <row r="43" spans="4:6">
      <c r="D43" s="7"/>
      <c r="E43" s="7"/>
      <c r="F43" s="7"/>
    </row>
    <row r="44" spans="4:6">
      <c r="D44" s="7"/>
      <c r="E44" s="7"/>
      <c r="F44" s="7"/>
    </row>
    <row r="45" spans="4:6">
      <c r="D45" s="7"/>
      <c r="E45" s="7"/>
      <c r="F45" s="7"/>
    </row>
    <row r="306" spans="3:3" ht="15.75">
      <c r="C306" s="8"/>
    </row>
  </sheetData>
  <mergeCells count="2">
    <mergeCell ref="A1:F1"/>
    <mergeCell ref="A3:F3"/>
  </mergeCells>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6"/>
  <sheetViews>
    <sheetView zoomScale="90" zoomScaleNormal="90" workbookViewId="0">
      <selection sqref="A1:I1"/>
    </sheetView>
  </sheetViews>
  <sheetFormatPr defaultRowHeight="12.75"/>
  <cols>
    <col min="1" max="1" width="11.42578125" style="751" customWidth="1"/>
    <col min="2" max="2" width="31" style="722" customWidth="1"/>
    <col min="3" max="3" width="0.5703125" style="722" customWidth="1"/>
    <col min="4" max="8" width="15.7109375" style="722" customWidth="1"/>
    <col min="9" max="9" width="83.85546875" style="722" customWidth="1"/>
    <col min="10" max="10" width="1.42578125" style="722" customWidth="1"/>
    <col min="11" max="11" width="15.7109375" style="722" hidden="1" customWidth="1"/>
    <col min="12" max="12" width="1.42578125" style="722" hidden="1" customWidth="1"/>
    <col min="13" max="13" width="15.7109375" style="723" hidden="1" customWidth="1"/>
    <col min="14" max="16" width="9.140625" style="723"/>
    <col min="17" max="17" width="13.28515625" style="723" bestFit="1" customWidth="1"/>
    <col min="18" max="16384" width="9.140625" style="723"/>
  </cols>
  <sheetData>
    <row r="1" spans="1:9" ht="18.75">
      <c r="A1" s="1152" t="s">
        <v>493</v>
      </c>
      <c r="B1" s="1153"/>
      <c r="C1" s="1153"/>
      <c r="D1" s="1153"/>
      <c r="E1" s="1153"/>
      <c r="F1" s="1153"/>
      <c r="G1" s="1153"/>
      <c r="H1" s="1153"/>
      <c r="I1" s="1154"/>
    </row>
    <row r="2" spans="1:9" ht="18.75">
      <c r="A2" s="724"/>
      <c r="B2" s="725"/>
      <c r="C2" s="725"/>
      <c r="D2" s="725"/>
      <c r="E2" s="725"/>
      <c r="F2" s="725"/>
      <c r="G2" s="725"/>
      <c r="H2" s="725"/>
      <c r="I2" s="726"/>
    </row>
    <row r="3" spans="1:9" ht="15.75">
      <c r="A3" s="727" t="s">
        <v>494</v>
      </c>
      <c r="B3" s="728"/>
      <c r="C3" s="728"/>
      <c r="D3" s="728"/>
      <c r="E3" s="728"/>
      <c r="F3" s="728"/>
      <c r="G3" s="728"/>
      <c r="H3" s="728"/>
      <c r="I3" s="728"/>
    </row>
    <row r="4" spans="1:9" ht="15.75">
      <c r="A4" s="729"/>
      <c r="B4" s="730"/>
      <c r="C4" s="730"/>
      <c r="D4" s="730"/>
      <c r="E4" s="730"/>
      <c r="F4" s="730"/>
      <c r="G4" s="730"/>
      <c r="H4" s="730"/>
      <c r="I4" s="730"/>
    </row>
    <row r="5" spans="1:9">
      <c r="A5" s="731"/>
      <c r="B5" s="732"/>
      <c r="C5" s="732"/>
      <c r="D5" s="732"/>
      <c r="E5" s="732"/>
      <c r="F5" s="732"/>
      <c r="G5" s="732"/>
      <c r="H5" s="733"/>
      <c r="I5" s="732"/>
    </row>
    <row r="6" spans="1:9">
      <c r="A6" s="731"/>
      <c r="B6" s="732"/>
      <c r="C6" s="732"/>
      <c r="D6" s="732"/>
      <c r="E6" s="734" t="s">
        <v>495</v>
      </c>
      <c r="F6" s="734"/>
      <c r="G6" s="732"/>
      <c r="H6" s="734"/>
      <c r="I6" s="732"/>
    </row>
    <row r="7" spans="1:9">
      <c r="A7" s="731"/>
      <c r="B7" s="732"/>
      <c r="C7" s="732"/>
      <c r="D7" s="732"/>
      <c r="E7" s="734" t="s">
        <v>423</v>
      </c>
      <c r="F7" s="734" t="s">
        <v>496</v>
      </c>
      <c r="G7" s="734" t="s">
        <v>497</v>
      </c>
      <c r="H7" s="734" t="s">
        <v>61</v>
      </c>
      <c r="I7" s="732"/>
    </row>
    <row r="8" spans="1:9">
      <c r="A8" s="731"/>
      <c r="B8" s="732"/>
      <c r="C8" s="732"/>
      <c r="D8" s="732"/>
      <c r="E8" s="734" t="s">
        <v>498</v>
      </c>
      <c r="F8" s="734" t="s">
        <v>498</v>
      </c>
      <c r="G8" s="734" t="s">
        <v>498</v>
      </c>
      <c r="H8" s="734" t="s">
        <v>499</v>
      </c>
      <c r="I8" s="732"/>
    </row>
    <row r="9" spans="1:9">
      <c r="A9" s="731"/>
      <c r="B9" s="732"/>
      <c r="C9" s="732"/>
      <c r="D9" s="732"/>
      <c r="E9" s="732"/>
      <c r="F9" s="732"/>
      <c r="G9" s="732"/>
      <c r="H9" s="732"/>
      <c r="I9" s="732"/>
    </row>
    <row r="10" spans="1:9">
      <c r="A10" s="731"/>
      <c r="B10" s="732"/>
      <c r="C10" s="732"/>
      <c r="D10" s="732"/>
      <c r="E10" s="732"/>
      <c r="F10" s="732"/>
      <c r="G10" s="732"/>
      <c r="H10" s="732"/>
      <c r="I10" s="732"/>
    </row>
    <row r="11" spans="1:9">
      <c r="A11" s="731"/>
      <c r="B11" s="735" t="s">
        <v>500</v>
      </c>
      <c r="C11" s="732"/>
      <c r="E11" s="736">
        <f>F77</f>
        <v>0</v>
      </c>
      <c r="F11" s="736">
        <f>G77</f>
        <v>-1730347200.6486201</v>
      </c>
      <c r="G11" s="736">
        <f>H77</f>
        <v>0</v>
      </c>
      <c r="H11" s="736"/>
      <c r="I11" s="732"/>
    </row>
    <row r="12" spans="1:9">
      <c r="A12" s="731"/>
      <c r="B12" s="735" t="s">
        <v>501</v>
      </c>
      <c r="C12" s="732"/>
      <c r="E12" s="736">
        <f>F106</f>
        <v>-1222253.5766400001</v>
      </c>
      <c r="F12" s="736">
        <f>G106</f>
        <v>-6850506.4995200001</v>
      </c>
      <c r="G12" s="736">
        <f>H106</f>
        <v>-146296364.24024561</v>
      </c>
      <c r="H12" s="736"/>
      <c r="I12" s="732"/>
    </row>
    <row r="13" spans="1:9">
      <c r="A13" s="731"/>
      <c r="B13" s="735" t="s">
        <v>502</v>
      </c>
      <c r="C13" s="732"/>
      <c r="E13" s="736">
        <f>F51</f>
        <v>0</v>
      </c>
      <c r="F13" s="736">
        <f>G51</f>
        <v>36976338.170864493</v>
      </c>
      <c r="G13" s="736">
        <f>H51</f>
        <v>41347775.921990402</v>
      </c>
      <c r="H13" s="736"/>
      <c r="I13" s="732"/>
    </row>
    <row r="14" spans="1:9">
      <c r="A14" s="731"/>
      <c r="B14" s="735" t="s">
        <v>503</v>
      </c>
      <c r="C14" s="732"/>
      <c r="E14" s="736">
        <f>SUM(E11:E13)</f>
        <v>-1222253.5766400001</v>
      </c>
      <c r="F14" s="736">
        <f>SUM(F11:F13)</f>
        <v>-1700221368.9772756</v>
      </c>
      <c r="G14" s="736">
        <f>SUM(G11:G13)</f>
        <v>-104948588.31825522</v>
      </c>
      <c r="H14" s="736"/>
      <c r="I14" s="737"/>
    </row>
    <row r="15" spans="1:9">
      <c r="A15" s="731"/>
      <c r="B15" s="735" t="s">
        <v>504</v>
      </c>
      <c r="C15" s="732"/>
      <c r="E15" s="738"/>
      <c r="F15" s="738"/>
      <c r="G15" s="739">
        <f>'ATT H-9A'!H16</f>
        <v>0.10615912662453647</v>
      </c>
      <c r="H15" s="740"/>
      <c r="I15" s="732"/>
    </row>
    <row r="16" spans="1:9">
      <c r="A16" s="731"/>
      <c r="B16" s="735" t="s">
        <v>446</v>
      </c>
      <c r="C16" s="732"/>
      <c r="E16" s="738"/>
      <c r="F16" s="739">
        <f>'ATT H-9A'!H32</f>
        <v>0.18716387973834922</v>
      </c>
      <c r="G16" s="738"/>
      <c r="H16" s="740"/>
      <c r="I16" s="732"/>
    </row>
    <row r="17" spans="1:13">
      <c r="A17" s="731"/>
      <c r="B17" s="735" t="s">
        <v>499</v>
      </c>
      <c r="C17" s="732"/>
      <c r="E17" s="736">
        <f>E14</f>
        <v>-1222253.5766400001</v>
      </c>
      <c r="F17" s="736">
        <f>F14*F16</f>
        <v>-318220027.83183432</v>
      </c>
      <c r="G17" s="736">
        <f>G14*G15</f>
        <v>-11141250.476344004</v>
      </c>
      <c r="H17" s="736">
        <f>SUM(E17:G17)</f>
        <v>-330583531.88481832</v>
      </c>
      <c r="I17" s="732"/>
    </row>
    <row r="18" spans="1:13">
      <c r="A18" s="731"/>
      <c r="B18" s="731"/>
      <c r="C18" s="732"/>
      <c r="E18" s="741"/>
      <c r="F18" s="741"/>
      <c r="G18" s="741"/>
      <c r="H18" s="742"/>
      <c r="I18" s="732"/>
    </row>
    <row r="19" spans="1:13">
      <c r="A19" s="731"/>
      <c r="B19" s="732"/>
      <c r="C19" s="732"/>
      <c r="D19" s="732"/>
      <c r="E19" s="741"/>
      <c r="F19" s="741"/>
      <c r="G19" s="741"/>
      <c r="H19" s="743"/>
      <c r="I19" s="732"/>
    </row>
    <row r="20" spans="1:13">
      <c r="A20" s="738" t="s">
        <v>505</v>
      </c>
      <c r="B20" s="738"/>
      <c r="C20" s="738"/>
      <c r="D20" s="738"/>
      <c r="E20" s="738"/>
      <c r="F20" s="738"/>
      <c r="G20" s="738"/>
      <c r="H20" s="744"/>
      <c r="I20" s="732"/>
    </row>
    <row r="21" spans="1:13">
      <c r="A21" s="732"/>
      <c r="B21" s="732"/>
      <c r="D21" s="738" t="s">
        <v>161</v>
      </c>
      <c r="E21" s="745">
        <f>D95</f>
        <v>-4111752</v>
      </c>
      <c r="F21" s="732"/>
      <c r="G21" s="732"/>
      <c r="H21" s="743"/>
      <c r="I21" s="732"/>
    </row>
    <row r="22" spans="1:13">
      <c r="A22" s="732"/>
      <c r="B22" s="732"/>
      <c r="C22" s="732"/>
      <c r="D22" s="732"/>
      <c r="E22" s="732"/>
      <c r="F22" s="732"/>
      <c r="G22" s="732"/>
      <c r="H22" s="732"/>
      <c r="I22" s="732"/>
    </row>
    <row r="23" spans="1:13">
      <c r="A23" s="731"/>
      <c r="B23" s="732"/>
      <c r="C23" s="732"/>
      <c r="D23" s="732"/>
      <c r="E23" s="732"/>
      <c r="F23" s="732"/>
      <c r="G23" s="732"/>
      <c r="H23" s="732"/>
      <c r="I23" s="732"/>
    </row>
    <row r="24" spans="1:13">
      <c r="A24" s="746" t="s">
        <v>506</v>
      </c>
      <c r="B24" s="738"/>
      <c r="C24" s="738"/>
      <c r="D24" s="738"/>
      <c r="E24" s="738"/>
      <c r="F24" s="738"/>
      <c r="G24" s="738"/>
      <c r="H24" s="738"/>
      <c r="I24" s="738"/>
    </row>
    <row r="25" spans="1:13">
      <c r="A25" s="746" t="s">
        <v>507</v>
      </c>
      <c r="B25" s="738"/>
      <c r="C25" s="738"/>
      <c r="D25" s="738"/>
      <c r="E25" s="738"/>
      <c r="F25" s="738"/>
      <c r="G25" s="738"/>
      <c r="H25" s="738"/>
      <c r="I25" s="738"/>
    </row>
    <row r="26" spans="1:13" ht="15.75">
      <c r="A26" s="731"/>
      <c r="B26" s="729"/>
      <c r="C26" s="729"/>
      <c r="D26" s="729"/>
      <c r="E26" s="729"/>
      <c r="F26" s="729"/>
      <c r="G26" s="729"/>
      <c r="H26" s="729"/>
      <c r="I26" s="732"/>
    </row>
    <row r="27" spans="1:13">
      <c r="A27" s="731"/>
      <c r="B27" s="732"/>
      <c r="C27" s="732"/>
      <c r="D27" s="732"/>
      <c r="E27" s="732"/>
      <c r="F27" s="732"/>
      <c r="G27" s="732"/>
      <c r="H27" s="733"/>
      <c r="I27" s="732"/>
    </row>
    <row r="28" spans="1:13">
      <c r="A28" s="747" t="s">
        <v>9</v>
      </c>
      <c r="B28" s="747"/>
      <c r="C28" s="747"/>
      <c r="D28" s="748" t="s">
        <v>10</v>
      </c>
      <c r="E28" s="748" t="s">
        <v>11</v>
      </c>
      <c r="F28" s="748" t="s">
        <v>14</v>
      </c>
      <c r="G28" s="748" t="s">
        <v>186</v>
      </c>
      <c r="H28" s="748" t="s">
        <v>190</v>
      </c>
      <c r="I28" s="748" t="s">
        <v>192</v>
      </c>
    </row>
    <row r="29" spans="1:13">
      <c r="A29" s="746"/>
      <c r="B29" s="749"/>
      <c r="C29" s="738"/>
      <c r="D29" s="750" t="s">
        <v>61</v>
      </c>
      <c r="E29" s="750" t="s">
        <v>508</v>
      </c>
      <c r="F29" s="750" t="s">
        <v>495</v>
      </c>
      <c r="G29" s="750"/>
      <c r="H29" s="750"/>
      <c r="I29" s="749"/>
    </row>
    <row r="30" spans="1:13">
      <c r="A30" s="735" t="s">
        <v>502</v>
      </c>
      <c r="B30" s="749"/>
      <c r="C30" s="738"/>
      <c r="D30" s="750"/>
      <c r="E30" s="750" t="s">
        <v>509</v>
      </c>
      <c r="F30" s="750" t="s">
        <v>423</v>
      </c>
      <c r="G30" s="750" t="s">
        <v>496</v>
      </c>
      <c r="H30" s="750" t="s">
        <v>497</v>
      </c>
      <c r="I30" s="749"/>
    </row>
    <row r="31" spans="1:13">
      <c r="A31" s="746"/>
      <c r="B31" s="738"/>
      <c r="C31" s="738"/>
      <c r="D31" s="750"/>
      <c r="E31" s="750" t="s">
        <v>498</v>
      </c>
      <c r="F31" s="750" t="s">
        <v>498</v>
      </c>
      <c r="G31" s="750" t="s">
        <v>498</v>
      </c>
      <c r="H31" s="750" t="s">
        <v>498</v>
      </c>
      <c r="I31" s="750" t="s">
        <v>510</v>
      </c>
    </row>
    <row r="32" spans="1:13" ht="16.5" customHeight="1">
      <c r="K32" s="752" t="s">
        <v>511</v>
      </c>
      <c r="M32" s="753" t="s">
        <v>483</v>
      </c>
    </row>
    <row r="33" spans="1:17" ht="25.5">
      <c r="A33" s="754" t="s">
        <v>512</v>
      </c>
      <c r="B33" s="755"/>
      <c r="C33" s="756"/>
      <c r="D33" s="757">
        <f>SUM(E33:H33)</f>
        <v>1050678</v>
      </c>
      <c r="E33" s="757">
        <v>0</v>
      </c>
      <c r="F33" s="757">
        <v>0</v>
      </c>
      <c r="G33" s="757">
        <v>0</v>
      </c>
      <c r="H33" s="757">
        <v>1050678</v>
      </c>
      <c r="I33" s="758" t="s">
        <v>513</v>
      </c>
      <c r="J33" s="759"/>
      <c r="K33" s="760">
        <v>3660879</v>
      </c>
      <c r="M33" s="737">
        <f>D33-K33</f>
        <v>-2610201</v>
      </c>
    </row>
    <row r="34" spans="1:17" ht="51">
      <c r="A34" s="754" t="s">
        <v>514</v>
      </c>
      <c r="B34" s="755"/>
      <c r="C34" s="756"/>
      <c r="D34" s="757">
        <f t="shared" ref="D34:D50" si="0">SUM(E34:H34)</f>
        <v>5803794</v>
      </c>
      <c r="E34" s="757">
        <v>5803794</v>
      </c>
      <c r="F34" s="757">
        <v>0</v>
      </c>
      <c r="G34" s="757">
        <v>0</v>
      </c>
      <c r="H34" s="757">
        <v>0</v>
      </c>
      <c r="I34" s="758" t="s">
        <v>515</v>
      </c>
      <c r="J34" s="759"/>
      <c r="K34" s="760">
        <v>6735997</v>
      </c>
      <c r="M34" s="737">
        <f t="shared" ref="M34:M51" si="1">D34-K34</f>
        <v>-932203</v>
      </c>
    </row>
    <row r="35" spans="1:17" ht="30" customHeight="1">
      <c r="A35" s="754" t="s">
        <v>516</v>
      </c>
      <c r="B35" s="755"/>
      <c r="C35" s="756"/>
      <c r="D35" s="757">
        <f t="shared" si="0"/>
        <v>78513571</v>
      </c>
      <c r="E35" s="757">
        <v>54496517</v>
      </c>
      <c r="F35" s="757">
        <v>0</v>
      </c>
      <c r="G35" s="757">
        <v>0</v>
      </c>
      <c r="H35" s="757">
        <v>24017054</v>
      </c>
      <c r="I35" s="758" t="s">
        <v>866</v>
      </c>
      <c r="J35" s="759"/>
      <c r="K35" s="760">
        <v>1961442</v>
      </c>
      <c r="M35" s="737">
        <f t="shared" si="1"/>
        <v>76552129</v>
      </c>
    </row>
    <row r="36" spans="1:17" ht="38.25">
      <c r="A36" s="754" t="s">
        <v>517</v>
      </c>
      <c r="B36" s="755"/>
      <c r="C36" s="756"/>
      <c r="D36" s="757">
        <f t="shared" si="0"/>
        <v>7206005</v>
      </c>
      <c r="E36" s="757">
        <v>7206005</v>
      </c>
      <c r="F36" s="757">
        <v>0</v>
      </c>
      <c r="G36" s="757">
        <v>0</v>
      </c>
      <c r="H36" s="757">
        <v>0</v>
      </c>
      <c r="I36" s="758" t="s">
        <v>518</v>
      </c>
      <c r="J36" s="759"/>
      <c r="K36" s="760">
        <v>1135864</v>
      </c>
      <c r="M36" s="737">
        <f t="shared" si="1"/>
        <v>6070141</v>
      </c>
    </row>
    <row r="37" spans="1:17" ht="63.75">
      <c r="A37" s="754" t="s">
        <v>519</v>
      </c>
      <c r="B37" s="755"/>
      <c r="C37" s="756"/>
      <c r="D37" s="757">
        <f t="shared" si="0"/>
        <v>3518292</v>
      </c>
      <c r="E37" s="757">
        <v>3518292</v>
      </c>
      <c r="F37" s="757">
        <v>0</v>
      </c>
      <c r="G37" s="757">
        <v>0</v>
      </c>
      <c r="H37" s="757">
        <v>0</v>
      </c>
      <c r="I37" s="758" t="s">
        <v>520</v>
      </c>
      <c r="J37" s="759"/>
      <c r="K37" s="760">
        <v>2095237</v>
      </c>
      <c r="M37" s="737">
        <f t="shared" si="1"/>
        <v>1423055</v>
      </c>
    </row>
    <row r="38" spans="1:17">
      <c r="A38" s="754" t="s">
        <v>521</v>
      </c>
      <c r="B38" s="755"/>
      <c r="C38" s="756"/>
      <c r="D38" s="757">
        <f t="shared" si="0"/>
        <v>63332</v>
      </c>
      <c r="E38" s="757">
        <v>63332</v>
      </c>
      <c r="F38" s="757">
        <v>0</v>
      </c>
      <c r="G38" s="757">
        <v>0</v>
      </c>
      <c r="H38" s="757">
        <v>0</v>
      </c>
      <c r="I38" s="758" t="s">
        <v>522</v>
      </c>
      <c r="J38" s="759"/>
      <c r="K38" s="760">
        <v>451317.72860999999</v>
      </c>
      <c r="M38" s="737">
        <f t="shared" si="1"/>
        <v>-387985.72860999999</v>
      </c>
    </row>
    <row r="39" spans="1:17" ht="51.75" customHeight="1">
      <c r="A39" s="754" t="s">
        <v>523</v>
      </c>
      <c r="B39" s="755"/>
      <c r="C39" s="756"/>
      <c r="D39" s="757">
        <f t="shared" si="0"/>
        <v>9856980</v>
      </c>
      <c r="E39" s="757">
        <v>0</v>
      </c>
      <c r="F39" s="757">
        <v>0</v>
      </c>
      <c r="G39" s="757">
        <v>0</v>
      </c>
      <c r="H39" s="757">
        <v>9856980</v>
      </c>
      <c r="I39" s="758" t="s">
        <v>524</v>
      </c>
      <c r="J39" s="759"/>
      <c r="K39" s="760">
        <v>4104266</v>
      </c>
      <c r="M39" s="737">
        <f t="shared" si="1"/>
        <v>5752714</v>
      </c>
    </row>
    <row r="40" spans="1:17" ht="25.5">
      <c r="A40" s="754" t="s">
        <v>525</v>
      </c>
      <c r="B40" s="761"/>
      <c r="C40" s="756"/>
      <c r="D40" s="757">
        <f t="shared" si="0"/>
        <v>1541500</v>
      </c>
      <c r="E40" s="757">
        <v>1541500</v>
      </c>
      <c r="F40" s="757">
        <v>0</v>
      </c>
      <c r="G40" s="757">
        <v>0</v>
      </c>
      <c r="H40" s="757">
        <v>0</v>
      </c>
      <c r="I40" s="758" t="s">
        <v>526</v>
      </c>
      <c r="J40" s="759"/>
      <c r="K40" s="760">
        <v>1061343</v>
      </c>
      <c r="M40" s="737">
        <f t="shared" si="1"/>
        <v>480157</v>
      </c>
    </row>
    <row r="41" spans="1:17" ht="63.75">
      <c r="A41" s="754" t="s">
        <v>527</v>
      </c>
      <c r="B41" s="761"/>
      <c r="C41" s="756"/>
      <c r="D41" s="757">
        <f t="shared" si="0"/>
        <v>715723.99852000002</v>
      </c>
      <c r="E41" s="757">
        <v>0</v>
      </c>
      <c r="F41" s="757">
        <v>0</v>
      </c>
      <c r="G41" s="757">
        <f>522449.89852+193274.1</f>
        <v>715723.99852000002</v>
      </c>
      <c r="H41" s="757">
        <v>0</v>
      </c>
      <c r="I41" s="758" t="s">
        <v>528</v>
      </c>
      <c r="J41" s="759"/>
      <c r="K41" s="760">
        <v>2495316</v>
      </c>
      <c r="M41" s="737">
        <f t="shared" si="1"/>
        <v>-1779592.0014800001</v>
      </c>
      <c r="Q41" s="1149"/>
    </row>
    <row r="42" spans="1:17" ht="63.75">
      <c r="A42" s="754" t="s">
        <v>529</v>
      </c>
      <c r="B42" s="761"/>
      <c r="C42" s="756"/>
      <c r="D42" s="757">
        <f t="shared" si="0"/>
        <v>216731382.26274002</v>
      </c>
      <c r="E42" s="757">
        <v>0</v>
      </c>
      <c r="F42" s="757">
        <v>0</v>
      </c>
      <c r="G42" s="757">
        <f>216924656.36274-193274.1</f>
        <v>216731382.26274002</v>
      </c>
      <c r="H42" s="757">
        <v>0</v>
      </c>
      <c r="I42" s="758" t="s">
        <v>528</v>
      </c>
      <c r="J42" s="759"/>
      <c r="K42" s="760">
        <v>1213275</v>
      </c>
      <c r="M42" s="737">
        <f t="shared" si="1"/>
        <v>215518107.26274002</v>
      </c>
    </row>
    <row r="43" spans="1:17" ht="27.75" customHeight="1">
      <c r="A43" s="754" t="s">
        <v>530</v>
      </c>
      <c r="B43" s="761"/>
      <c r="C43" s="756"/>
      <c r="D43" s="757">
        <f t="shared" si="0"/>
        <v>36370016</v>
      </c>
      <c r="E43" s="757">
        <v>6842135</v>
      </c>
      <c r="F43" s="757">
        <v>0</v>
      </c>
      <c r="G43" s="757">
        <v>29527881</v>
      </c>
      <c r="H43" s="757">
        <v>0</v>
      </c>
      <c r="I43" s="758" t="s">
        <v>531</v>
      </c>
      <c r="J43" s="759"/>
      <c r="K43" s="760">
        <v>3359389</v>
      </c>
      <c r="M43" s="737">
        <f t="shared" si="1"/>
        <v>33010627</v>
      </c>
    </row>
    <row r="44" spans="1:17">
      <c r="A44" s="754" t="s">
        <v>532</v>
      </c>
      <c r="B44" s="761"/>
      <c r="C44" s="756"/>
      <c r="D44" s="757">
        <f t="shared" si="0"/>
        <v>4211979</v>
      </c>
      <c r="E44" s="757">
        <v>4211979</v>
      </c>
      <c r="F44" s="757">
        <v>0</v>
      </c>
      <c r="G44" s="757">
        <v>0</v>
      </c>
      <c r="H44" s="757">
        <v>0</v>
      </c>
      <c r="I44" s="758" t="s">
        <v>533</v>
      </c>
      <c r="J44" s="759"/>
      <c r="K44" s="760">
        <v>-6535</v>
      </c>
      <c r="M44" s="737">
        <f t="shared" si="1"/>
        <v>4218514</v>
      </c>
    </row>
    <row r="45" spans="1:17">
      <c r="A45" s="754" t="s">
        <v>534</v>
      </c>
      <c r="B45" s="761"/>
      <c r="C45" s="762"/>
      <c r="D45" s="757">
        <f t="shared" si="0"/>
        <v>8546200</v>
      </c>
      <c r="E45" s="757">
        <v>8546200</v>
      </c>
      <c r="F45" s="757">
        <v>0</v>
      </c>
      <c r="G45" s="757">
        <v>0</v>
      </c>
      <c r="H45" s="757">
        <v>0</v>
      </c>
      <c r="I45" s="758" t="s">
        <v>535</v>
      </c>
      <c r="J45" s="759"/>
      <c r="K45" s="760"/>
      <c r="M45" s="737"/>
    </row>
    <row r="46" spans="1:17">
      <c r="A46" s="754" t="s">
        <v>536</v>
      </c>
      <c r="B46" s="761"/>
      <c r="C46" s="762"/>
      <c r="D46" s="757">
        <f t="shared" si="0"/>
        <v>82534</v>
      </c>
      <c r="E46" s="757">
        <v>82534</v>
      </c>
      <c r="F46" s="757">
        <v>0</v>
      </c>
      <c r="G46" s="757">
        <v>0</v>
      </c>
      <c r="H46" s="757">
        <v>0</v>
      </c>
      <c r="I46" s="758" t="s">
        <v>537</v>
      </c>
      <c r="J46" s="759"/>
      <c r="K46" s="760"/>
      <c r="M46" s="737"/>
    </row>
    <row r="47" spans="1:17">
      <c r="A47" s="754"/>
      <c r="B47" s="761"/>
      <c r="C47" s="762"/>
      <c r="D47" s="757"/>
      <c r="E47" s="757"/>
      <c r="F47" s="757"/>
      <c r="G47" s="757"/>
      <c r="H47" s="757"/>
      <c r="I47" s="758"/>
      <c r="J47" s="759"/>
      <c r="K47" s="760"/>
      <c r="M47" s="737"/>
    </row>
    <row r="48" spans="1:17">
      <c r="A48" s="763" t="s">
        <v>538</v>
      </c>
      <c r="B48" s="764"/>
      <c r="C48" s="765"/>
      <c r="D48" s="766">
        <f>SUM(E48:H48)</f>
        <v>374211987.26126003</v>
      </c>
      <c r="E48" s="766">
        <f>SUM(E33:E47)</f>
        <v>92312288</v>
      </c>
      <c r="F48" s="766">
        <f>SUM(F33:F47)</f>
        <v>0</v>
      </c>
      <c r="G48" s="766">
        <f>SUM(G33:G47)</f>
        <v>246974987.26126</v>
      </c>
      <c r="H48" s="766">
        <f>SUM(H33:H47)</f>
        <v>34924712</v>
      </c>
      <c r="I48" s="767"/>
      <c r="J48" s="759"/>
      <c r="K48" s="760">
        <v>213503197</v>
      </c>
      <c r="M48" s="737">
        <f>D48-K48</f>
        <v>160708790.26126003</v>
      </c>
    </row>
    <row r="49" spans="1:13">
      <c r="A49" s="768" t="s">
        <v>539</v>
      </c>
      <c r="B49" s="769"/>
      <c r="C49" s="770"/>
      <c r="D49" s="757">
        <f t="shared" si="0"/>
        <v>162533869.43213633</v>
      </c>
      <c r="E49" s="757">
        <f>E41+E42-31184735.7362688</f>
        <v>-31184735.7362688</v>
      </c>
      <c r="F49" s="757">
        <f>F41+F42</f>
        <v>0</v>
      </c>
      <c r="G49" s="757">
        <f>G41+G42-7448457.1708645</f>
        <v>209998649.09039551</v>
      </c>
      <c r="H49" s="757">
        <f>H41+H42-16280043.9219904</f>
        <v>-16280043.9219904</v>
      </c>
      <c r="I49" s="771"/>
      <c r="J49" s="759"/>
      <c r="K49" s="760">
        <v>0</v>
      </c>
      <c r="M49" s="737">
        <f>D49-K49</f>
        <v>162533869.43213633</v>
      </c>
    </row>
    <row r="50" spans="1:13">
      <c r="A50" s="772" t="s">
        <v>540</v>
      </c>
      <c r="B50" s="773"/>
      <c r="C50" s="770"/>
      <c r="D50" s="757">
        <f t="shared" si="0"/>
        <v>9856980</v>
      </c>
      <c r="E50" s="757"/>
      <c r="F50" s="757"/>
      <c r="G50" s="757"/>
      <c r="H50" s="757">
        <f>H39</f>
        <v>9856980</v>
      </c>
      <c r="I50" s="771"/>
      <c r="J50" s="759"/>
      <c r="K50" s="760">
        <v>-5255337</v>
      </c>
      <c r="M50" s="737">
        <f>D50-K50</f>
        <v>15112317</v>
      </c>
    </row>
    <row r="51" spans="1:13">
      <c r="A51" s="774" t="s">
        <v>61</v>
      </c>
      <c r="B51" s="764"/>
      <c r="C51" s="765"/>
      <c r="D51" s="775">
        <f>SUM(E51:H51)</f>
        <v>201821137.82912368</v>
      </c>
      <c r="E51" s="775">
        <f>E48-E49-E50</f>
        <v>123497023.7362688</v>
      </c>
      <c r="F51" s="775">
        <f>F48-F49-F50</f>
        <v>0</v>
      </c>
      <c r="G51" s="775">
        <f>G48-G49-G50</f>
        <v>36976338.170864493</v>
      </c>
      <c r="H51" s="775">
        <f>H48-H49-H50</f>
        <v>41347775.921990402</v>
      </c>
      <c r="I51" s="767"/>
      <c r="J51" s="759"/>
      <c r="K51" s="776">
        <f>SUM(K33:K50)</f>
        <v>236515650.72861001</v>
      </c>
      <c r="M51" s="737">
        <f t="shared" si="1"/>
        <v>-34694512.899486333</v>
      </c>
    </row>
    <row r="52" spans="1:13">
      <c r="A52" s="777"/>
      <c r="B52" s="759"/>
      <c r="C52" s="778"/>
      <c r="D52" s="779"/>
      <c r="E52" s="779"/>
      <c r="F52" s="779"/>
      <c r="G52" s="779"/>
      <c r="H52" s="779"/>
      <c r="I52" s="780"/>
      <c r="J52" s="759"/>
      <c r="K52" s="779"/>
      <c r="M52" s="737"/>
    </row>
    <row r="53" spans="1:13" s="639" customFormat="1" ht="12.75" customHeight="1">
      <c r="A53" s="781"/>
      <c r="B53" s="782" t="s">
        <v>541</v>
      </c>
      <c r="C53" s="783"/>
      <c r="D53" s="784"/>
      <c r="E53" s="783"/>
      <c r="F53" s="785"/>
      <c r="G53" s="786"/>
      <c r="H53" s="787"/>
      <c r="I53" s="788"/>
      <c r="J53" s="789"/>
    </row>
    <row r="54" spans="1:13" s="639" customFormat="1" ht="51">
      <c r="A54" s="781"/>
      <c r="B54" s="790" t="s">
        <v>542</v>
      </c>
      <c r="C54" s="791"/>
      <c r="D54" s="792"/>
      <c r="E54" s="793"/>
      <c r="F54" s="793"/>
      <c r="G54" s="793"/>
      <c r="H54" s="794"/>
      <c r="I54" s="795"/>
      <c r="J54" s="789"/>
    </row>
    <row r="55" spans="1:13" s="639" customFormat="1">
      <c r="A55" s="781"/>
      <c r="B55" s="796" t="s">
        <v>543</v>
      </c>
      <c r="C55" s="797"/>
      <c r="D55" s="789"/>
      <c r="E55" s="797"/>
      <c r="F55" s="797"/>
      <c r="G55" s="798"/>
      <c r="H55" s="799"/>
      <c r="I55" s="788"/>
      <c r="J55" s="789"/>
    </row>
    <row r="56" spans="1:13" s="639" customFormat="1">
      <c r="A56" s="781"/>
      <c r="B56" s="796" t="s">
        <v>544</v>
      </c>
      <c r="C56" s="797"/>
      <c r="D56" s="789"/>
      <c r="E56" s="797"/>
      <c r="F56" s="797"/>
      <c r="G56" s="798"/>
      <c r="H56" s="799"/>
      <c r="I56" s="795"/>
      <c r="J56" s="789"/>
    </row>
    <row r="57" spans="1:13" s="639" customFormat="1" ht="12.75" customHeight="1">
      <c r="A57" s="781"/>
      <c r="B57" s="796" t="s">
        <v>545</v>
      </c>
      <c r="C57" s="797"/>
      <c r="D57" s="789"/>
      <c r="E57" s="797"/>
      <c r="F57" s="797"/>
      <c r="G57" s="798"/>
      <c r="H57" s="799"/>
      <c r="I57" s="788"/>
      <c r="J57" s="789"/>
    </row>
    <row r="58" spans="1:13" s="639" customFormat="1" ht="102">
      <c r="A58" s="781"/>
      <c r="B58" s="800" t="s">
        <v>546</v>
      </c>
      <c r="C58" s="788"/>
      <c r="D58" s="801"/>
      <c r="E58" s="801"/>
      <c r="F58" s="801"/>
      <c r="G58" s="801"/>
      <c r="H58" s="802"/>
      <c r="I58" s="789"/>
      <c r="J58" s="803"/>
    </row>
    <row r="59" spans="1:13" s="639" customFormat="1">
      <c r="A59" s="781"/>
      <c r="B59" s="804"/>
      <c r="C59" s="788"/>
      <c r="D59" s="801"/>
      <c r="E59" s="801"/>
      <c r="F59" s="801"/>
      <c r="G59" s="801"/>
      <c r="H59" s="802"/>
      <c r="I59" s="788"/>
      <c r="J59" s="789"/>
    </row>
    <row r="60" spans="1:13" s="639" customFormat="1">
      <c r="A60" s="781"/>
      <c r="B60" s="805" t="s">
        <v>547</v>
      </c>
      <c r="C60" s="806"/>
      <c r="D60" s="807"/>
      <c r="E60" s="806"/>
      <c r="F60" s="806"/>
      <c r="G60" s="808"/>
      <c r="H60" s="809"/>
      <c r="I60" s="788"/>
      <c r="J60" s="789"/>
    </row>
    <row r="61" spans="1:13">
      <c r="A61" s="810"/>
      <c r="B61" s="777"/>
      <c r="C61" s="778"/>
      <c r="D61" s="811"/>
      <c r="E61" s="812"/>
      <c r="F61" s="778"/>
      <c r="G61" s="813"/>
      <c r="H61" s="814"/>
      <c r="I61" s="780"/>
      <c r="J61" s="759"/>
    </row>
    <row r="62" spans="1:13">
      <c r="A62" s="815"/>
      <c r="B62" s="816"/>
      <c r="C62" s="778"/>
      <c r="D62" s="759"/>
      <c r="E62" s="759"/>
      <c r="F62" s="759"/>
      <c r="G62" s="759"/>
      <c r="H62" s="759"/>
      <c r="I62" s="778"/>
      <c r="J62" s="759"/>
    </row>
    <row r="63" spans="1:13" ht="15.75">
      <c r="A63" s="817" t="s">
        <v>494</v>
      </c>
      <c r="B63" s="818"/>
      <c r="C63" s="819"/>
      <c r="D63" s="818"/>
      <c r="E63" s="818"/>
      <c r="F63" s="818"/>
      <c r="G63" s="818"/>
      <c r="H63" s="818"/>
      <c r="I63" s="818"/>
      <c r="J63" s="759"/>
    </row>
    <row r="64" spans="1:13" ht="15.75">
      <c r="A64" s="820"/>
      <c r="B64" s="818"/>
      <c r="C64" s="819"/>
      <c r="D64" s="818"/>
      <c r="E64" s="818"/>
      <c r="F64" s="818"/>
      <c r="G64" s="818"/>
      <c r="H64" s="818"/>
      <c r="I64" s="818"/>
      <c r="J64" s="759"/>
    </row>
    <row r="65" spans="1:13">
      <c r="A65" s="781"/>
      <c r="B65" s="748" t="s">
        <v>9</v>
      </c>
      <c r="C65" s="747"/>
      <c r="D65" s="748" t="s">
        <v>10</v>
      </c>
      <c r="E65" s="748" t="s">
        <v>11</v>
      </c>
      <c r="F65" s="748" t="s">
        <v>14</v>
      </c>
      <c r="G65" s="748" t="s">
        <v>186</v>
      </c>
      <c r="H65" s="748" t="s">
        <v>190</v>
      </c>
      <c r="I65" s="748" t="s">
        <v>192</v>
      </c>
      <c r="J65" s="759"/>
    </row>
    <row r="66" spans="1:13">
      <c r="A66" s="781"/>
      <c r="B66" s="749"/>
      <c r="C66" s="797"/>
      <c r="D66" s="750" t="s">
        <v>61</v>
      </c>
      <c r="E66" s="750" t="s">
        <v>508</v>
      </c>
      <c r="F66" s="750" t="s">
        <v>495</v>
      </c>
      <c r="G66" s="750"/>
      <c r="H66" s="750"/>
      <c r="I66" s="749"/>
      <c r="J66" s="759"/>
    </row>
    <row r="67" spans="1:13">
      <c r="A67" s="781"/>
      <c r="B67" s="821" t="s">
        <v>500</v>
      </c>
      <c r="C67" s="797"/>
      <c r="D67" s="750"/>
      <c r="E67" s="750" t="s">
        <v>509</v>
      </c>
      <c r="F67" s="750" t="s">
        <v>423</v>
      </c>
      <c r="G67" s="750" t="s">
        <v>496</v>
      </c>
      <c r="H67" s="750" t="s">
        <v>497</v>
      </c>
      <c r="I67" s="749"/>
      <c r="J67" s="759"/>
    </row>
    <row r="68" spans="1:13">
      <c r="A68" s="781"/>
      <c r="B68" s="789"/>
      <c r="C68" s="797"/>
      <c r="D68" s="750"/>
      <c r="E68" s="750" t="s">
        <v>498</v>
      </c>
      <c r="F68" s="750" t="s">
        <v>498</v>
      </c>
      <c r="G68" s="750" t="s">
        <v>498</v>
      </c>
      <c r="H68" s="750" t="s">
        <v>498</v>
      </c>
      <c r="I68" s="750" t="s">
        <v>510</v>
      </c>
      <c r="J68" s="759"/>
      <c r="K68" s="753" t="str">
        <f>K32</f>
        <v>Per Close 1B</v>
      </c>
      <c r="M68" s="753" t="s">
        <v>483</v>
      </c>
    </row>
    <row r="69" spans="1:13" ht="25.5">
      <c r="A69" s="754" t="s">
        <v>548</v>
      </c>
      <c r="B69" s="761"/>
      <c r="C69" s="770"/>
      <c r="D69" s="757">
        <f>SUM(E69:H69)</f>
        <v>-1730347200.6486201</v>
      </c>
      <c r="E69" s="757">
        <v>0</v>
      </c>
      <c r="F69" s="757">
        <v>0</v>
      </c>
      <c r="G69" s="757">
        <v>-1730347200.6486201</v>
      </c>
      <c r="H69" s="757">
        <v>0</v>
      </c>
      <c r="I69" s="822" t="s">
        <v>549</v>
      </c>
      <c r="J69" s="759"/>
      <c r="K69" s="737">
        <v>-426174165</v>
      </c>
      <c r="L69" s="737"/>
      <c r="M69" s="737">
        <f>D69-K69</f>
        <v>-1304173035.6486201</v>
      </c>
    </row>
    <row r="70" spans="1:13" ht="38.25">
      <c r="A70" s="754" t="s">
        <v>550</v>
      </c>
      <c r="B70" s="761"/>
      <c r="C70" s="823"/>
      <c r="D70" s="757">
        <f t="shared" ref="D70:D73" si="2">SUM(E70:H70)</f>
        <v>-27046938.520319995</v>
      </c>
      <c r="E70" s="757">
        <v>0</v>
      </c>
      <c r="F70" s="757">
        <v>0</v>
      </c>
      <c r="G70" s="757">
        <v>-27046938.520319995</v>
      </c>
      <c r="H70" s="757">
        <v>0</v>
      </c>
      <c r="I70" s="822" t="s">
        <v>551</v>
      </c>
      <c r="J70" s="759"/>
      <c r="K70" s="737">
        <v>-408163288</v>
      </c>
      <c r="L70" s="737"/>
      <c r="M70" s="737">
        <f t="shared" ref="M70:M77" si="3">D70-K70</f>
        <v>381116349.47968</v>
      </c>
    </row>
    <row r="71" spans="1:13" ht="89.25">
      <c r="A71" s="754" t="s">
        <v>552</v>
      </c>
      <c r="B71" s="761"/>
      <c r="C71" s="823"/>
      <c r="D71" s="757">
        <f t="shared" si="2"/>
        <v>46890906.573599994</v>
      </c>
      <c r="E71" s="757">
        <v>46890906.573599994</v>
      </c>
      <c r="F71" s="757">
        <v>0</v>
      </c>
      <c r="G71" s="757">
        <v>0</v>
      </c>
      <c r="H71" s="757">
        <v>0</v>
      </c>
      <c r="I71" s="822" t="s">
        <v>553</v>
      </c>
      <c r="J71" s="759"/>
      <c r="K71" s="737">
        <v>871366</v>
      </c>
      <c r="L71" s="737"/>
      <c r="M71" s="737">
        <f t="shared" si="3"/>
        <v>46019540.573599994</v>
      </c>
    </row>
    <row r="72" spans="1:13" ht="51" customHeight="1">
      <c r="A72" s="754" t="s">
        <v>554</v>
      </c>
      <c r="B72" s="761"/>
      <c r="C72" s="823"/>
      <c r="D72" s="757">
        <f t="shared" si="2"/>
        <v>-6253896.1663999995</v>
      </c>
      <c r="E72" s="757">
        <v>-6253896.1663999995</v>
      </c>
      <c r="F72" s="757">
        <v>0</v>
      </c>
      <c r="G72" s="757">
        <v>0</v>
      </c>
      <c r="H72" s="757">
        <v>0</v>
      </c>
      <c r="I72" s="822" t="s">
        <v>555</v>
      </c>
      <c r="J72" s="759"/>
      <c r="K72" s="737">
        <v>176452</v>
      </c>
      <c r="L72" s="737"/>
      <c r="M72" s="737">
        <f t="shared" si="3"/>
        <v>-6430348.1663999995</v>
      </c>
    </row>
    <row r="73" spans="1:13" ht="63.75">
      <c r="A73" s="754" t="s">
        <v>556</v>
      </c>
      <c r="B73" s="761"/>
      <c r="C73" s="823"/>
      <c r="D73" s="757">
        <f t="shared" si="2"/>
        <v>561841819</v>
      </c>
      <c r="E73" s="757"/>
      <c r="F73" s="757"/>
      <c r="G73" s="757">
        <v>561841819</v>
      </c>
      <c r="H73" s="757"/>
      <c r="I73" s="822" t="s">
        <v>528</v>
      </c>
      <c r="J73" s="759"/>
      <c r="K73" s="737">
        <v>-95640834</v>
      </c>
      <c r="L73" s="737"/>
      <c r="M73" s="737">
        <f t="shared" si="3"/>
        <v>657482653</v>
      </c>
    </row>
    <row r="74" spans="1:13">
      <c r="A74" s="824" t="s">
        <v>557</v>
      </c>
      <c r="B74" s="765"/>
      <c r="C74" s="770"/>
      <c r="D74" s="775">
        <f>SUM(E74:H74)</f>
        <v>-1154915309.76174</v>
      </c>
      <c r="E74" s="775">
        <f>SUM(E69:E73)</f>
        <v>40637010.407199994</v>
      </c>
      <c r="F74" s="775">
        <f t="shared" ref="F74:H74" si="4">SUM(F69:F73)</f>
        <v>0</v>
      </c>
      <c r="G74" s="775">
        <f t="shared" si="4"/>
        <v>-1195552320.1689401</v>
      </c>
      <c r="H74" s="775">
        <f t="shared" si="4"/>
        <v>0</v>
      </c>
      <c r="I74" s="767"/>
      <c r="J74" s="759"/>
      <c r="K74" s="737">
        <v>42009119</v>
      </c>
      <c r="L74" s="737"/>
      <c r="M74" s="737">
        <f t="shared" si="3"/>
        <v>-1196924428.76174</v>
      </c>
    </row>
    <row r="75" spans="1:13" ht="28.5" customHeight="1">
      <c r="A75" s="825" t="s">
        <v>539</v>
      </c>
      <c r="B75" s="765"/>
      <c r="C75" s="770"/>
      <c r="D75" s="757">
        <f>SUM(E75:H75)</f>
        <v>534794880.47968</v>
      </c>
      <c r="E75" s="757">
        <f t="shared" ref="E75:F75" si="5">E70+E73</f>
        <v>0</v>
      </c>
      <c r="F75" s="757">
        <f t="shared" si="5"/>
        <v>0</v>
      </c>
      <c r="G75" s="757">
        <f>G70+G73</f>
        <v>534794880.47968</v>
      </c>
      <c r="H75" s="757">
        <f>H70+H73</f>
        <v>0</v>
      </c>
      <c r="I75" s="771"/>
      <c r="J75" s="759"/>
      <c r="K75" s="737">
        <v>-7351764</v>
      </c>
      <c r="L75" s="737"/>
      <c r="M75" s="737">
        <f t="shared" si="3"/>
        <v>542146644.47968006</v>
      </c>
    </row>
    <row r="76" spans="1:13" ht="30.75" customHeight="1">
      <c r="A76" s="826" t="s">
        <v>540</v>
      </c>
      <c r="B76" s="827"/>
      <c r="C76" s="770"/>
      <c r="D76" s="757">
        <f>SUM(E76:H76)</f>
        <v>0</v>
      </c>
      <c r="E76" s="757"/>
      <c r="F76" s="757"/>
      <c r="G76" s="757"/>
      <c r="H76" s="757"/>
      <c r="I76" s="771"/>
      <c r="J76" s="759"/>
      <c r="K76" s="737">
        <v>-7809</v>
      </c>
      <c r="L76" s="737"/>
      <c r="M76" s="737">
        <f t="shared" si="3"/>
        <v>7809</v>
      </c>
    </row>
    <row r="77" spans="1:13" ht="29.25" customHeight="1">
      <c r="A77" s="774" t="s">
        <v>61</v>
      </c>
      <c r="B77" s="765"/>
      <c r="C77" s="765"/>
      <c r="D77" s="775">
        <f>SUM(E77:H77)</f>
        <v>-1689710190.24142</v>
      </c>
      <c r="E77" s="775">
        <f>E74-E75-E76</f>
        <v>40637010.407199994</v>
      </c>
      <c r="F77" s="775">
        <f t="shared" ref="F77:H77" si="6">F74-F75-F76</f>
        <v>0</v>
      </c>
      <c r="G77" s="775">
        <f t="shared" si="6"/>
        <v>-1730347200.6486201</v>
      </c>
      <c r="H77" s="775">
        <f t="shared" si="6"/>
        <v>0</v>
      </c>
      <c r="I77" s="767"/>
      <c r="J77" s="759"/>
      <c r="K77" s="737">
        <v>-8303806.3884148002</v>
      </c>
      <c r="L77" s="737"/>
      <c r="M77" s="737">
        <f t="shared" si="3"/>
        <v>-1681406383.8530052</v>
      </c>
    </row>
    <row r="78" spans="1:13">
      <c r="A78" s="777"/>
      <c r="B78" s="778"/>
      <c r="C78" s="778"/>
      <c r="D78" s="779"/>
      <c r="E78" s="779"/>
      <c r="F78" s="779"/>
      <c r="G78" s="779"/>
      <c r="H78" s="779"/>
      <c r="I78" s="780"/>
      <c r="J78" s="759"/>
      <c r="K78" s="779"/>
      <c r="L78" s="737"/>
      <c r="M78" s="737"/>
    </row>
    <row r="79" spans="1:13" s="639" customFormat="1" ht="12.75" customHeight="1">
      <c r="A79" s="781"/>
      <c r="B79" s="782" t="s">
        <v>558</v>
      </c>
      <c r="C79" s="783"/>
      <c r="D79" s="783"/>
      <c r="E79" s="783"/>
      <c r="F79" s="783"/>
      <c r="G79" s="828"/>
      <c r="H79" s="787"/>
      <c r="I79" s="788"/>
      <c r="J79" s="789"/>
    </row>
    <row r="80" spans="1:13" s="639" customFormat="1" ht="51">
      <c r="A80" s="781"/>
      <c r="B80" s="790" t="s">
        <v>542</v>
      </c>
      <c r="C80" s="791"/>
      <c r="D80" s="801"/>
      <c r="E80" s="793"/>
      <c r="F80" s="793"/>
      <c r="G80" s="793"/>
      <c r="H80" s="794"/>
      <c r="I80" s="788"/>
      <c r="J80" s="789"/>
    </row>
    <row r="81" spans="1:13" s="639" customFormat="1">
      <c r="A81" s="781"/>
      <c r="B81" s="796" t="s">
        <v>543</v>
      </c>
      <c r="C81" s="797"/>
      <c r="D81" s="789"/>
      <c r="E81" s="797"/>
      <c r="F81" s="797"/>
      <c r="G81" s="798"/>
      <c r="H81" s="799"/>
      <c r="I81" s="788"/>
      <c r="J81" s="789"/>
    </row>
    <row r="82" spans="1:13" s="639" customFormat="1">
      <c r="A82" s="781"/>
      <c r="B82" s="796" t="s">
        <v>544</v>
      </c>
      <c r="C82" s="797"/>
      <c r="D82" s="789"/>
      <c r="E82" s="797"/>
      <c r="F82" s="797"/>
      <c r="G82" s="798"/>
      <c r="H82" s="799"/>
      <c r="I82" s="788"/>
      <c r="J82" s="789"/>
    </row>
    <row r="83" spans="1:13" s="639" customFormat="1" ht="12.75" customHeight="1">
      <c r="A83" s="781"/>
      <c r="B83" s="796" t="s">
        <v>545</v>
      </c>
      <c r="C83" s="797"/>
      <c r="D83" s="789"/>
      <c r="E83" s="797"/>
      <c r="F83" s="797"/>
      <c r="G83" s="798"/>
      <c r="H83" s="799"/>
      <c r="I83" s="788"/>
      <c r="J83" s="789"/>
    </row>
    <row r="84" spans="1:13" s="639" customFormat="1" ht="102">
      <c r="A84" s="781"/>
      <c r="B84" s="829" t="s">
        <v>546</v>
      </c>
      <c r="C84" s="788"/>
      <c r="D84" s="801"/>
      <c r="E84" s="801"/>
      <c r="F84" s="801"/>
      <c r="G84" s="801"/>
      <c r="H84" s="802"/>
      <c r="I84" s="789"/>
      <c r="J84" s="803"/>
    </row>
    <row r="85" spans="1:13" s="639" customFormat="1">
      <c r="A85" s="781"/>
      <c r="B85" s="804"/>
      <c r="C85" s="788"/>
      <c r="D85" s="801"/>
      <c r="E85" s="801"/>
      <c r="F85" s="801"/>
      <c r="G85" s="801"/>
      <c r="H85" s="802"/>
      <c r="I85" s="788"/>
      <c r="J85" s="789"/>
    </row>
    <row r="86" spans="1:13" s="639" customFormat="1">
      <c r="A86" s="781"/>
      <c r="B86" s="805" t="s">
        <v>547</v>
      </c>
      <c r="C86" s="806"/>
      <c r="D86" s="807"/>
      <c r="E86" s="806"/>
      <c r="F86" s="806"/>
      <c r="G86" s="808"/>
      <c r="H86" s="809"/>
      <c r="I86" s="788"/>
      <c r="J86" s="789"/>
    </row>
    <row r="87" spans="1:13" ht="12" customHeight="1">
      <c r="A87" s="830"/>
      <c r="B87" s="831"/>
      <c r="C87" s="832"/>
      <c r="D87" s="831"/>
      <c r="E87" s="831"/>
      <c r="F87" s="831"/>
      <c r="G87" s="831"/>
      <c r="H87" s="831"/>
      <c r="I87" s="818"/>
      <c r="J87" s="759"/>
      <c r="K87" s="737"/>
      <c r="L87" s="737"/>
      <c r="M87" s="737"/>
    </row>
    <row r="88" spans="1:13" ht="12" customHeight="1">
      <c r="A88" s="833"/>
      <c r="B88" s="834"/>
      <c r="C88" s="835"/>
      <c r="D88" s="836"/>
      <c r="E88" s="836"/>
      <c r="F88" s="836"/>
      <c r="G88" s="836"/>
      <c r="H88" s="836"/>
      <c r="I88" s="835"/>
      <c r="J88" s="759"/>
      <c r="K88" s="737"/>
      <c r="L88" s="737"/>
      <c r="M88" s="737"/>
    </row>
    <row r="89" spans="1:13" ht="15.75">
      <c r="A89" s="820" t="s">
        <v>494</v>
      </c>
      <c r="B89" s="818"/>
      <c r="C89" s="819"/>
      <c r="D89" s="818"/>
      <c r="E89" s="818"/>
      <c r="F89" s="818"/>
      <c r="G89" s="818"/>
      <c r="H89" s="818"/>
      <c r="I89" s="818"/>
      <c r="J89" s="759"/>
      <c r="K89" s="737"/>
      <c r="L89" s="737"/>
      <c r="M89" s="737"/>
    </row>
    <row r="90" spans="1:13">
      <c r="A90" s="810"/>
      <c r="B90" s="759"/>
      <c r="C90" s="778"/>
      <c r="D90" s="759"/>
      <c r="E90" s="759"/>
      <c r="F90" s="759"/>
      <c r="G90" s="759"/>
      <c r="H90" s="837"/>
      <c r="I90" s="780"/>
      <c r="J90" s="759"/>
      <c r="K90" s="737"/>
      <c r="L90" s="737"/>
      <c r="M90" s="737"/>
    </row>
    <row r="91" spans="1:13">
      <c r="A91" s="781"/>
      <c r="B91" s="748" t="s">
        <v>9</v>
      </c>
      <c r="C91" s="797"/>
      <c r="D91" s="748" t="s">
        <v>10</v>
      </c>
      <c r="E91" s="748" t="s">
        <v>11</v>
      </c>
      <c r="F91" s="748" t="s">
        <v>14</v>
      </c>
      <c r="G91" s="748" t="s">
        <v>186</v>
      </c>
      <c r="H91" s="748" t="s">
        <v>190</v>
      </c>
      <c r="I91" s="748" t="s">
        <v>192</v>
      </c>
      <c r="J91" s="759"/>
      <c r="K91" s="737"/>
      <c r="L91" s="737"/>
      <c r="M91" s="737"/>
    </row>
    <row r="92" spans="1:13">
      <c r="A92" s="781"/>
      <c r="B92" s="789"/>
      <c r="C92" s="797"/>
      <c r="D92" s="750" t="s">
        <v>61</v>
      </c>
      <c r="E92" s="750" t="s">
        <v>508</v>
      </c>
      <c r="F92" s="750" t="s">
        <v>495</v>
      </c>
      <c r="G92" s="750"/>
      <c r="H92" s="750"/>
      <c r="I92" s="749"/>
      <c r="J92" s="759"/>
      <c r="K92" s="737"/>
      <c r="L92" s="737"/>
      <c r="M92" s="737"/>
    </row>
    <row r="93" spans="1:13">
      <c r="A93" s="781"/>
      <c r="B93" s="821" t="s">
        <v>501</v>
      </c>
      <c r="C93" s="797"/>
      <c r="D93" s="750"/>
      <c r="E93" s="750" t="s">
        <v>509</v>
      </c>
      <c r="F93" s="750" t="s">
        <v>423</v>
      </c>
      <c r="G93" s="750" t="s">
        <v>496</v>
      </c>
      <c r="H93" s="750" t="s">
        <v>497</v>
      </c>
      <c r="I93" s="749"/>
      <c r="J93" s="759"/>
      <c r="K93" s="737"/>
      <c r="L93" s="737"/>
      <c r="M93" s="737"/>
    </row>
    <row r="94" spans="1:13" ht="29.25" customHeight="1">
      <c r="A94" s="781"/>
      <c r="B94" s="789"/>
      <c r="C94" s="797"/>
      <c r="D94" s="750"/>
      <c r="E94" s="750" t="s">
        <v>498</v>
      </c>
      <c r="F94" s="750" t="s">
        <v>498</v>
      </c>
      <c r="G94" s="750" t="s">
        <v>498</v>
      </c>
      <c r="H94" s="750" t="s">
        <v>498</v>
      </c>
      <c r="I94" s="750" t="s">
        <v>510</v>
      </c>
      <c r="J94" s="759"/>
      <c r="K94" s="753" t="str">
        <f>K32</f>
        <v>Per Close 1B</v>
      </c>
      <c r="M94" s="753" t="s">
        <v>483</v>
      </c>
    </row>
    <row r="95" spans="1:13" ht="38.25">
      <c r="A95" s="754" t="s">
        <v>559</v>
      </c>
      <c r="B95" s="761"/>
      <c r="C95" s="756"/>
      <c r="D95" s="757">
        <f>SUM(E95:H95)</f>
        <v>-4111752</v>
      </c>
      <c r="E95" s="757">
        <v>-4111752</v>
      </c>
      <c r="F95" s="757">
        <v>0</v>
      </c>
      <c r="G95" s="757">
        <v>0</v>
      </c>
      <c r="H95" s="757">
        <v>0</v>
      </c>
      <c r="I95" s="822" t="s">
        <v>560</v>
      </c>
      <c r="J95" s="759"/>
      <c r="K95" s="737">
        <v>-8564525</v>
      </c>
      <c r="L95" s="737"/>
      <c r="M95" s="737">
        <f t="shared" ref="M95:M103" si="7">D95-K95</f>
        <v>4452773</v>
      </c>
    </row>
    <row r="96" spans="1:13" ht="43.5" customHeight="1">
      <c r="A96" s="754" t="s">
        <v>561</v>
      </c>
      <c r="B96" s="761"/>
      <c r="C96" s="756"/>
      <c r="D96" s="757">
        <f t="shared" ref="D96:D102" si="8">SUM(E96:H96)</f>
        <v>-6850506.4995200001</v>
      </c>
      <c r="E96" s="757">
        <v>0</v>
      </c>
      <c r="F96" s="757">
        <v>0</v>
      </c>
      <c r="G96" s="757">
        <v>-6850506.4995200001</v>
      </c>
      <c r="H96" s="757">
        <v>0</v>
      </c>
      <c r="I96" s="822" t="s">
        <v>562</v>
      </c>
      <c r="J96" s="759"/>
      <c r="K96" s="737">
        <v>-45042563</v>
      </c>
      <c r="L96" s="737"/>
      <c r="M96" s="737">
        <f t="shared" si="7"/>
        <v>38192056.500479996</v>
      </c>
    </row>
    <row r="97" spans="1:13" ht="64.5" customHeight="1">
      <c r="A97" s="754" t="s">
        <v>563</v>
      </c>
      <c r="B97" s="761"/>
      <c r="C97" s="756"/>
      <c r="D97" s="757">
        <f t="shared" si="8"/>
        <v>-400843</v>
      </c>
      <c r="E97" s="757">
        <v>0</v>
      </c>
      <c r="F97" s="757">
        <v>0</v>
      </c>
      <c r="G97" s="757">
        <v>0</v>
      </c>
      <c r="H97" s="757">
        <v>-400843</v>
      </c>
      <c r="I97" s="822" t="s">
        <v>564</v>
      </c>
      <c r="J97" s="759"/>
      <c r="K97" s="737"/>
      <c r="L97" s="737"/>
      <c r="M97" s="737"/>
    </row>
    <row r="98" spans="1:13" ht="51">
      <c r="A98" s="754" t="s">
        <v>144</v>
      </c>
      <c r="B98" s="761"/>
      <c r="C98" s="756"/>
      <c r="D98" s="757">
        <f t="shared" si="8"/>
        <v>-166135</v>
      </c>
      <c r="E98" s="757">
        <v>0</v>
      </c>
      <c r="F98" s="757">
        <v>0</v>
      </c>
      <c r="G98" s="757">
        <v>0</v>
      </c>
      <c r="H98" s="757">
        <v>-166135</v>
      </c>
      <c r="I98" s="822" t="s">
        <v>565</v>
      </c>
      <c r="J98" s="759"/>
      <c r="K98" s="737">
        <v>-128082077</v>
      </c>
      <c r="L98" s="737"/>
      <c r="M98" s="737">
        <f t="shared" si="7"/>
        <v>127915942</v>
      </c>
    </row>
    <row r="99" spans="1:13" ht="25.5">
      <c r="A99" s="754" t="s">
        <v>566</v>
      </c>
      <c r="B99" s="761"/>
      <c r="C99" s="756"/>
      <c r="D99" s="757">
        <f t="shared" si="8"/>
        <v>-59126549</v>
      </c>
      <c r="E99" s="757">
        <v>-59126549</v>
      </c>
      <c r="F99" s="757">
        <v>0</v>
      </c>
      <c r="G99" s="757">
        <v>0</v>
      </c>
      <c r="H99" s="757">
        <v>0</v>
      </c>
      <c r="I99" s="822" t="s">
        <v>567</v>
      </c>
      <c r="J99" s="759"/>
      <c r="K99" s="737">
        <v>-2849679</v>
      </c>
      <c r="L99" s="737"/>
      <c r="M99" s="737">
        <f t="shared" si="7"/>
        <v>-56276870</v>
      </c>
    </row>
    <row r="100" spans="1:13" ht="38.25">
      <c r="A100" s="754" t="s">
        <v>568</v>
      </c>
      <c r="B100" s="761"/>
      <c r="C100" s="756"/>
      <c r="D100" s="757">
        <f t="shared" si="8"/>
        <v>-826383</v>
      </c>
      <c r="E100" s="757">
        <v>0</v>
      </c>
      <c r="F100" s="757">
        <v>-826383</v>
      </c>
      <c r="G100" s="757">
        <v>0</v>
      </c>
      <c r="H100" s="757">
        <v>0</v>
      </c>
      <c r="I100" s="822" t="s">
        <v>569</v>
      </c>
      <c r="J100" s="759"/>
      <c r="K100" s="737">
        <v>-9861849</v>
      </c>
      <c r="L100" s="737"/>
      <c r="M100" s="737">
        <f t="shared" si="7"/>
        <v>9035466</v>
      </c>
    </row>
    <row r="101" spans="1:13" ht="25.5">
      <c r="A101" s="754" t="s">
        <v>570</v>
      </c>
      <c r="B101" s="761"/>
      <c r="C101" s="756"/>
      <c r="D101" s="757">
        <f t="shared" si="8"/>
        <v>-119456960</v>
      </c>
      <c r="E101" s="757">
        <v>-110112393</v>
      </c>
      <c r="F101" s="757">
        <v>0</v>
      </c>
      <c r="G101" s="757">
        <v>0</v>
      </c>
      <c r="H101" s="757">
        <v>-9344567</v>
      </c>
      <c r="I101" s="822" t="s">
        <v>571</v>
      </c>
      <c r="J101" s="759"/>
      <c r="K101" s="737">
        <v>-131946635</v>
      </c>
      <c r="L101" s="737"/>
      <c r="M101" s="737">
        <f>D101-K101</f>
        <v>12489675</v>
      </c>
    </row>
    <row r="102" spans="1:13" ht="51">
      <c r="A102" s="754" t="s">
        <v>572</v>
      </c>
      <c r="B102" s="761"/>
      <c r="C102" s="756"/>
      <c r="D102" s="757">
        <f t="shared" si="8"/>
        <v>-89001504</v>
      </c>
      <c r="E102" s="757">
        <v>0</v>
      </c>
      <c r="F102" s="757">
        <v>0</v>
      </c>
      <c r="G102" s="757">
        <v>0</v>
      </c>
      <c r="H102" s="757">
        <v>-89001504</v>
      </c>
      <c r="I102" s="822" t="s">
        <v>573</v>
      </c>
      <c r="J102" s="759"/>
      <c r="K102" s="737"/>
      <c r="L102" s="737"/>
      <c r="M102" s="737"/>
    </row>
    <row r="103" spans="1:13">
      <c r="A103" s="838" t="s">
        <v>574</v>
      </c>
      <c r="B103" s="764"/>
      <c r="C103" s="765"/>
      <c r="D103" s="766">
        <f>SUM(E103:H103)</f>
        <v>-279940631.49952</v>
      </c>
      <c r="E103" s="766">
        <f>SUM(E95:E102)+1</f>
        <v>-173350693</v>
      </c>
      <c r="F103" s="766">
        <f>SUM(F95:F102)</f>
        <v>-826383</v>
      </c>
      <c r="G103" s="766">
        <f>SUM(G95:G102)</f>
        <v>-6850506.4995200001</v>
      </c>
      <c r="H103" s="766">
        <f>SUM(H95:H102)</f>
        <v>-98913049</v>
      </c>
      <c r="I103" s="839"/>
      <c r="J103" s="759"/>
      <c r="K103" s="840" t="e">
        <f>+#REF!-#REF!-#REF!</f>
        <v>#REF!</v>
      </c>
      <c r="L103" s="737"/>
      <c r="M103" s="737" t="e">
        <f t="shared" si="7"/>
        <v>#REF!</v>
      </c>
    </row>
    <row r="104" spans="1:13">
      <c r="A104" s="774" t="s">
        <v>539</v>
      </c>
      <c r="B104" s="764"/>
      <c r="C104" s="765"/>
      <c r="D104" s="841">
        <f>SUM(E104:H104)</f>
        <v>130821117.1536192</v>
      </c>
      <c r="E104" s="841">
        <f>83041931.3367336</f>
        <v>83041931.336733595</v>
      </c>
      <c r="F104" s="841">
        <f>395870.57664</f>
        <v>395870.57663999998</v>
      </c>
      <c r="G104" s="841">
        <v>0</v>
      </c>
      <c r="H104" s="841">
        <f>47383315.2402456</f>
        <v>47383315.240245603</v>
      </c>
      <c r="I104" s="771"/>
      <c r="J104" s="759"/>
      <c r="K104" s="840"/>
      <c r="L104" s="737"/>
      <c r="M104" s="737"/>
    </row>
    <row r="105" spans="1:13" s="639" customFormat="1" ht="12.75" customHeight="1">
      <c r="A105" s="774" t="s">
        <v>540</v>
      </c>
      <c r="B105" s="764"/>
      <c r="C105" s="765"/>
      <c r="D105" s="841">
        <f>SUM(E105:H105)</f>
        <v>0</v>
      </c>
      <c r="E105" s="841"/>
      <c r="F105" s="841"/>
      <c r="G105" s="841"/>
      <c r="H105" s="841"/>
      <c r="I105" s="758"/>
      <c r="J105" s="789"/>
    </row>
    <row r="106" spans="1:13" s="639" customFormat="1">
      <c r="A106" s="842" t="s">
        <v>61</v>
      </c>
      <c r="B106" s="769"/>
      <c r="C106" s="765"/>
      <c r="D106" s="843">
        <f>SUM(E106:H106)</f>
        <v>-410761748.65313923</v>
      </c>
      <c r="E106" s="843">
        <f>E103-E104-E105</f>
        <v>-256392624.33673358</v>
      </c>
      <c r="F106" s="843">
        <f>F103-F104-F105</f>
        <v>-1222253.5766400001</v>
      </c>
      <c r="G106" s="843">
        <f>G103-G104-G105</f>
        <v>-6850506.4995200001</v>
      </c>
      <c r="H106" s="843">
        <f>H103-H104-H105</f>
        <v>-146296364.24024561</v>
      </c>
      <c r="I106" s="767"/>
      <c r="J106" s="789"/>
    </row>
    <row r="107" spans="1:13" s="639" customFormat="1">
      <c r="A107" s="844"/>
      <c r="B107" s="845"/>
      <c r="C107" s="846"/>
      <c r="D107" s="847"/>
      <c r="E107" s="847"/>
      <c r="F107" s="847"/>
      <c r="G107" s="847"/>
      <c r="H107" s="848"/>
      <c r="I107" s="849"/>
      <c r="J107" s="789"/>
    </row>
    <row r="108" spans="1:13" s="639" customFormat="1" ht="12.75" customHeight="1">
      <c r="A108" s="781"/>
      <c r="B108" s="782" t="s">
        <v>575</v>
      </c>
      <c r="C108" s="850"/>
      <c r="D108" s="783"/>
      <c r="E108" s="783"/>
      <c r="F108" s="783"/>
      <c r="G108" s="828"/>
      <c r="H108" s="787"/>
      <c r="I108" s="851"/>
      <c r="J108" s="789"/>
    </row>
    <row r="109" spans="1:13" s="639" customFormat="1" ht="51">
      <c r="A109" s="781"/>
      <c r="B109" s="790" t="s">
        <v>542</v>
      </c>
      <c r="C109" s="793"/>
      <c r="D109" s="793"/>
      <c r="E109" s="793"/>
      <c r="F109" s="793"/>
      <c r="G109" s="793"/>
      <c r="H109" s="794"/>
      <c r="I109" s="788"/>
      <c r="J109" s="789"/>
    </row>
    <row r="110" spans="1:13" s="639" customFormat="1">
      <c r="A110" s="781"/>
      <c r="B110" s="796" t="s">
        <v>543</v>
      </c>
      <c r="C110" s="789"/>
      <c r="D110" s="789"/>
      <c r="E110" s="797"/>
      <c r="F110" s="797"/>
      <c r="G110" s="798"/>
      <c r="H110" s="799"/>
      <c r="I110" s="851"/>
      <c r="J110" s="789"/>
    </row>
    <row r="111" spans="1:13" s="639" customFormat="1">
      <c r="A111" s="781"/>
      <c r="B111" s="796" t="s">
        <v>544</v>
      </c>
      <c r="C111" s="789"/>
      <c r="D111" s="789"/>
      <c r="E111" s="797"/>
      <c r="F111" s="797"/>
      <c r="G111" s="798"/>
      <c r="H111" s="799"/>
      <c r="I111" s="788"/>
      <c r="J111" s="789"/>
    </row>
    <row r="112" spans="1:13" s="639" customFormat="1" ht="12.75" customHeight="1">
      <c r="A112" s="781"/>
      <c r="B112" s="796" t="s">
        <v>545</v>
      </c>
      <c r="C112" s="789"/>
      <c r="D112" s="789"/>
      <c r="E112" s="789"/>
      <c r="F112" s="789"/>
      <c r="G112" s="789"/>
      <c r="H112" s="852"/>
      <c r="I112" s="803"/>
      <c r="J112" s="789"/>
    </row>
    <row r="113" spans="1:13" s="639" customFormat="1" ht="102">
      <c r="A113" s="781"/>
      <c r="B113" s="790" t="s">
        <v>546</v>
      </c>
      <c r="C113" s="789"/>
      <c r="D113" s="789"/>
      <c r="E113" s="789"/>
      <c r="F113" s="789"/>
      <c r="G113" s="789"/>
      <c r="H113" s="852"/>
      <c r="I113" s="788"/>
      <c r="J113" s="789"/>
    </row>
    <row r="114" spans="1:13" s="639" customFormat="1">
      <c r="A114" s="781"/>
      <c r="B114" s="829"/>
      <c r="C114" s="853"/>
      <c r="D114" s="853"/>
      <c r="E114" s="853"/>
      <c r="F114" s="853"/>
      <c r="G114" s="853"/>
      <c r="H114" s="854"/>
      <c r="I114" s="788"/>
      <c r="J114" s="789"/>
    </row>
    <row r="115" spans="1:13" s="639" customFormat="1">
      <c r="A115" s="781"/>
      <c r="B115" s="805" t="s">
        <v>547</v>
      </c>
      <c r="C115" s="807"/>
      <c r="D115" s="807"/>
      <c r="E115" s="807"/>
      <c r="F115" s="807"/>
      <c r="G115" s="807"/>
      <c r="H115" s="855"/>
      <c r="I115" s="788"/>
      <c r="J115" s="789"/>
    </row>
    <row r="116" spans="1:13" ht="18" customHeight="1">
      <c r="A116" s="810"/>
      <c r="B116" s="777"/>
      <c r="C116" s="759"/>
      <c r="D116" s="811"/>
      <c r="E116" s="812"/>
      <c r="F116" s="812"/>
      <c r="G116" s="856"/>
      <c r="H116" s="856"/>
      <c r="I116" s="780"/>
      <c r="J116" s="759"/>
      <c r="K116" s="737"/>
      <c r="L116" s="737"/>
      <c r="M116" s="737"/>
    </row>
    <row r="117" spans="1:13" ht="12.75" customHeight="1">
      <c r="A117" s="833"/>
      <c r="B117" s="836"/>
      <c r="C117" s="836"/>
      <c r="D117" s="836"/>
      <c r="E117" s="836"/>
      <c r="F117" s="836"/>
      <c r="G117" s="836"/>
      <c r="H117" s="836"/>
      <c r="I117" s="836"/>
      <c r="J117" s="759"/>
    </row>
    <row r="118" spans="1:13">
      <c r="A118" s="857" t="s">
        <v>576</v>
      </c>
      <c r="B118" s="793"/>
      <c r="C118" s="793"/>
      <c r="D118" s="793"/>
      <c r="E118" s="818"/>
      <c r="F118" s="818"/>
      <c r="G118" s="818"/>
      <c r="H118" s="818"/>
      <c r="I118" s="818"/>
      <c r="J118" s="818"/>
    </row>
    <row r="119" spans="1:13">
      <c r="A119" s="789"/>
      <c r="B119" s="789"/>
      <c r="C119" s="789"/>
      <c r="D119" s="789"/>
      <c r="E119" s="759"/>
      <c r="F119" s="759"/>
      <c r="G119" s="759"/>
      <c r="H119" s="759"/>
      <c r="I119" s="759"/>
      <c r="J119" s="759"/>
    </row>
    <row r="120" spans="1:13" ht="15">
      <c r="A120" s="858" t="s">
        <v>577</v>
      </c>
      <c r="B120" s="789"/>
      <c r="C120" s="789"/>
      <c r="D120" s="789"/>
      <c r="E120" s="759"/>
      <c r="F120" s="759"/>
      <c r="G120" s="759"/>
      <c r="H120" s="759"/>
      <c r="I120" s="759"/>
      <c r="J120" s="759"/>
    </row>
    <row r="121" spans="1:13" ht="15">
      <c r="A121" s="859"/>
      <c r="B121" s="759"/>
      <c r="C121" s="759"/>
      <c r="D121" s="759"/>
      <c r="E121" s="860"/>
      <c r="F121" s="860"/>
      <c r="G121" s="861"/>
      <c r="H121" s="861"/>
      <c r="I121" s="861"/>
      <c r="J121" s="861"/>
    </row>
    <row r="122" spans="1:13">
      <c r="A122" s="862"/>
      <c r="B122" s="863"/>
      <c r="C122" s="863" t="s">
        <v>578</v>
      </c>
      <c r="D122" s="862"/>
      <c r="E122" s="864" t="s">
        <v>350</v>
      </c>
      <c r="F122" s="864" t="s">
        <v>163</v>
      </c>
      <c r="H122" s="759"/>
      <c r="I122" s="759"/>
      <c r="J122" s="759"/>
    </row>
    <row r="123" spans="1:13">
      <c r="A123" s="862"/>
      <c r="B123" s="862"/>
      <c r="C123" s="863"/>
      <c r="D123" s="863"/>
      <c r="E123" s="865"/>
      <c r="F123" s="865"/>
      <c r="H123" s="759"/>
      <c r="I123" s="759"/>
      <c r="J123" s="759"/>
    </row>
    <row r="124" spans="1:13" s="722" customFormat="1">
      <c r="A124" s="862">
        <v>1</v>
      </c>
      <c r="B124" s="863" t="s">
        <v>579</v>
      </c>
      <c r="C124" s="863"/>
      <c r="D124" s="863"/>
      <c r="E124" s="865"/>
      <c r="F124" s="865"/>
      <c r="H124" s="759"/>
      <c r="I124" s="759"/>
      <c r="J124" s="759"/>
      <c r="M124" s="723"/>
    </row>
    <row r="125" spans="1:13" s="722" customFormat="1">
      <c r="A125" s="862">
        <v>2</v>
      </c>
      <c r="B125" s="863" t="s">
        <v>580</v>
      </c>
      <c r="C125" s="863" t="s">
        <v>61</v>
      </c>
      <c r="D125" s="863"/>
      <c r="E125" s="866"/>
      <c r="F125" s="866"/>
      <c r="H125" s="759"/>
      <c r="I125" s="759"/>
      <c r="J125" s="759"/>
      <c r="M125" s="723"/>
    </row>
    <row r="126" spans="1:13" s="722" customFormat="1">
      <c r="A126" s="862"/>
      <c r="B126" s="863"/>
      <c r="C126" s="863"/>
      <c r="D126" s="863"/>
      <c r="E126" s="865"/>
      <c r="F126" s="865"/>
      <c r="H126" s="759"/>
      <c r="I126" s="759"/>
      <c r="J126" s="759"/>
      <c r="M126" s="723"/>
    </row>
    <row r="127" spans="1:13" s="722" customFormat="1">
      <c r="A127" s="862">
        <v>3</v>
      </c>
      <c r="B127" s="863" t="s">
        <v>163</v>
      </c>
      <c r="C127" s="863"/>
      <c r="D127" s="863"/>
      <c r="E127" s="865"/>
      <c r="F127" s="865"/>
      <c r="H127" s="759"/>
      <c r="I127" s="759"/>
      <c r="J127" s="759"/>
      <c r="M127" s="723"/>
    </row>
    <row r="128" spans="1:13" s="722" customFormat="1">
      <c r="A128" s="862">
        <v>4</v>
      </c>
      <c r="B128" s="863" t="s">
        <v>581</v>
      </c>
      <c r="C128" s="863" t="s">
        <v>61</v>
      </c>
      <c r="D128" s="863"/>
      <c r="E128" s="866">
        <v>1934714</v>
      </c>
      <c r="F128" s="866">
        <v>167520</v>
      </c>
      <c r="H128" s="759"/>
      <c r="I128" s="759"/>
      <c r="J128" s="759"/>
      <c r="M128" s="723"/>
    </row>
    <row r="129" spans="1:13" s="722" customFormat="1">
      <c r="A129" s="862"/>
      <c r="B129" s="863"/>
      <c r="C129" s="863"/>
      <c r="D129" s="863"/>
      <c r="E129" s="865"/>
      <c r="F129" s="865"/>
      <c r="H129" s="759"/>
      <c r="I129" s="759"/>
      <c r="J129" s="759"/>
      <c r="M129" s="723"/>
    </row>
    <row r="130" spans="1:13" s="722" customFormat="1">
      <c r="A130" s="862">
        <v>5</v>
      </c>
      <c r="B130" s="863" t="s">
        <v>61</v>
      </c>
      <c r="C130" s="863"/>
      <c r="D130" s="863"/>
      <c r="E130" s="865">
        <f>E125+E128</f>
        <v>1934714</v>
      </c>
      <c r="F130" s="865">
        <f>F125+F128</f>
        <v>167520</v>
      </c>
      <c r="H130" s="759"/>
      <c r="I130" s="759"/>
      <c r="J130" s="759"/>
      <c r="M130" s="723"/>
    </row>
    <row r="131" spans="1:13" s="722" customFormat="1">
      <c r="A131" s="862"/>
      <c r="B131" s="863"/>
      <c r="C131" s="863"/>
      <c r="D131" s="863"/>
      <c r="E131" s="865"/>
      <c r="F131" s="865"/>
      <c r="H131" s="759"/>
      <c r="I131" s="759"/>
      <c r="J131" s="759"/>
      <c r="M131" s="723"/>
    </row>
    <row r="132" spans="1:13" s="722" customFormat="1">
      <c r="A132" s="862">
        <v>6</v>
      </c>
      <c r="B132" s="863" t="s">
        <v>582</v>
      </c>
      <c r="C132" s="863" t="s">
        <v>583</v>
      </c>
      <c r="D132" s="863"/>
      <c r="E132" s="866">
        <v>1934714</v>
      </c>
      <c r="F132" s="866">
        <v>167520</v>
      </c>
      <c r="H132" s="759"/>
      <c r="I132" s="759"/>
      <c r="J132" s="759"/>
      <c r="M132" s="723"/>
    </row>
    <row r="133" spans="1:13" s="722" customFormat="1">
      <c r="A133" s="863"/>
      <c r="B133" s="863"/>
      <c r="C133" s="863"/>
      <c r="D133" s="863"/>
      <c r="E133" s="865"/>
      <c r="F133" s="865"/>
      <c r="H133" s="759"/>
      <c r="I133" s="759"/>
      <c r="J133" s="759"/>
      <c r="M133" s="723"/>
    </row>
    <row r="134" spans="1:13" s="722" customFormat="1">
      <c r="A134" s="862">
        <v>7</v>
      </c>
      <c r="B134" s="863" t="s">
        <v>584</v>
      </c>
      <c r="C134" s="863"/>
      <c r="D134" s="863"/>
      <c r="E134" s="865">
        <f>E130-E132</f>
        <v>0</v>
      </c>
      <c r="F134" s="865">
        <f>F130-F132</f>
        <v>0</v>
      </c>
      <c r="H134" s="759"/>
      <c r="I134" s="759"/>
      <c r="J134" s="759"/>
      <c r="M134" s="723"/>
    </row>
    <row r="135" spans="1:13" s="722" customFormat="1">
      <c r="A135" s="759"/>
      <c r="B135" s="759"/>
      <c r="C135" s="759"/>
      <c r="D135" s="759"/>
      <c r="E135" s="867"/>
      <c r="F135" s="867"/>
      <c r="H135" s="759"/>
      <c r="I135" s="759"/>
      <c r="J135" s="759"/>
      <c r="M135" s="723"/>
    </row>
    <row r="136" spans="1:13" s="722" customFormat="1">
      <c r="A136" s="810"/>
      <c r="B136" s="759" t="s">
        <v>585</v>
      </c>
      <c r="C136" s="759"/>
      <c r="D136" s="759"/>
      <c r="E136" s="867"/>
      <c r="F136" s="759"/>
      <c r="H136" s="759"/>
      <c r="I136" s="759"/>
      <c r="J136" s="759"/>
      <c r="M136" s="723"/>
    </row>
    <row r="137" spans="1:13" s="722" customFormat="1">
      <c r="A137" s="751"/>
      <c r="F137" s="868"/>
      <c r="M137" s="723"/>
    </row>
    <row r="186" spans="1:13" s="722" customFormat="1" ht="15.75">
      <c r="A186" s="751"/>
      <c r="C186" s="869"/>
      <c r="M186" s="723"/>
    </row>
  </sheetData>
  <mergeCells count="1">
    <mergeCell ref="A1:I1"/>
  </mergeCells>
  <pageMargins left="0.25" right="0.25" top="0.75" bottom="0.75" header="0.3" footer="0.3"/>
  <pageSetup scale="46" fitToHeight="2" orientation="portrait" r:id="rId1"/>
  <rowBreaks count="1" manualBreakCount="1">
    <brk id="7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9"/>
  <sheetViews>
    <sheetView workbookViewId="0">
      <selection sqref="A1:H1"/>
    </sheetView>
  </sheetViews>
  <sheetFormatPr defaultRowHeight="15"/>
  <cols>
    <col min="1" max="2" width="4.7109375" customWidth="1"/>
    <col min="3" max="3" width="59.85546875" customWidth="1"/>
    <col min="4" max="4" width="3.140625" customWidth="1"/>
    <col min="5" max="5" width="14.42578125" style="355" customWidth="1"/>
    <col min="6" max="6" width="15.28515625" customWidth="1"/>
    <col min="7" max="7" width="13.7109375" customWidth="1"/>
    <col min="9" max="9" width="14.42578125" customWidth="1"/>
    <col min="10" max="10" width="12.85546875" bestFit="1" customWidth="1"/>
    <col min="11" max="11" width="14" bestFit="1" customWidth="1"/>
  </cols>
  <sheetData>
    <row r="1" spans="1:8" ht="18">
      <c r="A1" s="1155" t="str">
        <f>+'ATT H-9A'!A4</f>
        <v>Potomac Electric Power Company</v>
      </c>
      <c r="B1" s="1155"/>
      <c r="C1" s="1155"/>
      <c r="D1" s="1155"/>
      <c r="E1" s="1155"/>
      <c r="F1" s="1155"/>
      <c r="G1" s="1155"/>
      <c r="H1" s="1156"/>
    </row>
    <row r="2" spans="1:8">
      <c r="A2" s="1"/>
    </row>
    <row r="3" spans="1:8" ht="15.75">
      <c r="A3" s="1157" t="s">
        <v>440</v>
      </c>
      <c r="B3" s="1158"/>
      <c r="C3" s="1158"/>
      <c r="D3" s="1158"/>
      <c r="E3" s="1158"/>
      <c r="F3" s="1156"/>
      <c r="G3" s="1156"/>
      <c r="H3" s="1156"/>
    </row>
    <row r="5" spans="1:8">
      <c r="D5" s="4"/>
    </row>
    <row r="7" spans="1:8">
      <c r="D7" s="686"/>
      <c r="E7" s="686" t="s">
        <v>441</v>
      </c>
      <c r="F7" s="686"/>
      <c r="G7" s="686" t="s">
        <v>442</v>
      </c>
      <c r="H7" s="686"/>
    </row>
    <row r="8" spans="1:8">
      <c r="A8" s="687" t="s">
        <v>443</v>
      </c>
      <c r="B8" s="687"/>
      <c r="D8" s="686"/>
      <c r="E8" s="686" t="s">
        <v>444</v>
      </c>
      <c r="F8" s="686" t="s">
        <v>445</v>
      </c>
      <c r="G8" s="686" t="s">
        <v>139</v>
      </c>
      <c r="H8" s="686"/>
    </row>
    <row r="9" spans="1:8">
      <c r="A9" s="687"/>
      <c r="B9" s="687"/>
      <c r="D9" s="686"/>
      <c r="E9" s="688"/>
      <c r="F9" s="686"/>
      <c r="G9" s="686"/>
      <c r="H9" s="686"/>
    </row>
    <row r="10" spans="1:8">
      <c r="A10" s="687"/>
      <c r="B10" s="687"/>
      <c r="D10" s="686"/>
      <c r="E10" s="688"/>
      <c r="F10" s="686"/>
      <c r="G10" s="686"/>
      <c r="H10" s="686"/>
    </row>
    <row r="11" spans="1:8">
      <c r="D11" s="686"/>
      <c r="E11" s="688"/>
      <c r="G11" s="686"/>
      <c r="H11" s="689"/>
    </row>
    <row r="12" spans="1:8">
      <c r="B12" s="687" t="s">
        <v>142</v>
      </c>
      <c r="D12" s="686"/>
      <c r="E12" s="690"/>
      <c r="F12" s="691" t="s">
        <v>446</v>
      </c>
      <c r="G12" s="686"/>
      <c r="H12" s="689"/>
    </row>
    <row r="13" spans="1:8">
      <c r="D13" s="686"/>
      <c r="E13" s="690"/>
      <c r="F13" s="686"/>
      <c r="G13" s="686"/>
      <c r="H13" s="689"/>
    </row>
    <row r="14" spans="1:8" ht="26.25" customHeight="1">
      <c r="B14">
        <v>1</v>
      </c>
      <c r="C14" s="692" t="s">
        <v>447</v>
      </c>
      <c r="D14" s="580"/>
      <c r="E14" s="693">
        <f>'Prop taxes to function'!C36</f>
        <v>11559085.448214944</v>
      </c>
      <c r="F14" s="694">
        <v>1</v>
      </c>
      <c r="G14" s="695">
        <f t="shared" ref="G14:G20" si="0">+F14*E14</f>
        <v>11559085.448214944</v>
      </c>
      <c r="H14" s="580"/>
    </row>
    <row r="15" spans="1:8" ht="12.75" customHeight="1">
      <c r="B15" s="355" t="s">
        <v>448</v>
      </c>
      <c r="C15" s="692" t="s">
        <v>449</v>
      </c>
      <c r="D15" s="580"/>
      <c r="E15" s="693">
        <f>'Prop taxes to function'!C19-'2 - Other Tax'!E14</f>
        <v>37431296.551785052</v>
      </c>
      <c r="F15" s="694">
        <v>0</v>
      </c>
      <c r="G15" s="695">
        <f t="shared" si="0"/>
        <v>0</v>
      </c>
      <c r="H15" s="580"/>
    </row>
    <row r="16" spans="1:8" ht="12.75" customHeight="1">
      <c r="B16">
        <v>2</v>
      </c>
      <c r="C16" s="696" t="s">
        <v>450</v>
      </c>
      <c r="D16" s="580"/>
      <c r="E16" s="697"/>
      <c r="F16" s="698">
        <f>+F17</f>
        <v>0.18716387973834922</v>
      </c>
      <c r="G16" s="695">
        <f t="shared" si="0"/>
        <v>0</v>
      </c>
      <c r="H16" s="580"/>
    </row>
    <row r="17" spans="2:9" ht="12.75" customHeight="1">
      <c r="B17">
        <v>3</v>
      </c>
      <c r="C17" s="696" t="s">
        <v>451</v>
      </c>
      <c r="D17" s="580"/>
      <c r="E17" s="697"/>
      <c r="F17" s="698">
        <f>+F18</f>
        <v>0.18716387973834922</v>
      </c>
      <c r="G17" s="695">
        <f t="shared" si="0"/>
        <v>0</v>
      </c>
      <c r="H17" s="580"/>
    </row>
    <row r="18" spans="2:9" ht="12.75" customHeight="1">
      <c r="B18">
        <v>4</v>
      </c>
      <c r="C18" s="696" t="s">
        <v>452</v>
      </c>
      <c r="D18" s="580"/>
      <c r="E18" s="699"/>
      <c r="F18" s="698">
        <f>+F19</f>
        <v>0.18716387973834922</v>
      </c>
      <c r="G18" s="695">
        <f t="shared" si="0"/>
        <v>0</v>
      </c>
      <c r="H18" s="580"/>
    </row>
    <row r="19" spans="2:9" ht="12.75" customHeight="1">
      <c r="B19">
        <v>5</v>
      </c>
      <c r="C19" s="696" t="s">
        <v>453</v>
      </c>
      <c r="D19" s="580"/>
      <c r="E19" s="700"/>
      <c r="F19" s="698">
        <f>+F20</f>
        <v>0.18716387973834922</v>
      </c>
      <c r="G19" s="695">
        <f t="shared" si="0"/>
        <v>0</v>
      </c>
      <c r="H19" s="580"/>
    </row>
    <row r="20" spans="2:9" ht="12.75" customHeight="1">
      <c r="C20" s="7"/>
      <c r="D20" s="580"/>
      <c r="E20" s="700"/>
      <c r="F20" s="698">
        <f>'ATT H-9A'!H32</f>
        <v>0.18716387973834922</v>
      </c>
      <c r="G20" s="695">
        <f t="shared" si="0"/>
        <v>0</v>
      </c>
      <c r="H20" s="580"/>
    </row>
    <row r="21" spans="2:9" ht="12.75" customHeight="1">
      <c r="B21" s="687" t="s">
        <v>454</v>
      </c>
      <c r="D21" s="580"/>
      <c r="E21" s="701">
        <f>SUM(E14:E20)</f>
        <v>48990382</v>
      </c>
      <c r="G21" s="701">
        <f>SUM(G14:G20)</f>
        <v>11559085.448214944</v>
      </c>
      <c r="H21" s="580"/>
      <c r="I21" s="701"/>
    </row>
    <row r="22" spans="2:9" ht="12.75" customHeight="1">
      <c r="D22" s="580"/>
      <c r="E22" s="702"/>
      <c r="F22" s="580"/>
      <c r="G22" s="580"/>
      <c r="H22" s="580"/>
    </row>
    <row r="23" spans="2:9" ht="12.75" customHeight="1">
      <c r="D23" s="580"/>
      <c r="E23" s="702"/>
      <c r="F23" s="580"/>
      <c r="G23" s="580"/>
      <c r="H23" s="580"/>
    </row>
    <row r="24" spans="2:9" ht="12.75" customHeight="1">
      <c r="B24" s="687" t="s">
        <v>455</v>
      </c>
      <c r="D24" s="580"/>
      <c r="E24" s="702"/>
      <c r="F24" s="703" t="s">
        <v>456</v>
      </c>
      <c r="G24" s="580"/>
      <c r="H24" s="580"/>
    </row>
    <row r="25" spans="2:9" ht="12.75" customHeight="1">
      <c r="B25" s="687"/>
      <c r="D25" s="580"/>
      <c r="G25" s="580"/>
      <c r="H25" s="580"/>
    </row>
    <row r="26" spans="2:9" ht="12.75" customHeight="1">
      <c r="D26" s="580"/>
      <c r="E26" s="702"/>
      <c r="F26" s="580"/>
      <c r="G26" s="580"/>
      <c r="H26" s="580"/>
    </row>
    <row r="27" spans="2:9" ht="12.75" customHeight="1">
      <c r="B27">
        <v>6</v>
      </c>
      <c r="C27" s="696" t="s">
        <v>457</v>
      </c>
      <c r="D27" s="590"/>
      <c r="E27" s="693">
        <f>6032814.85-3319.42</f>
        <v>6029495.4299999997</v>
      </c>
      <c r="F27" s="590"/>
      <c r="G27" s="590"/>
      <c r="H27" s="590"/>
    </row>
    <row r="28" spans="2:9">
      <c r="C28" s="696"/>
      <c r="E28" s="697"/>
    </row>
    <row r="29" spans="2:9">
      <c r="C29" s="7"/>
      <c r="E29" s="704"/>
    </row>
    <row r="30" spans="2:9">
      <c r="C30" s="7"/>
      <c r="E30" s="704"/>
    </row>
    <row r="31" spans="2:9">
      <c r="C31" s="7"/>
      <c r="E31" s="704"/>
    </row>
    <row r="32" spans="2:9">
      <c r="B32" s="687" t="s">
        <v>458</v>
      </c>
      <c r="E32" s="701">
        <f>SUM(E27:E31)</f>
        <v>6029495.4299999997</v>
      </c>
      <c r="F32" s="698">
        <f>'ATT H-9A'!H16</f>
        <v>0.10615912662453647</v>
      </c>
      <c r="G32" s="701">
        <f>+F32*E32</f>
        <v>640085.96883543395</v>
      </c>
    </row>
    <row r="33" spans="2:10">
      <c r="B33" s="687"/>
      <c r="C33" s="702"/>
      <c r="F33" s="5"/>
    </row>
    <row r="35" spans="2:10">
      <c r="B35" s="687" t="s">
        <v>459</v>
      </c>
      <c r="F35" s="691" t="s">
        <v>446</v>
      </c>
    </row>
    <row r="37" spans="2:10">
      <c r="B37">
        <v>7</v>
      </c>
      <c r="C37" s="705" t="s">
        <v>460</v>
      </c>
      <c r="E37" s="706">
        <v>56505.38</v>
      </c>
    </row>
    <row r="38" spans="2:10">
      <c r="C38" s="696"/>
      <c r="E38" s="697"/>
    </row>
    <row r="39" spans="2:10">
      <c r="C39" s="7"/>
      <c r="E39" s="704"/>
    </row>
    <row r="40" spans="2:10">
      <c r="C40" s="7"/>
      <c r="E40" s="704"/>
    </row>
    <row r="41" spans="2:10">
      <c r="B41" s="687" t="s">
        <v>461</v>
      </c>
      <c r="E41" s="701">
        <f>SUM(E37:E40)</f>
        <v>56505.38</v>
      </c>
      <c r="F41" s="698">
        <f>'ATT H-9A'!H32</f>
        <v>0.18716387973834922</v>
      </c>
      <c r="G41" s="701">
        <f>+F41*E41</f>
        <v>10575.766146889722</v>
      </c>
    </row>
    <row r="43" spans="2:10">
      <c r="B43" s="687" t="s">
        <v>462</v>
      </c>
      <c r="G43" s="701">
        <f>+G41+G32+G21</f>
        <v>12209747.183197267</v>
      </c>
    </row>
    <row r="44" spans="2:10">
      <c r="C44" s="707"/>
    </row>
    <row r="45" spans="2:10">
      <c r="C45" s="707"/>
    </row>
    <row r="46" spans="2:10">
      <c r="C46" s="707"/>
    </row>
    <row r="47" spans="2:10">
      <c r="C47" s="687" t="s">
        <v>463</v>
      </c>
    </row>
    <row r="48" spans="2:10">
      <c r="G48" s="708"/>
      <c r="H48" s="5"/>
      <c r="I48" s="5"/>
      <c r="J48" s="709"/>
    </row>
    <row r="49" spans="1:19">
      <c r="B49">
        <f>+B37+1</f>
        <v>8</v>
      </c>
      <c r="C49" s="696" t="s">
        <v>464</v>
      </c>
      <c r="D49" s="7"/>
      <c r="E49" s="706">
        <v>24597611.969999999</v>
      </c>
      <c r="F49" s="584"/>
      <c r="G49" s="707"/>
      <c r="H49" s="707"/>
      <c r="I49" s="5"/>
      <c r="J49" s="709"/>
      <c r="K49" s="5"/>
      <c r="L49" s="5"/>
      <c r="M49" s="5"/>
      <c r="N49" s="5"/>
      <c r="O49" s="5"/>
      <c r="P49" s="5"/>
      <c r="Q49" s="5"/>
      <c r="R49" s="5"/>
      <c r="S49" s="5"/>
    </row>
    <row r="50" spans="1:19">
      <c r="B50">
        <f t="shared" ref="B50:B64" si="1">+B49+1</f>
        <v>9</v>
      </c>
      <c r="C50" s="696" t="s">
        <v>465</v>
      </c>
      <c r="D50" s="7"/>
      <c r="E50" s="706">
        <v>1987081.1700000002</v>
      </c>
      <c r="F50" s="584"/>
      <c r="G50" s="707"/>
      <c r="H50" s="707"/>
      <c r="I50" s="5"/>
      <c r="J50" s="709"/>
      <c r="K50" s="5"/>
      <c r="L50" s="5"/>
      <c r="M50" s="5"/>
      <c r="N50" s="5"/>
      <c r="O50" s="5"/>
      <c r="P50" s="5"/>
      <c r="Q50" s="5"/>
      <c r="R50" s="5"/>
      <c r="S50" s="5"/>
    </row>
    <row r="51" spans="1:19">
      <c r="B51">
        <f t="shared" si="1"/>
        <v>10</v>
      </c>
      <c r="C51" s="692" t="s">
        <v>466</v>
      </c>
      <c r="D51" s="7"/>
      <c r="E51" s="706">
        <v>8421695.7499999981</v>
      </c>
      <c r="G51" s="707"/>
      <c r="H51" s="707"/>
      <c r="I51" s="5"/>
      <c r="J51" s="709"/>
      <c r="K51" s="5"/>
      <c r="L51" s="5"/>
      <c r="M51" s="5"/>
      <c r="N51" s="5"/>
      <c r="O51" s="5"/>
      <c r="P51" s="5"/>
      <c r="Q51" s="5"/>
      <c r="R51" s="5"/>
      <c r="S51" s="5"/>
    </row>
    <row r="52" spans="1:19">
      <c r="B52">
        <f t="shared" si="1"/>
        <v>11</v>
      </c>
      <c r="C52" s="696" t="s">
        <v>467</v>
      </c>
      <c r="D52" s="7"/>
      <c r="E52" s="706">
        <v>132582732.78999999</v>
      </c>
      <c r="G52" s="707"/>
      <c r="H52" s="707"/>
      <c r="I52" s="5"/>
      <c r="J52" s="709"/>
      <c r="K52" s="5"/>
      <c r="L52" s="5"/>
      <c r="M52" s="5"/>
      <c r="N52" s="5"/>
      <c r="O52" s="5"/>
      <c r="P52" s="5"/>
      <c r="Q52" s="5"/>
      <c r="R52" s="5"/>
      <c r="S52" s="5"/>
    </row>
    <row r="53" spans="1:19">
      <c r="B53">
        <f>+B52+1</f>
        <v>12</v>
      </c>
      <c r="C53" s="692" t="s">
        <v>468</v>
      </c>
      <c r="D53" s="7"/>
      <c r="E53" s="706">
        <v>2490650.6999999997</v>
      </c>
    </row>
    <row r="54" spans="1:19">
      <c r="B54">
        <f t="shared" si="1"/>
        <v>13</v>
      </c>
      <c r="C54" s="692" t="s">
        <v>469</v>
      </c>
      <c r="D54" s="7"/>
      <c r="E54" s="706">
        <v>3282847.08</v>
      </c>
    </row>
    <row r="55" spans="1:19">
      <c r="B55">
        <f t="shared" si="1"/>
        <v>14</v>
      </c>
      <c r="C55" s="692" t="s">
        <v>470</v>
      </c>
      <c r="D55" s="7"/>
      <c r="E55" s="706">
        <v>720978.12000000011</v>
      </c>
    </row>
    <row r="56" spans="1:19">
      <c r="A56" s="5"/>
      <c r="B56">
        <f t="shared" si="1"/>
        <v>15</v>
      </c>
      <c r="C56" s="696" t="s">
        <v>471</v>
      </c>
      <c r="D56" s="692"/>
      <c r="E56" s="706">
        <v>8281765.3000000026</v>
      </c>
    </row>
    <row r="57" spans="1:19">
      <c r="A57" s="5"/>
      <c r="B57">
        <f t="shared" si="1"/>
        <v>16</v>
      </c>
      <c r="C57" s="696" t="s">
        <v>472</v>
      </c>
      <c r="D57" s="692"/>
      <c r="E57" s="706">
        <v>82463981.419999987</v>
      </c>
    </row>
    <row r="58" spans="1:19">
      <c r="A58" s="5"/>
      <c r="B58">
        <f t="shared" si="1"/>
        <v>17</v>
      </c>
      <c r="C58" s="696" t="s">
        <v>473</v>
      </c>
      <c r="D58" s="7"/>
      <c r="E58" s="706">
        <v>7581579.1600000001</v>
      </c>
    </row>
    <row r="59" spans="1:19">
      <c r="A59" s="5"/>
      <c r="B59">
        <f t="shared" si="1"/>
        <v>18</v>
      </c>
      <c r="C59" s="696" t="s">
        <v>474</v>
      </c>
      <c r="D59" s="7"/>
      <c r="E59" s="706">
        <v>124928.92</v>
      </c>
    </row>
    <row r="60" spans="1:19">
      <c r="A60" s="5"/>
      <c r="B60">
        <f t="shared" si="1"/>
        <v>19</v>
      </c>
      <c r="C60" s="696" t="s">
        <v>475</v>
      </c>
      <c r="D60" s="7"/>
      <c r="E60" s="706">
        <v>16500</v>
      </c>
    </row>
    <row r="61" spans="1:19">
      <c r="A61" s="5"/>
      <c r="B61">
        <f t="shared" si="1"/>
        <v>20</v>
      </c>
      <c r="C61" s="696" t="s">
        <v>476</v>
      </c>
      <c r="D61" s="7"/>
      <c r="E61" s="706">
        <v>22764887.82</v>
      </c>
    </row>
    <row r="62" spans="1:19">
      <c r="A62" s="5"/>
      <c r="B62">
        <f t="shared" si="1"/>
        <v>21</v>
      </c>
      <c r="C62" s="696" t="s">
        <v>477</v>
      </c>
      <c r="D62" s="7"/>
      <c r="E62" s="706">
        <v>18602973.170000002</v>
      </c>
    </row>
    <row r="63" spans="1:19">
      <c r="A63" s="5"/>
      <c r="B63">
        <f t="shared" si="1"/>
        <v>22</v>
      </c>
      <c r="C63" s="696" t="s">
        <v>478</v>
      </c>
      <c r="D63" s="7"/>
      <c r="E63" s="706">
        <v>551388.19999999984</v>
      </c>
    </row>
    <row r="64" spans="1:19">
      <c r="A64" s="5"/>
      <c r="B64">
        <f t="shared" si="1"/>
        <v>23</v>
      </c>
      <c r="C64" s="696" t="s">
        <v>479</v>
      </c>
      <c r="D64" s="7"/>
      <c r="E64" s="706">
        <v>333254.97000000003</v>
      </c>
    </row>
    <row r="65" spans="2:8">
      <c r="B65" s="5">
        <v>24.1</v>
      </c>
      <c r="C65" s="696" t="s">
        <v>480</v>
      </c>
      <c r="D65" s="7"/>
      <c r="E65" s="706">
        <v>3319.42</v>
      </c>
      <c r="G65" s="707"/>
    </row>
    <row r="66" spans="2:8">
      <c r="B66" s="5">
        <v>25</v>
      </c>
      <c r="C66" s="710" t="s">
        <v>481</v>
      </c>
      <c r="D66" s="7"/>
      <c r="E66" s="697">
        <f>SUM(E41:E65)+E32+E21</f>
        <v>369884558.7700001</v>
      </c>
      <c r="G66" s="707"/>
    </row>
    <row r="67" spans="2:8">
      <c r="B67" s="5"/>
      <c r="C67" s="711"/>
      <c r="D67" s="7"/>
      <c r="E67" s="704"/>
    </row>
    <row r="68" spans="2:8">
      <c r="B68" s="5">
        <f>+B66+1</f>
        <v>26</v>
      </c>
      <c r="C68" s="711" t="s">
        <v>482</v>
      </c>
      <c r="D68" s="712"/>
      <c r="E68" s="713">
        <v>369884559</v>
      </c>
      <c r="F68" s="714"/>
      <c r="G68" s="714"/>
      <c r="H68" s="715"/>
    </row>
    <row r="69" spans="2:8">
      <c r="B69" s="5"/>
      <c r="C69" s="716"/>
      <c r="D69" s="716"/>
      <c r="E69" s="717"/>
      <c r="F69" s="714"/>
      <c r="G69" s="714"/>
      <c r="H69" s="715"/>
    </row>
    <row r="70" spans="2:8">
      <c r="B70">
        <f>+B68+1</f>
        <v>27</v>
      </c>
      <c r="C70" s="716" t="s">
        <v>483</v>
      </c>
      <c r="D70" s="718"/>
      <c r="E70" s="719">
        <f>+E66-E68</f>
        <v>-0.22999989986419678</v>
      </c>
      <c r="F70" s="714"/>
      <c r="G70" s="714"/>
      <c r="H70" s="715"/>
    </row>
    <row r="71" spans="2:8">
      <c r="C71" s="716"/>
      <c r="D71" s="718"/>
      <c r="E71" s="719"/>
      <c r="F71" s="714"/>
      <c r="G71" s="714"/>
      <c r="H71" s="715"/>
    </row>
    <row r="72" spans="2:8">
      <c r="B72" s="5" t="s">
        <v>484</v>
      </c>
      <c r="C72" s="603"/>
      <c r="D72" s="5"/>
      <c r="E72" s="720"/>
      <c r="F72" s="584"/>
      <c r="G72" s="584"/>
      <c r="H72" s="584"/>
    </row>
    <row r="73" spans="2:8">
      <c r="B73" s="5" t="s">
        <v>9</v>
      </c>
      <c r="C73" s="603" t="s">
        <v>485</v>
      </c>
      <c r="D73" s="5"/>
      <c r="E73" s="720"/>
      <c r="F73" s="584"/>
      <c r="G73" s="584"/>
      <c r="H73" s="584"/>
    </row>
    <row r="74" spans="2:8">
      <c r="B74" s="5"/>
      <c r="C74" s="721" t="s">
        <v>486</v>
      </c>
      <c r="D74" s="5"/>
      <c r="E74" s="720"/>
      <c r="F74" s="5"/>
      <c r="G74" s="584"/>
      <c r="H74" s="584"/>
    </row>
    <row r="75" spans="2:8">
      <c r="B75" s="5" t="s">
        <v>10</v>
      </c>
      <c r="C75" s="603" t="s">
        <v>487</v>
      </c>
      <c r="D75" s="5"/>
      <c r="E75" s="720"/>
      <c r="F75" s="5"/>
      <c r="G75" s="584"/>
      <c r="H75" s="584"/>
    </row>
    <row r="76" spans="2:8">
      <c r="B76" s="5"/>
      <c r="C76" s="721" t="s">
        <v>486</v>
      </c>
      <c r="D76" s="5"/>
      <c r="E76" s="720"/>
      <c r="F76" s="5"/>
      <c r="G76" s="584"/>
      <c r="H76" s="584"/>
    </row>
    <row r="77" spans="2:8">
      <c r="B77" s="5" t="s">
        <v>11</v>
      </c>
      <c r="C77" s="603" t="s">
        <v>488</v>
      </c>
      <c r="D77" s="5"/>
      <c r="E77" s="720"/>
      <c r="F77" s="5"/>
      <c r="G77" s="584"/>
      <c r="H77" s="584"/>
    </row>
    <row r="78" spans="2:8">
      <c r="B78" s="5" t="s">
        <v>14</v>
      </c>
      <c r="C78" s="721" t="s">
        <v>489</v>
      </c>
      <c r="D78" s="5"/>
      <c r="E78" s="720"/>
      <c r="F78" s="5"/>
      <c r="G78" s="584"/>
      <c r="H78" s="584"/>
    </row>
    <row r="79" spans="2:8">
      <c r="B79" s="5"/>
      <c r="C79" s="603" t="s">
        <v>490</v>
      </c>
      <c r="D79" s="5"/>
      <c r="E79" s="720"/>
      <c r="F79" s="5"/>
      <c r="G79" s="5"/>
      <c r="H79" s="5"/>
    </row>
    <row r="80" spans="2:8">
      <c r="B80" s="5"/>
      <c r="C80" s="5" t="s">
        <v>491</v>
      </c>
    </row>
    <row r="81" spans="2:3">
      <c r="B81" s="5" t="s">
        <v>186</v>
      </c>
      <c r="C81" s="603" t="s">
        <v>492</v>
      </c>
    </row>
    <row r="309" spans="3:3" ht="15.75">
      <c r="C309" s="8"/>
    </row>
  </sheetData>
  <mergeCells count="2">
    <mergeCell ref="A1:H1"/>
    <mergeCell ref="A3:H3"/>
  </mergeCells>
  <pageMargins left="0.75" right="0.75" top="1" bottom="1" header="0.5" footer="0.5"/>
  <pageSetup scale="5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1"/>
  <sheetViews>
    <sheetView workbookViewId="0"/>
  </sheetViews>
  <sheetFormatPr defaultRowHeight="12.75"/>
  <cols>
    <col min="1" max="1" width="33.7109375" style="648" customWidth="1"/>
    <col min="2" max="2" width="15" style="648" hidden="1" customWidth="1"/>
    <col min="3" max="3" width="16.42578125" style="648" customWidth="1"/>
    <col min="4" max="4" width="16" style="648" bestFit="1" customWidth="1"/>
    <col min="5" max="5" width="27.7109375" style="648" customWidth="1"/>
    <col min="6" max="6" width="14.85546875" style="648" customWidth="1"/>
    <col min="7" max="254" width="9.140625" style="648"/>
    <col min="255" max="255" width="33.7109375" style="648" customWidth="1"/>
    <col min="256" max="256" width="0" style="648" hidden="1" customWidth="1"/>
    <col min="257" max="257" width="16.42578125" style="648" customWidth="1"/>
    <col min="258" max="259" width="0" style="648" hidden="1" customWidth="1"/>
    <col min="260" max="260" width="16" style="648" bestFit="1" customWidth="1"/>
    <col min="261" max="261" width="27.7109375" style="648" customWidth="1"/>
    <col min="262" max="262" width="14.85546875" style="648" customWidth="1"/>
    <col min="263" max="510" width="9.140625" style="648"/>
    <col min="511" max="511" width="33.7109375" style="648" customWidth="1"/>
    <col min="512" max="512" width="0" style="648" hidden="1" customWidth="1"/>
    <col min="513" max="513" width="16.42578125" style="648" customWidth="1"/>
    <col min="514" max="515" width="0" style="648" hidden="1" customWidth="1"/>
    <col min="516" max="516" width="16" style="648" bestFit="1" customWidth="1"/>
    <col min="517" max="517" width="27.7109375" style="648" customWidth="1"/>
    <col min="518" max="518" width="14.85546875" style="648" customWidth="1"/>
    <col min="519" max="766" width="9.140625" style="648"/>
    <col min="767" max="767" width="33.7109375" style="648" customWidth="1"/>
    <col min="768" max="768" width="0" style="648" hidden="1" customWidth="1"/>
    <col min="769" max="769" width="16.42578125" style="648" customWidth="1"/>
    <col min="770" max="771" width="0" style="648" hidden="1" customWidth="1"/>
    <col min="772" max="772" width="16" style="648" bestFit="1" customWidth="1"/>
    <col min="773" max="773" width="27.7109375" style="648" customWidth="1"/>
    <col min="774" max="774" width="14.85546875" style="648" customWidth="1"/>
    <col min="775" max="1022" width="9.140625" style="648"/>
    <col min="1023" max="1023" width="33.7109375" style="648" customWidth="1"/>
    <col min="1024" max="1024" width="0" style="648" hidden="1" customWidth="1"/>
    <col min="1025" max="1025" width="16.42578125" style="648" customWidth="1"/>
    <col min="1026" max="1027" width="0" style="648" hidden="1" customWidth="1"/>
    <col min="1028" max="1028" width="16" style="648" bestFit="1" customWidth="1"/>
    <col min="1029" max="1029" width="27.7109375" style="648" customWidth="1"/>
    <col min="1030" max="1030" width="14.85546875" style="648" customWidth="1"/>
    <col min="1031" max="1278" width="9.140625" style="648"/>
    <col min="1279" max="1279" width="33.7109375" style="648" customWidth="1"/>
    <col min="1280" max="1280" width="0" style="648" hidden="1" customWidth="1"/>
    <col min="1281" max="1281" width="16.42578125" style="648" customWidth="1"/>
    <col min="1282" max="1283" width="0" style="648" hidden="1" customWidth="1"/>
    <col min="1284" max="1284" width="16" style="648" bestFit="1" customWidth="1"/>
    <col min="1285" max="1285" width="27.7109375" style="648" customWidth="1"/>
    <col min="1286" max="1286" width="14.85546875" style="648" customWidth="1"/>
    <col min="1287" max="1534" width="9.140625" style="648"/>
    <col min="1535" max="1535" width="33.7109375" style="648" customWidth="1"/>
    <col min="1536" max="1536" width="0" style="648" hidden="1" customWidth="1"/>
    <col min="1537" max="1537" width="16.42578125" style="648" customWidth="1"/>
    <col min="1538" max="1539" width="0" style="648" hidden="1" customWidth="1"/>
    <col min="1540" max="1540" width="16" style="648" bestFit="1" customWidth="1"/>
    <col min="1541" max="1541" width="27.7109375" style="648" customWidth="1"/>
    <col min="1542" max="1542" width="14.85546875" style="648" customWidth="1"/>
    <col min="1543" max="1790" width="9.140625" style="648"/>
    <col min="1791" max="1791" width="33.7109375" style="648" customWidth="1"/>
    <col min="1792" max="1792" width="0" style="648" hidden="1" customWidth="1"/>
    <col min="1793" max="1793" width="16.42578125" style="648" customWidth="1"/>
    <col min="1794" max="1795" width="0" style="648" hidden="1" customWidth="1"/>
    <col min="1796" max="1796" width="16" style="648" bestFit="1" customWidth="1"/>
    <col min="1797" max="1797" width="27.7109375" style="648" customWidth="1"/>
    <col min="1798" max="1798" width="14.85546875" style="648" customWidth="1"/>
    <col min="1799" max="2046" width="9.140625" style="648"/>
    <col min="2047" max="2047" width="33.7109375" style="648" customWidth="1"/>
    <col min="2048" max="2048" width="0" style="648" hidden="1" customWidth="1"/>
    <col min="2049" max="2049" width="16.42578125" style="648" customWidth="1"/>
    <col min="2050" max="2051" width="0" style="648" hidden="1" customWidth="1"/>
    <col min="2052" max="2052" width="16" style="648" bestFit="1" customWidth="1"/>
    <col min="2053" max="2053" width="27.7109375" style="648" customWidth="1"/>
    <col min="2054" max="2054" width="14.85546875" style="648" customWidth="1"/>
    <col min="2055" max="2302" width="9.140625" style="648"/>
    <col min="2303" max="2303" width="33.7109375" style="648" customWidth="1"/>
    <col min="2304" max="2304" width="0" style="648" hidden="1" customWidth="1"/>
    <col min="2305" max="2305" width="16.42578125" style="648" customWidth="1"/>
    <col min="2306" max="2307" width="0" style="648" hidden="1" customWidth="1"/>
    <col min="2308" max="2308" width="16" style="648" bestFit="1" customWidth="1"/>
    <col min="2309" max="2309" width="27.7109375" style="648" customWidth="1"/>
    <col min="2310" max="2310" width="14.85546875" style="648" customWidth="1"/>
    <col min="2311" max="2558" width="9.140625" style="648"/>
    <col min="2559" max="2559" width="33.7109375" style="648" customWidth="1"/>
    <col min="2560" max="2560" width="0" style="648" hidden="1" customWidth="1"/>
    <col min="2561" max="2561" width="16.42578125" style="648" customWidth="1"/>
    <col min="2562" max="2563" width="0" style="648" hidden="1" customWidth="1"/>
    <col min="2564" max="2564" width="16" style="648" bestFit="1" customWidth="1"/>
    <col min="2565" max="2565" width="27.7109375" style="648" customWidth="1"/>
    <col min="2566" max="2566" width="14.85546875" style="648" customWidth="1"/>
    <col min="2567" max="2814" width="9.140625" style="648"/>
    <col min="2815" max="2815" width="33.7109375" style="648" customWidth="1"/>
    <col min="2816" max="2816" width="0" style="648" hidden="1" customWidth="1"/>
    <col min="2817" max="2817" width="16.42578125" style="648" customWidth="1"/>
    <col min="2818" max="2819" width="0" style="648" hidden="1" customWidth="1"/>
    <col min="2820" max="2820" width="16" style="648" bestFit="1" customWidth="1"/>
    <col min="2821" max="2821" width="27.7109375" style="648" customWidth="1"/>
    <col min="2822" max="2822" width="14.85546875" style="648" customWidth="1"/>
    <col min="2823" max="3070" width="9.140625" style="648"/>
    <col min="3071" max="3071" width="33.7109375" style="648" customWidth="1"/>
    <col min="3072" max="3072" width="0" style="648" hidden="1" customWidth="1"/>
    <col min="3073" max="3073" width="16.42578125" style="648" customWidth="1"/>
    <col min="3074" max="3075" width="0" style="648" hidden="1" customWidth="1"/>
    <col min="3076" max="3076" width="16" style="648" bestFit="1" customWidth="1"/>
    <col min="3077" max="3077" width="27.7109375" style="648" customWidth="1"/>
    <col min="3078" max="3078" width="14.85546875" style="648" customWidth="1"/>
    <col min="3079" max="3326" width="9.140625" style="648"/>
    <col min="3327" max="3327" width="33.7109375" style="648" customWidth="1"/>
    <col min="3328" max="3328" width="0" style="648" hidden="1" customWidth="1"/>
    <col min="3329" max="3329" width="16.42578125" style="648" customWidth="1"/>
    <col min="3330" max="3331" width="0" style="648" hidden="1" customWidth="1"/>
    <col min="3332" max="3332" width="16" style="648" bestFit="1" customWidth="1"/>
    <col min="3333" max="3333" width="27.7109375" style="648" customWidth="1"/>
    <col min="3334" max="3334" width="14.85546875" style="648" customWidth="1"/>
    <col min="3335" max="3582" width="9.140625" style="648"/>
    <col min="3583" max="3583" width="33.7109375" style="648" customWidth="1"/>
    <col min="3584" max="3584" width="0" style="648" hidden="1" customWidth="1"/>
    <col min="3585" max="3585" width="16.42578125" style="648" customWidth="1"/>
    <col min="3586" max="3587" width="0" style="648" hidden="1" customWidth="1"/>
    <col min="3588" max="3588" width="16" style="648" bestFit="1" customWidth="1"/>
    <col min="3589" max="3589" width="27.7109375" style="648" customWidth="1"/>
    <col min="3590" max="3590" width="14.85546875" style="648" customWidth="1"/>
    <col min="3591" max="3838" width="9.140625" style="648"/>
    <col min="3839" max="3839" width="33.7109375" style="648" customWidth="1"/>
    <col min="3840" max="3840" width="0" style="648" hidden="1" customWidth="1"/>
    <col min="3841" max="3841" width="16.42578125" style="648" customWidth="1"/>
    <col min="3842" max="3843" width="0" style="648" hidden="1" customWidth="1"/>
    <col min="3844" max="3844" width="16" style="648" bestFit="1" customWidth="1"/>
    <col min="3845" max="3845" width="27.7109375" style="648" customWidth="1"/>
    <col min="3846" max="3846" width="14.85546875" style="648" customWidth="1"/>
    <col min="3847" max="4094" width="9.140625" style="648"/>
    <col min="4095" max="4095" width="33.7109375" style="648" customWidth="1"/>
    <col min="4096" max="4096" width="0" style="648" hidden="1" customWidth="1"/>
    <col min="4097" max="4097" width="16.42578125" style="648" customWidth="1"/>
    <col min="4098" max="4099" width="0" style="648" hidden="1" customWidth="1"/>
    <col min="4100" max="4100" width="16" style="648" bestFit="1" customWidth="1"/>
    <col min="4101" max="4101" width="27.7109375" style="648" customWidth="1"/>
    <col min="4102" max="4102" width="14.85546875" style="648" customWidth="1"/>
    <col min="4103" max="4350" width="9.140625" style="648"/>
    <col min="4351" max="4351" width="33.7109375" style="648" customWidth="1"/>
    <col min="4352" max="4352" width="0" style="648" hidden="1" customWidth="1"/>
    <col min="4353" max="4353" width="16.42578125" style="648" customWidth="1"/>
    <col min="4354" max="4355" width="0" style="648" hidden="1" customWidth="1"/>
    <col min="4356" max="4356" width="16" style="648" bestFit="1" customWidth="1"/>
    <col min="4357" max="4357" width="27.7109375" style="648" customWidth="1"/>
    <col min="4358" max="4358" width="14.85546875" style="648" customWidth="1"/>
    <col min="4359" max="4606" width="9.140625" style="648"/>
    <col min="4607" max="4607" width="33.7109375" style="648" customWidth="1"/>
    <col min="4608" max="4608" width="0" style="648" hidden="1" customWidth="1"/>
    <col min="4609" max="4609" width="16.42578125" style="648" customWidth="1"/>
    <col min="4610" max="4611" width="0" style="648" hidden="1" customWidth="1"/>
    <col min="4612" max="4612" width="16" style="648" bestFit="1" customWidth="1"/>
    <col min="4613" max="4613" width="27.7109375" style="648" customWidth="1"/>
    <col min="4614" max="4614" width="14.85546875" style="648" customWidth="1"/>
    <col min="4615" max="4862" width="9.140625" style="648"/>
    <col min="4863" max="4863" width="33.7109375" style="648" customWidth="1"/>
    <col min="4864" max="4864" width="0" style="648" hidden="1" customWidth="1"/>
    <col min="4865" max="4865" width="16.42578125" style="648" customWidth="1"/>
    <col min="4866" max="4867" width="0" style="648" hidden="1" customWidth="1"/>
    <col min="4868" max="4868" width="16" style="648" bestFit="1" customWidth="1"/>
    <col min="4869" max="4869" width="27.7109375" style="648" customWidth="1"/>
    <col min="4870" max="4870" width="14.85546875" style="648" customWidth="1"/>
    <col min="4871" max="5118" width="9.140625" style="648"/>
    <col min="5119" max="5119" width="33.7109375" style="648" customWidth="1"/>
    <col min="5120" max="5120" width="0" style="648" hidden="1" customWidth="1"/>
    <col min="5121" max="5121" width="16.42578125" style="648" customWidth="1"/>
    <col min="5122" max="5123" width="0" style="648" hidden="1" customWidth="1"/>
    <col min="5124" max="5124" width="16" style="648" bestFit="1" customWidth="1"/>
    <col min="5125" max="5125" width="27.7109375" style="648" customWidth="1"/>
    <col min="5126" max="5126" width="14.85546875" style="648" customWidth="1"/>
    <col min="5127" max="5374" width="9.140625" style="648"/>
    <col min="5375" max="5375" width="33.7109375" style="648" customWidth="1"/>
    <col min="5376" max="5376" width="0" style="648" hidden="1" customWidth="1"/>
    <col min="5377" max="5377" width="16.42578125" style="648" customWidth="1"/>
    <col min="5378" max="5379" width="0" style="648" hidden="1" customWidth="1"/>
    <col min="5380" max="5380" width="16" style="648" bestFit="1" customWidth="1"/>
    <col min="5381" max="5381" width="27.7109375" style="648" customWidth="1"/>
    <col min="5382" max="5382" width="14.85546875" style="648" customWidth="1"/>
    <col min="5383" max="5630" width="9.140625" style="648"/>
    <col min="5631" max="5631" width="33.7109375" style="648" customWidth="1"/>
    <col min="5632" max="5632" width="0" style="648" hidden="1" customWidth="1"/>
    <col min="5633" max="5633" width="16.42578125" style="648" customWidth="1"/>
    <col min="5634" max="5635" width="0" style="648" hidden="1" customWidth="1"/>
    <col min="5636" max="5636" width="16" style="648" bestFit="1" customWidth="1"/>
    <col min="5637" max="5637" width="27.7109375" style="648" customWidth="1"/>
    <col min="5638" max="5638" width="14.85546875" style="648" customWidth="1"/>
    <col min="5639" max="5886" width="9.140625" style="648"/>
    <col min="5887" max="5887" width="33.7109375" style="648" customWidth="1"/>
    <col min="5888" max="5888" width="0" style="648" hidden="1" customWidth="1"/>
    <col min="5889" max="5889" width="16.42578125" style="648" customWidth="1"/>
    <col min="5890" max="5891" width="0" style="648" hidden="1" customWidth="1"/>
    <col min="5892" max="5892" width="16" style="648" bestFit="1" customWidth="1"/>
    <col min="5893" max="5893" width="27.7109375" style="648" customWidth="1"/>
    <col min="5894" max="5894" width="14.85546875" style="648" customWidth="1"/>
    <col min="5895" max="6142" width="9.140625" style="648"/>
    <col min="6143" max="6143" width="33.7109375" style="648" customWidth="1"/>
    <col min="6144" max="6144" width="0" style="648" hidden="1" customWidth="1"/>
    <col min="6145" max="6145" width="16.42578125" style="648" customWidth="1"/>
    <col min="6146" max="6147" width="0" style="648" hidden="1" customWidth="1"/>
    <col min="6148" max="6148" width="16" style="648" bestFit="1" customWidth="1"/>
    <col min="6149" max="6149" width="27.7109375" style="648" customWidth="1"/>
    <col min="6150" max="6150" width="14.85546875" style="648" customWidth="1"/>
    <col min="6151" max="6398" width="9.140625" style="648"/>
    <col min="6399" max="6399" width="33.7109375" style="648" customWidth="1"/>
    <col min="6400" max="6400" width="0" style="648" hidden="1" customWidth="1"/>
    <col min="6401" max="6401" width="16.42578125" style="648" customWidth="1"/>
    <col min="6402" max="6403" width="0" style="648" hidden="1" customWidth="1"/>
    <col min="6404" max="6404" width="16" style="648" bestFit="1" customWidth="1"/>
    <col min="6405" max="6405" width="27.7109375" style="648" customWidth="1"/>
    <col min="6406" max="6406" width="14.85546875" style="648" customWidth="1"/>
    <col min="6407" max="6654" width="9.140625" style="648"/>
    <col min="6655" max="6655" width="33.7109375" style="648" customWidth="1"/>
    <col min="6656" max="6656" width="0" style="648" hidden="1" customWidth="1"/>
    <col min="6657" max="6657" width="16.42578125" style="648" customWidth="1"/>
    <col min="6658" max="6659" width="0" style="648" hidden="1" customWidth="1"/>
    <col min="6660" max="6660" width="16" style="648" bestFit="1" customWidth="1"/>
    <col min="6661" max="6661" width="27.7109375" style="648" customWidth="1"/>
    <col min="6662" max="6662" width="14.85546875" style="648" customWidth="1"/>
    <col min="6663" max="6910" width="9.140625" style="648"/>
    <col min="6911" max="6911" width="33.7109375" style="648" customWidth="1"/>
    <col min="6912" max="6912" width="0" style="648" hidden="1" customWidth="1"/>
    <col min="6913" max="6913" width="16.42578125" style="648" customWidth="1"/>
    <col min="6914" max="6915" width="0" style="648" hidden="1" customWidth="1"/>
    <col min="6916" max="6916" width="16" style="648" bestFit="1" customWidth="1"/>
    <col min="6917" max="6917" width="27.7109375" style="648" customWidth="1"/>
    <col min="6918" max="6918" width="14.85546875" style="648" customWidth="1"/>
    <col min="6919" max="7166" width="9.140625" style="648"/>
    <col min="7167" max="7167" width="33.7109375" style="648" customWidth="1"/>
    <col min="7168" max="7168" width="0" style="648" hidden="1" customWidth="1"/>
    <col min="7169" max="7169" width="16.42578125" style="648" customWidth="1"/>
    <col min="7170" max="7171" width="0" style="648" hidden="1" customWidth="1"/>
    <col min="7172" max="7172" width="16" style="648" bestFit="1" customWidth="1"/>
    <col min="7173" max="7173" width="27.7109375" style="648" customWidth="1"/>
    <col min="7174" max="7174" width="14.85546875" style="648" customWidth="1"/>
    <col min="7175" max="7422" width="9.140625" style="648"/>
    <col min="7423" max="7423" width="33.7109375" style="648" customWidth="1"/>
    <col min="7424" max="7424" width="0" style="648" hidden="1" customWidth="1"/>
    <col min="7425" max="7425" width="16.42578125" style="648" customWidth="1"/>
    <col min="7426" max="7427" width="0" style="648" hidden="1" customWidth="1"/>
    <col min="7428" max="7428" width="16" style="648" bestFit="1" customWidth="1"/>
    <col min="7429" max="7429" width="27.7109375" style="648" customWidth="1"/>
    <col min="7430" max="7430" width="14.85546875" style="648" customWidth="1"/>
    <col min="7431" max="7678" width="9.140625" style="648"/>
    <col min="7679" max="7679" width="33.7109375" style="648" customWidth="1"/>
    <col min="7680" max="7680" width="0" style="648" hidden="1" customWidth="1"/>
    <col min="7681" max="7681" width="16.42578125" style="648" customWidth="1"/>
    <col min="7682" max="7683" width="0" style="648" hidden="1" customWidth="1"/>
    <col min="7684" max="7684" width="16" style="648" bestFit="1" customWidth="1"/>
    <col min="7685" max="7685" width="27.7109375" style="648" customWidth="1"/>
    <col min="7686" max="7686" width="14.85546875" style="648" customWidth="1"/>
    <col min="7687" max="7934" width="9.140625" style="648"/>
    <col min="7935" max="7935" width="33.7109375" style="648" customWidth="1"/>
    <col min="7936" max="7936" width="0" style="648" hidden="1" customWidth="1"/>
    <col min="7937" max="7937" width="16.42578125" style="648" customWidth="1"/>
    <col min="7938" max="7939" width="0" style="648" hidden="1" customWidth="1"/>
    <col min="7940" max="7940" width="16" style="648" bestFit="1" customWidth="1"/>
    <col min="7941" max="7941" width="27.7109375" style="648" customWidth="1"/>
    <col min="7942" max="7942" width="14.85546875" style="648" customWidth="1"/>
    <col min="7943" max="8190" width="9.140625" style="648"/>
    <col min="8191" max="8191" width="33.7109375" style="648" customWidth="1"/>
    <col min="8192" max="8192" width="0" style="648" hidden="1" customWidth="1"/>
    <col min="8193" max="8193" width="16.42578125" style="648" customWidth="1"/>
    <col min="8194" max="8195" width="0" style="648" hidden="1" customWidth="1"/>
    <col min="8196" max="8196" width="16" style="648" bestFit="1" customWidth="1"/>
    <col min="8197" max="8197" width="27.7109375" style="648" customWidth="1"/>
    <col min="8198" max="8198" width="14.85546875" style="648" customWidth="1"/>
    <col min="8199" max="8446" width="9.140625" style="648"/>
    <col min="8447" max="8447" width="33.7109375" style="648" customWidth="1"/>
    <col min="8448" max="8448" width="0" style="648" hidden="1" customWidth="1"/>
    <col min="8449" max="8449" width="16.42578125" style="648" customWidth="1"/>
    <col min="8450" max="8451" width="0" style="648" hidden="1" customWidth="1"/>
    <col min="8452" max="8452" width="16" style="648" bestFit="1" customWidth="1"/>
    <col min="8453" max="8453" width="27.7109375" style="648" customWidth="1"/>
    <col min="8454" max="8454" width="14.85546875" style="648" customWidth="1"/>
    <col min="8455" max="8702" width="9.140625" style="648"/>
    <col min="8703" max="8703" width="33.7109375" style="648" customWidth="1"/>
    <col min="8704" max="8704" width="0" style="648" hidden="1" customWidth="1"/>
    <col min="8705" max="8705" width="16.42578125" style="648" customWidth="1"/>
    <col min="8706" max="8707" width="0" style="648" hidden="1" customWidth="1"/>
    <col min="8708" max="8708" width="16" style="648" bestFit="1" customWidth="1"/>
    <col min="8709" max="8709" width="27.7109375" style="648" customWidth="1"/>
    <col min="8710" max="8710" width="14.85546875" style="648" customWidth="1"/>
    <col min="8711" max="8958" width="9.140625" style="648"/>
    <col min="8959" max="8959" width="33.7109375" style="648" customWidth="1"/>
    <col min="8960" max="8960" width="0" style="648" hidden="1" customWidth="1"/>
    <col min="8961" max="8961" width="16.42578125" style="648" customWidth="1"/>
    <col min="8962" max="8963" width="0" style="648" hidden="1" customWidth="1"/>
    <col min="8964" max="8964" width="16" style="648" bestFit="1" customWidth="1"/>
    <col min="8965" max="8965" width="27.7109375" style="648" customWidth="1"/>
    <col min="8966" max="8966" width="14.85546875" style="648" customWidth="1"/>
    <col min="8967" max="9214" width="9.140625" style="648"/>
    <col min="9215" max="9215" width="33.7109375" style="648" customWidth="1"/>
    <col min="9216" max="9216" width="0" style="648" hidden="1" customWidth="1"/>
    <col min="9217" max="9217" width="16.42578125" style="648" customWidth="1"/>
    <col min="9218" max="9219" width="0" style="648" hidden="1" customWidth="1"/>
    <col min="9220" max="9220" width="16" style="648" bestFit="1" customWidth="1"/>
    <col min="9221" max="9221" width="27.7109375" style="648" customWidth="1"/>
    <col min="9222" max="9222" width="14.85546875" style="648" customWidth="1"/>
    <col min="9223" max="9470" width="9.140625" style="648"/>
    <col min="9471" max="9471" width="33.7109375" style="648" customWidth="1"/>
    <col min="9472" max="9472" width="0" style="648" hidden="1" customWidth="1"/>
    <col min="9473" max="9473" width="16.42578125" style="648" customWidth="1"/>
    <col min="9474" max="9475" width="0" style="648" hidden="1" customWidth="1"/>
    <col min="9476" max="9476" width="16" style="648" bestFit="1" customWidth="1"/>
    <col min="9477" max="9477" width="27.7109375" style="648" customWidth="1"/>
    <col min="9478" max="9478" width="14.85546875" style="648" customWidth="1"/>
    <col min="9479" max="9726" width="9.140625" style="648"/>
    <col min="9727" max="9727" width="33.7109375" style="648" customWidth="1"/>
    <col min="9728" max="9728" width="0" style="648" hidden="1" customWidth="1"/>
    <col min="9729" max="9729" width="16.42578125" style="648" customWidth="1"/>
    <col min="9730" max="9731" width="0" style="648" hidden="1" customWidth="1"/>
    <col min="9732" max="9732" width="16" style="648" bestFit="1" customWidth="1"/>
    <col min="9733" max="9733" width="27.7109375" style="648" customWidth="1"/>
    <col min="9734" max="9734" width="14.85546875" style="648" customWidth="1"/>
    <col min="9735" max="9982" width="9.140625" style="648"/>
    <col min="9983" max="9983" width="33.7109375" style="648" customWidth="1"/>
    <col min="9984" max="9984" width="0" style="648" hidden="1" customWidth="1"/>
    <col min="9985" max="9985" width="16.42578125" style="648" customWidth="1"/>
    <col min="9986" max="9987" width="0" style="648" hidden="1" customWidth="1"/>
    <col min="9988" max="9988" width="16" style="648" bestFit="1" customWidth="1"/>
    <col min="9989" max="9989" width="27.7109375" style="648" customWidth="1"/>
    <col min="9990" max="9990" width="14.85546875" style="648" customWidth="1"/>
    <col min="9991" max="10238" width="9.140625" style="648"/>
    <col min="10239" max="10239" width="33.7109375" style="648" customWidth="1"/>
    <col min="10240" max="10240" width="0" style="648" hidden="1" customWidth="1"/>
    <col min="10241" max="10241" width="16.42578125" style="648" customWidth="1"/>
    <col min="10242" max="10243" width="0" style="648" hidden="1" customWidth="1"/>
    <col min="10244" max="10244" width="16" style="648" bestFit="1" customWidth="1"/>
    <col min="10245" max="10245" width="27.7109375" style="648" customWidth="1"/>
    <col min="10246" max="10246" width="14.85546875" style="648" customWidth="1"/>
    <col min="10247" max="10494" width="9.140625" style="648"/>
    <col min="10495" max="10495" width="33.7109375" style="648" customWidth="1"/>
    <col min="10496" max="10496" width="0" style="648" hidden="1" customWidth="1"/>
    <col min="10497" max="10497" width="16.42578125" style="648" customWidth="1"/>
    <col min="10498" max="10499" width="0" style="648" hidden="1" customWidth="1"/>
    <col min="10500" max="10500" width="16" style="648" bestFit="1" customWidth="1"/>
    <col min="10501" max="10501" width="27.7109375" style="648" customWidth="1"/>
    <col min="10502" max="10502" width="14.85546875" style="648" customWidth="1"/>
    <col min="10503" max="10750" width="9.140625" style="648"/>
    <col min="10751" max="10751" width="33.7109375" style="648" customWidth="1"/>
    <col min="10752" max="10752" width="0" style="648" hidden="1" customWidth="1"/>
    <col min="10753" max="10753" width="16.42578125" style="648" customWidth="1"/>
    <col min="10754" max="10755" width="0" style="648" hidden="1" customWidth="1"/>
    <col min="10756" max="10756" width="16" style="648" bestFit="1" customWidth="1"/>
    <col min="10757" max="10757" width="27.7109375" style="648" customWidth="1"/>
    <col min="10758" max="10758" width="14.85546875" style="648" customWidth="1"/>
    <col min="10759" max="11006" width="9.140625" style="648"/>
    <col min="11007" max="11007" width="33.7109375" style="648" customWidth="1"/>
    <col min="11008" max="11008" width="0" style="648" hidden="1" customWidth="1"/>
    <col min="11009" max="11009" width="16.42578125" style="648" customWidth="1"/>
    <col min="11010" max="11011" width="0" style="648" hidden="1" customWidth="1"/>
    <col min="11012" max="11012" width="16" style="648" bestFit="1" customWidth="1"/>
    <col min="11013" max="11013" width="27.7109375" style="648" customWidth="1"/>
    <col min="11014" max="11014" width="14.85546875" style="648" customWidth="1"/>
    <col min="11015" max="11262" width="9.140625" style="648"/>
    <col min="11263" max="11263" width="33.7109375" style="648" customWidth="1"/>
    <col min="11264" max="11264" width="0" style="648" hidden="1" customWidth="1"/>
    <col min="11265" max="11265" width="16.42578125" style="648" customWidth="1"/>
    <col min="11266" max="11267" width="0" style="648" hidden="1" customWidth="1"/>
    <col min="11268" max="11268" width="16" style="648" bestFit="1" customWidth="1"/>
    <col min="11269" max="11269" width="27.7109375" style="648" customWidth="1"/>
    <col min="11270" max="11270" width="14.85546875" style="648" customWidth="1"/>
    <col min="11271" max="11518" width="9.140625" style="648"/>
    <col min="11519" max="11519" width="33.7109375" style="648" customWidth="1"/>
    <col min="11520" max="11520" width="0" style="648" hidden="1" customWidth="1"/>
    <col min="11521" max="11521" width="16.42578125" style="648" customWidth="1"/>
    <col min="11522" max="11523" width="0" style="648" hidden="1" customWidth="1"/>
    <col min="11524" max="11524" width="16" style="648" bestFit="1" customWidth="1"/>
    <col min="11525" max="11525" width="27.7109375" style="648" customWidth="1"/>
    <col min="11526" max="11526" width="14.85546875" style="648" customWidth="1"/>
    <col min="11527" max="11774" width="9.140625" style="648"/>
    <col min="11775" max="11775" width="33.7109375" style="648" customWidth="1"/>
    <col min="11776" max="11776" width="0" style="648" hidden="1" customWidth="1"/>
    <col min="11777" max="11777" width="16.42578125" style="648" customWidth="1"/>
    <col min="11778" max="11779" width="0" style="648" hidden="1" customWidth="1"/>
    <col min="11780" max="11780" width="16" style="648" bestFit="1" customWidth="1"/>
    <col min="11781" max="11781" width="27.7109375" style="648" customWidth="1"/>
    <col min="11782" max="11782" width="14.85546875" style="648" customWidth="1"/>
    <col min="11783" max="12030" width="9.140625" style="648"/>
    <col min="12031" max="12031" width="33.7109375" style="648" customWidth="1"/>
    <col min="12032" max="12032" width="0" style="648" hidden="1" customWidth="1"/>
    <col min="12033" max="12033" width="16.42578125" style="648" customWidth="1"/>
    <col min="12034" max="12035" width="0" style="648" hidden="1" customWidth="1"/>
    <col min="12036" max="12036" width="16" style="648" bestFit="1" customWidth="1"/>
    <col min="12037" max="12037" width="27.7109375" style="648" customWidth="1"/>
    <col min="12038" max="12038" width="14.85546875" style="648" customWidth="1"/>
    <col min="12039" max="12286" width="9.140625" style="648"/>
    <col min="12287" max="12287" width="33.7109375" style="648" customWidth="1"/>
    <col min="12288" max="12288" width="0" style="648" hidden="1" customWidth="1"/>
    <col min="12289" max="12289" width="16.42578125" style="648" customWidth="1"/>
    <col min="12290" max="12291" width="0" style="648" hidden="1" customWidth="1"/>
    <col min="12292" max="12292" width="16" style="648" bestFit="1" customWidth="1"/>
    <col min="12293" max="12293" width="27.7109375" style="648" customWidth="1"/>
    <col min="12294" max="12294" width="14.85546875" style="648" customWidth="1"/>
    <col min="12295" max="12542" width="9.140625" style="648"/>
    <col min="12543" max="12543" width="33.7109375" style="648" customWidth="1"/>
    <col min="12544" max="12544" width="0" style="648" hidden="1" customWidth="1"/>
    <col min="12545" max="12545" width="16.42578125" style="648" customWidth="1"/>
    <col min="12546" max="12547" width="0" style="648" hidden="1" customWidth="1"/>
    <col min="12548" max="12548" width="16" style="648" bestFit="1" customWidth="1"/>
    <col min="12549" max="12549" width="27.7109375" style="648" customWidth="1"/>
    <col min="12550" max="12550" width="14.85546875" style="648" customWidth="1"/>
    <col min="12551" max="12798" width="9.140625" style="648"/>
    <col min="12799" max="12799" width="33.7109375" style="648" customWidth="1"/>
    <col min="12800" max="12800" width="0" style="648" hidden="1" customWidth="1"/>
    <col min="12801" max="12801" width="16.42578125" style="648" customWidth="1"/>
    <col min="12802" max="12803" width="0" style="648" hidden="1" customWidth="1"/>
    <col min="12804" max="12804" width="16" style="648" bestFit="1" customWidth="1"/>
    <col min="12805" max="12805" width="27.7109375" style="648" customWidth="1"/>
    <col min="12806" max="12806" width="14.85546875" style="648" customWidth="1"/>
    <col min="12807" max="13054" width="9.140625" style="648"/>
    <col min="13055" max="13055" width="33.7109375" style="648" customWidth="1"/>
    <col min="13056" max="13056" width="0" style="648" hidden="1" customWidth="1"/>
    <col min="13057" max="13057" width="16.42578125" style="648" customWidth="1"/>
    <col min="13058" max="13059" width="0" style="648" hidden="1" customWidth="1"/>
    <col min="13060" max="13060" width="16" style="648" bestFit="1" customWidth="1"/>
    <col min="13061" max="13061" width="27.7109375" style="648" customWidth="1"/>
    <col min="13062" max="13062" width="14.85546875" style="648" customWidth="1"/>
    <col min="13063" max="13310" width="9.140625" style="648"/>
    <col min="13311" max="13311" width="33.7109375" style="648" customWidth="1"/>
    <col min="13312" max="13312" width="0" style="648" hidden="1" customWidth="1"/>
    <col min="13313" max="13313" width="16.42578125" style="648" customWidth="1"/>
    <col min="13314" max="13315" width="0" style="648" hidden="1" customWidth="1"/>
    <col min="13316" max="13316" width="16" style="648" bestFit="1" customWidth="1"/>
    <col min="13317" max="13317" width="27.7109375" style="648" customWidth="1"/>
    <col min="13318" max="13318" width="14.85546875" style="648" customWidth="1"/>
    <col min="13319" max="13566" width="9.140625" style="648"/>
    <col min="13567" max="13567" width="33.7109375" style="648" customWidth="1"/>
    <col min="13568" max="13568" width="0" style="648" hidden="1" customWidth="1"/>
    <col min="13569" max="13569" width="16.42578125" style="648" customWidth="1"/>
    <col min="13570" max="13571" width="0" style="648" hidden="1" customWidth="1"/>
    <col min="13572" max="13572" width="16" style="648" bestFit="1" customWidth="1"/>
    <col min="13573" max="13573" width="27.7109375" style="648" customWidth="1"/>
    <col min="13574" max="13574" width="14.85546875" style="648" customWidth="1"/>
    <col min="13575" max="13822" width="9.140625" style="648"/>
    <col min="13823" max="13823" width="33.7109375" style="648" customWidth="1"/>
    <col min="13824" max="13824" width="0" style="648" hidden="1" customWidth="1"/>
    <col min="13825" max="13825" width="16.42578125" style="648" customWidth="1"/>
    <col min="13826" max="13827" width="0" style="648" hidden="1" customWidth="1"/>
    <col min="13828" max="13828" width="16" style="648" bestFit="1" customWidth="1"/>
    <col min="13829" max="13829" width="27.7109375" style="648" customWidth="1"/>
    <col min="13830" max="13830" width="14.85546875" style="648" customWidth="1"/>
    <col min="13831" max="14078" width="9.140625" style="648"/>
    <col min="14079" max="14079" width="33.7109375" style="648" customWidth="1"/>
    <col min="14080" max="14080" width="0" style="648" hidden="1" customWidth="1"/>
    <col min="14081" max="14081" width="16.42578125" style="648" customWidth="1"/>
    <col min="14082" max="14083" width="0" style="648" hidden="1" customWidth="1"/>
    <col min="14084" max="14084" width="16" style="648" bestFit="1" customWidth="1"/>
    <col min="14085" max="14085" width="27.7109375" style="648" customWidth="1"/>
    <col min="14086" max="14086" width="14.85546875" style="648" customWidth="1"/>
    <col min="14087" max="14334" width="9.140625" style="648"/>
    <col min="14335" max="14335" width="33.7109375" style="648" customWidth="1"/>
    <col min="14336" max="14336" width="0" style="648" hidden="1" customWidth="1"/>
    <col min="14337" max="14337" width="16.42578125" style="648" customWidth="1"/>
    <col min="14338" max="14339" width="0" style="648" hidden="1" customWidth="1"/>
    <col min="14340" max="14340" width="16" style="648" bestFit="1" customWidth="1"/>
    <col min="14341" max="14341" width="27.7109375" style="648" customWidth="1"/>
    <col min="14342" max="14342" width="14.85546875" style="648" customWidth="1"/>
    <col min="14343" max="14590" width="9.140625" style="648"/>
    <col min="14591" max="14591" width="33.7109375" style="648" customWidth="1"/>
    <col min="14592" max="14592" width="0" style="648" hidden="1" customWidth="1"/>
    <col min="14593" max="14593" width="16.42578125" style="648" customWidth="1"/>
    <col min="14594" max="14595" width="0" style="648" hidden="1" customWidth="1"/>
    <col min="14596" max="14596" width="16" style="648" bestFit="1" customWidth="1"/>
    <col min="14597" max="14597" width="27.7109375" style="648" customWidth="1"/>
    <col min="14598" max="14598" width="14.85546875" style="648" customWidth="1"/>
    <col min="14599" max="14846" width="9.140625" style="648"/>
    <col min="14847" max="14847" width="33.7109375" style="648" customWidth="1"/>
    <col min="14848" max="14848" width="0" style="648" hidden="1" customWidth="1"/>
    <col min="14849" max="14849" width="16.42578125" style="648" customWidth="1"/>
    <col min="14850" max="14851" width="0" style="648" hidden="1" customWidth="1"/>
    <col min="14852" max="14852" width="16" style="648" bestFit="1" customWidth="1"/>
    <col min="14853" max="14853" width="27.7109375" style="648" customWidth="1"/>
    <col min="14854" max="14854" width="14.85546875" style="648" customWidth="1"/>
    <col min="14855" max="15102" width="9.140625" style="648"/>
    <col min="15103" max="15103" width="33.7109375" style="648" customWidth="1"/>
    <col min="15104" max="15104" width="0" style="648" hidden="1" customWidth="1"/>
    <col min="15105" max="15105" width="16.42578125" style="648" customWidth="1"/>
    <col min="15106" max="15107" width="0" style="648" hidden="1" customWidth="1"/>
    <col min="15108" max="15108" width="16" style="648" bestFit="1" customWidth="1"/>
    <col min="15109" max="15109" width="27.7109375" style="648" customWidth="1"/>
    <col min="15110" max="15110" width="14.85546875" style="648" customWidth="1"/>
    <col min="15111" max="15358" width="9.140625" style="648"/>
    <col min="15359" max="15359" width="33.7109375" style="648" customWidth="1"/>
    <col min="15360" max="15360" width="0" style="648" hidden="1" customWidth="1"/>
    <col min="15361" max="15361" width="16.42578125" style="648" customWidth="1"/>
    <col min="15362" max="15363" width="0" style="648" hidden="1" customWidth="1"/>
    <col min="15364" max="15364" width="16" style="648" bestFit="1" customWidth="1"/>
    <col min="15365" max="15365" width="27.7109375" style="648" customWidth="1"/>
    <col min="15366" max="15366" width="14.85546875" style="648" customWidth="1"/>
    <col min="15367" max="15614" width="9.140625" style="648"/>
    <col min="15615" max="15615" width="33.7109375" style="648" customWidth="1"/>
    <col min="15616" max="15616" width="0" style="648" hidden="1" customWidth="1"/>
    <col min="15617" max="15617" width="16.42578125" style="648" customWidth="1"/>
    <col min="15618" max="15619" width="0" style="648" hidden="1" customWidth="1"/>
    <col min="15620" max="15620" width="16" style="648" bestFit="1" customWidth="1"/>
    <col min="15621" max="15621" width="27.7109375" style="648" customWidth="1"/>
    <col min="15622" max="15622" width="14.85546875" style="648" customWidth="1"/>
    <col min="15623" max="15870" width="9.140625" style="648"/>
    <col min="15871" max="15871" width="33.7109375" style="648" customWidth="1"/>
    <col min="15872" max="15872" width="0" style="648" hidden="1" customWidth="1"/>
    <col min="15873" max="15873" width="16.42578125" style="648" customWidth="1"/>
    <col min="15874" max="15875" width="0" style="648" hidden="1" customWidth="1"/>
    <col min="15876" max="15876" width="16" style="648" bestFit="1" customWidth="1"/>
    <col min="15877" max="15877" width="27.7109375" style="648" customWidth="1"/>
    <col min="15878" max="15878" width="14.85546875" style="648" customWidth="1"/>
    <col min="15879" max="16126" width="9.140625" style="648"/>
    <col min="16127" max="16127" width="33.7109375" style="648" customWidth="1"/>
    <col min="16128" max="16128" width="0" style="648" hidden="1" customWidth="1"/>
    <col min="16129" max="16129" width="16.42578125" style="648" customWidth="1"/>
    <col min="16130" max="16131" width="0" style="648" hidden="1" customWidth="1"/>
    <col min="16132" max="16132" width="16" style="648" bestFit="1" customWidth="1"/>
    <col min="16133" max="16133" width="27.7109375" style="648" customWidth="1"/>
    <col min="16134" max="16134" width="14.85546875" style="648" customWidth="1"/>
    <col min="16135" max="16384" width="9.140625" style="648"/>
  </cols>
  <sheetData>
    <row r="1" spans="1:4" s="639" customFormat="1" ht="15">
      <c r="A1" s="637"/>
      <c r="B1" s="638"/>
    </row>
    <row r="2" spans="1:4" s="639" customFormat="1" ht="34.5" customHeight="1">
      <c r="A2" s="640" t="s">
        <v>419</v>
      </c>
      <c r="B2" s="640"/>
      <c r="C2" s="641"/>
      <c r="D2" s="641"/>
    </row>
    <row r="3" spans="1:4" s="639" customFormat="1" ht="15">
      <c r="A3" s="642" t="s">
        <v>420</v>
      </c>
      <c r="B3" s="642"/>
    </row>
    <row r="4" spans="1:4" s="639" customFormat="1">
      <c r="A4" s="643"/>
      <c r="B4" s="643"/>
      <c r="C4" s="644"/>
    </row>
    <row r="5" spans="1:4" s="639" customFormat="1">
      <c r="A5" s="645"/>
      <c r="B5" s="643"/>
    </row>
    <row r="6" spans="1:4" s="639" customFormat="1">
      <c r="A6" s="645" t="s">
        <v>421</v>
      </c>
      <c r="B6" s="646" t="s">
        <v>422</v>
      </c>
    </row>
    <row r="7" spans="1:4" s="639" customFormat="1">
      <c r="A7" s="643"/>
      <c r="B7" s="646"/>
    </row>
    <row r="8" spans="1:4">
      <c r="A8" s="643" t="s">
        <v>423</v>
      </c>
      <c r="B8" s="637">
        <v>1742394</v>
      </c>
      <c r="C8" s="647">
        <v>1024086086.0000001</v>
      </c>
    </row>
    <row r="9" spans="1:4">
      <c r="A9" s="649" t="s">
        <v>424</v>
      </c>
      <c r="B9" s="637">
        <v>68951392</v>
      </c>
      <c r="C9" s="647">
        <v>3217077648.9100003</v>
      </c>
    </row>
    <row r="10" spans="1:4">
      <c r="A10" s="649" t="s">
        <v>425</v>
      </c>
      <c r="B10" s="637">
        <v>40269065</v>
      </c>
      <c r="C10" s="647">
        <v>180298644.09999999</v>
      </c>
    </row>
    <row r="11" spans="1:4">
      <c r="A11" s="649" t="s">
        <v>426</v>
      </c>
      <c r="B11" s="650">
        <v>110962851</v>
      </c>
      <c r="C11" s="650">
        <f>SUM(C8:C10)</f>
        <v>4421462379.0100002</v>
      </c>
      <c r="D11" s="651"/>
    </row>
    <row r="12" spans="1:4">
      <c r="A12" s="649"/>
      <c r="B12" s="652"/>
      <c r="C12" s="652"/>
    </row>
    <row r="13" spans="1:4">
      <c r="A13" s="653" t="s">
        <v>427</v>
      </c>
      <c r="B13" s="652"/>
      <c r="C13" s="652"/>
    </row>
    <row r="14" spans="1:4">
      <c r="A14" s="649" t="s">
        <v>428</v>
      </c>
      <c r="B14" s="654">
        <v>1.5702498487534355E-2</v>
      </c>
      <c r="C14" s="655">
        <f>C8/C11</f>
        <v>0.23161705296004373</v>
      </c>
      <c r="D14" s="656"/>
    </row>
    <row r="15" spans="1:4">
      <c r="A15" s="649" t="s">
        <v>429</v>
      </c>
      <c r="B15" s="654">
        <v>0.62139167639086712</v>
      </c>
      <c r="C15" s="657">
        <f>C9/C11</f>
        <v>0.72760489022419972</v>
      </c>
      <c r="D15" s="656"/>
    </row>
    <row r="16" spans="1:4">
      <c r="A16" s="649" t="s">
        <v>430</v>
      </c>
      <c r="B16" s="658">
        <v>0.36290582512159858</v>
      </c>
      <c r="C16" s="659">
        <f>C10/C11</f>
        <v>4.0778056815756566E-2</v>
      </c>
      <c r="D16" s="656"/>
    </row>
    <row r="17" spans="1:6">
      <c r="A17" s="649"/>
      <c r="B17" s="654">
        <v>1</v>
      </c>
      <c r="C17" s="655">
        <f>SUM(C14:C16)</f>
        <v>1</v>
      </c>
    </row>
    <row r="18" spans="1:6">
      <c r="A18" s="649"/>
      <c r="B18" s="649"/>
      <c r="C18" s="649"/>
    </row>
    <row r="19" spans="1:6" ht="15">
      <c r="A19" s="660" t="s">
        <v>431</v>
      </c>
      <c r="B19" s="647">
        <v>0</v>
      </c>
      <c r="C19" s="647">
        <v>48990382</v>
      </c>
    </row>
    <row r="20" spans="1:6" ht="12" customHeight="1">
      <c r="A20" s="661"/>
      <c r="B20" s="647"/>
      <c r="C20" s="647"/>
    </row>
    <row r="21" spans="1:6">
      <c r="A21" s="662"/>
      <c r="B21" s="663" t="s">
        <v>108</v>
      </c>
      <c r="C21" s="649"/>
    </row>
    <row r="22" spans="1:6">
      <c r="A22" s="649" t="s">
        <v>432</v>
      </c>
      <c r="B22" s="647">
        <v>0</v>
      </c>
      <c r="C22" s="664">
        <f>C19*C14</f>
        <v>11347007.902226772</v>
      </c>
      <c r="D22" s="665"/>
      <c r="F22" s="666"/>
    </row>
    <row r="23" spans="1:6">
      <c r="A23" s="649" t="s">
        <v>433</v>
      </c>
      <c r="B23" s="647">
        <v>0</v>
      </c>
      <c r="C23" s="647">
        <f>C19*C15</f>
        <v>35645641.517151609</v>
      </c>
      <c r="D23" s="665"/>
      <c r="E23" s="667"/>
    </row>
    <row r="24" spans="1:6">
      <c r="A24" s="649" t="s">
        <v>434</v>
      </c>
      <c r="B24" s="647">
        <v>0</v>
      </c>
      <c r="C24" s="647">
        <f>C19*C16</f>
        <v>1997732.5806216178</v>
      </c>
      <c r="D24" s="665"/>
      <c r="E24" s="667"/>
    </row>
    <row r="25" spans="1:6">
      <c r="A25" s="649" t="s">
        <v>435</v>
      </c>
      <c r="B25" s="668">
        <v>0</v>
      </c>
      <c r="C25" s="668">
        <f>SUM(C22:C24)</f>
        <v>48990382</v>
      </c>
    </row>
    <row r="26" spans="1:6">
      <c r="A26" s="649"/>
      <c r="B26" s="647"/>
      <c r="C26" s="637"/>
    </row>
    <row r="27" spans="1:6">
      <c r="A27" s="649"/>
      <c r="B27" s="647"/>
      <c r="C27" s="637"/>
    </row>
    <row r="28" spans="1:6">
      <c r="A28" s="649" t="s">
        <v>434</v>
      </c>
      <c r="B28" s="647">
        <v>0</v>
      </c>
      <c r="C28" s="647">
        <f>C24</f>
        <v>1997732.5806216178</v>
      </c>
    </row>
    <row r="29" spans="1:6">
      <c r="A29" s="649" t="s">
        <v>436</v>
      </c>
      <c r="B29" s="669">
        <v>9.9600000000000022E-2</v>
      </c>
      <c r="C29" s="670">
        <f>'ATT H-9A'!$H$16</f>
        <v>0.10615912662453647</v>
      </c>
    </row>
    <row r="30" spans="1:6">
      <c r="A30" s="649" t="s">
        <v>437</v>
      </c>
      <c r="B30" s="637">
        <v>0</v>
      </c>
      <c r="C30" s="637">
        <f>C28*C29</f>
        <v>212077.54598817235</v>
      </c>
    </row>
    <row r="31" spans="1:6">
      <c r="A31" s="649"/>
      <c r="B31" s="671" t="s">
        <v>108</v>
      </c>
      <c r="C31" s="637"/>
    </row>
    <row r="32" spans="1:6" ht="13.5" thickBot="1">
      <c r="A32" s="649"/>
      <c r="B32" s="637"/>
      <c r="C32" s="637"/>
    </row>
    <row r="33" spans="1:7">
      <c r="A33" s="672" t="s">
        <v>438</v>
      </c>
      <c r="B33" s="673"/>
      <c r="C33" s="674"/>
    </row>
    <row r="34" spans="1:7">
      <c r="A34" s="675" t="s">
        <v>423</v>
      </c>
      <c r="B34" s="652">
        <v>0</v>
      </c>
      <c r="C34" s="676">
        <f>C22</f>
        <v>11347007.902226772</v>
      </c>
      <c r="G34" s="677"/>
    </row>
    <row r="35" spans="1:7">
      <c r="A35" s="675" t="s">
        <v>439</v>
      </c>
      <c r="B35" s="678">
        <v>0</v>
      </c>
      <c r="C35" s="679">
        <f>C30</f>
        <v>212077.54598817235</v>
      </c>
    </row>
    <row r="36" spans="1:7">
      <c r="A36" s="675" t="s">
        <v>438</v>
      </c>
      <c r="B36" s="652">
        <v>0</v>
      </c>
      <c r="C36" s="676">
        <f>SUM(C34:C35)</f>
        <v>11559085.448214944</v>
      </c>
    </row>
    <row r="37" spans="1:7">
      <c r="A37" s="675"/>
      <c r="B37" s="680"/>
      <c r="C37" s="681"/>
    </row>
    <row r="38" spans="1:7">
      <c r="A38" s="675"/>
      <c r="B38" s="680"/>
      <c r="C38" s="681"/>
    </row>
    <row r="39" spans="1:7" ht="13.5" thickBot="1">
      <c r="A39" s="682"/>
      <c r="B39" s="683"/>
      <c r="C39" s="684"/>
    </row>
    <row r="40" spans="1:7">
      <c r="A40" s="649"/>
      <c r="B40" s="649"/>
      <c r="C40" s="649"/>
    </row>
    <row r="41" spans="1:7">
      <c r="A41" s="649"/>
      <c r="B41" s="649"/>
      <c r="C41" s="649"/>
    </row>
    <row r="42" spans="1:7">
      <c r="A42" s="685"/>
      <c r="B42" s="649"/>
      <c r="C42" s="649"/>
    </row>
    <row r="43" spans="1:7">
      <c r="A43" s="685"/>
      <c r="B43" s="649"/>
      <c r="C43" s="649"/>
    </row>
    <row r="44" spans="1:7">
      <c r="A44" s="649"/>
      <c r="B44" s="649"/>
      <c r="C44" s="649"/>
    </row>
    <row r="45" spans="1:7">
      <c r="A45" s="649"/>
      <c r="B45" s="649"/>
      <c r="C45" s="649"/>
    </row>
    <row r="46" spans="1:7">
      <c r="A46" s="649"/>
      <c r="B46" s="649"/>
      <c r="C46" s="649"/>
    </row>
    <row r="47" spans="1:7">
      <c r="A47" s="649"/>
      <c r="B47" s="649"/>
      <c r="C47" s="649"/>
    </row>
    <row r="48" spans="1:7">
      <c r="A48" s="649"/>
      <c r="B48" s="649"/>
      <c r="C48" s="649"/>
    </row>
    <row r="49" spans="1:3">
      <c r="A49" s="649"/>
      <c r="B49" s="649"/>
      <c r="C49" s="649"/>
    </row>
    <row r="50" spans="1:3">
      <c r="A50" s="649"/>
      <c r="B50" s="649"/>
      <c r="C50" s="649"/>
    </row>
    <row r="51" spans="1:3">
      <c r="A51" s="649"/>
      <c r="B51" s="649"/>
      <c r="C51" s="649"/>
    </row>
    <row r="52" spans="1:3">
      <c r="A52" s="649"/>
      <c r="B52" s="649"/>
      <c r="C52" s="649"/>
    </row>
    <row r="53" spans="1:3">
      <c r="A53" s="649"/>
      <c r="B53" s="649"/>
      <c r="C53" s="649"/>
    </row>
    <row r="54" spans="1:3">
      <c r="A54" s="649"/>
      <c r="B54" s="649"/>
      <c r="C54" s="649"/>
    </row>
    <row r="55" spans="1:3">
      <c r="A55" s="649"/>
      <c r="B55" s="649"/>
      <c r="C55" s="649"/>
    </row>
    <row r="56" spans="1:3">
      <c r="A56" s="649"/>
      <c r="B56" s="649"/>
      <c r="C56" s="649"/>
    </row>
    <row r="57" spans="1:3">
      <c r="A57" s="649"/>
      <c r="B57" s="649"/>
      <c r="C57" s="649"/>
    </row>
    <row r="58" spans="1:3">
      <c r="A58" s="649"/>
      <c r="B58" s="649"/>
      <c r="C58" s="649"/>
    </row>
    <row r="59" spans="1:3">
      <c r="A59" s="649"/>
      <c r="B59" s="649"/>
      <c r="C59" s="649"/>
    </row>
    <row r="60" spans="1:3">
      <c r="A60" s="649"/>
      <c r="B60" s="649"/>
      <c r="C60" s="649"/>
    </row>
    <row r="61" spans="1:3">
      <c r="A61" s="649"/>
      <c r="B61" s="649"/>
      <c r="C61" s="649"/>
    </row>
    <row r="62" spans="1:3">
      <c r="A62" s="649"/>
      <c r="B62" s="649"/>
      <c r="C62" s="649"/>
    </row>
    <row r="63" spans="1:3">
      <c r="A63" s="649"/>
      <c r="B63" s="649"/>
      <c r="C63" s="649"/>
    </row>
    <row r="64" spans="1:3">
      <c r="A64" s="649"/>
      <c r="B64" s="649"/>
      <c r="C64" s="649"/>
    </row>
    <row r="65" spans="1:3">
      <c r="A65" s="649"/>
      <c r="B65" s="649"/>
      <c r="C65" s="649"/>
    </row>
    <row r="66" spans="1:3">
      <c r="A66" s="649"/>
      <c r="B66" s="649"/>
      <c r="C66" s="649"/>
    </row>
    <row r="67" spans="1:3">
      <c r="A67" s="649"/>
      <c r="B67" s="649"/>
      <c r="C67" s="649"/>
    </row>
    <row r="68" spans="1:3">
      <c r="A68" s="649"/>
      <c r="B68" s="649"/>
      <c r="C68" s="649"/>
    </row>
    <row r="69" spans="1:3">
      <c r="A69" s="649"/>
      <c r="B69" s="649"/>
      <c r="C69" s="649"/>
    </row>
    <row r="70" spans="1:3">
      <c r="A70" s="649"/>
      <c r="B70" s="649"/>
      <c r="C70" s="649"/>
    </row>
    <row r="71" spans="1:3">
      <c r="A71" s="649"/>
      <c r="B71" s="649"/>
      <c r="C71" s="649"/>
    </row>
    <row r="72" spans="1:3">
      <c r="A72" s="649"/>
      <c r="B72" s="649"/>
      <c r="C72" s="649"/>
    </row>
    <row r="73" spans="1:3">
      <c r="A73" s="649"/>
      <c r="B73" s="649"/>
      <c r="C73" s="649"/>
    </row>
    <row r="74" spans="1:3">
      <c r="A74" s="649"/>
      <c r="B74" s="649"/>
      <c r="C74" s="649"/>
    </row>
    <row r="75" spans="1:3">
      <c r="A75" s="649"/>
      <c r="B75" s="649"/>
      <c r="C75" s="649"/>
    </row>
    <row r="76" spans="1:3">
      <c r="A76" s="649"/>
      <c r="B76" s="649"/>
      <c r="C76" s="649"/>
    </row>
    <row r="77" spans="1:3">
      <c r="A77" s="649"/>
      <c r="B77" s="649"/>
      <c r="C77" s="649"/>
    </row>
    <row r="78" spans="1:3">
      <c r="A78" s="649"/>
      <c r="B78" s="649"/>
      <c r="C78" s="649"/>
    </row>
    <row r="79" spans="1:3">
      <c r="A79" s="649"/>
      <c r="B79" s="649"/>
      <c r="C79" s="649"/>
    </row>
    <row r="80" spans="1:3">
      <c r="A80" s="649"/>
      <c r="B80" s="649"/>
      <c r="C80" s="649"/>
    </row>
    <row r="81" spans="1:3">
      <c r="A81" s="649"/>
      <c r="B81" s="649"/>
      <c r="C81" s="649"/>
    </row>
    <row r="82" spans="1:3">
      <c r="A82" s="649"/>
      <c r="B82" s="649"/>
      <c r="C82" s="649"/>
    </row>
    <row r="83" spans="1:3">
      <c r="A83" s="649"/>
      <c r="B83" s="649"/>
      <c r="C83" s="649"/>
    </row>
    <row r="84" spans="1:3">
      <c r="A84" s="649"/>
      <c r="B84" s="649"/>
      <c r="C84" s="649"/>
    </row>
    <row r="85" spans="1:3">
      <c r="A85" s="649"/>
      <c r="B85" s="649"/>
      <c r="C85" s="649"/>
    </row>
    <row r="86" spans="1:3">
      <c r="A86" s="649"/>
      <c r="B86" s="649"/>
      <c r="C86" s="649"/>
    </row>
    <row r="87" spans="1:3">
      <c r="A87" s="649"/>
      <c r="B87" s="649"/>
      <c r="C87" s="649"/>
    </row>
    <row r="88" spans="1:3">
      <c r="A88" s="649"/>
      <c r="B88" s="649"/>
      <c r="C88" s="649"/>
    </row>
    <row r="89" spans="1:3">
      <c r="A89" s="649"/>
      <c r="B89" s="649"/>
      <c r="C89" s="649"/>
    </row>
    <row r="90" spans="1:3">
      <c r="A90" s="649"/>
      <c r="B90" s="649"/>
      <c r="C90" s="649"/>
    </row>
    <row r="91" spans="1:3">
      <c r="A91" s="649"/>
      <c r="B91" s="649"/>
      <c r="C91" s="649"/>
    </row>
    <row r="92" spans="1:3">
      <c r="A92" s="649"/>
      <c r="B92" s="649"/>
      <c r="C92" s="649"/>
    </row>
    <row r="93" spans="1:3">
      <c r="A93" s="649"/>
      <c r="B93" s="649"/>
      <c r="C93" s="649"/>
    </row>
    <row r="94" spans="1:3">
      <c r="A94" s="649"/>
      <c r="B94" s="649"/>
      <c r="C94" s="649"/>
    </row>
    <row r="95" spans="1:3">
      <c r="A95" s="649"/>
      <c r="B95" s="649"/>
      <c r="C95" s="649"/>
    </row>
    <row r="96" spans="1:3">
      <c r="A96" s="649"/>
      <c r="B96" s="649"/>
      <c r="C96" s="649"/>
    </row>
    <row r="97" spans="1:3">
      <c r="A97" s="649"/>
      <c r="B97" s="649"/>
      <c r="C97" s="649"/>
    </row>
    <row r="98" spans="1:3">
      <c r="A98" s="649"/>
      <c r="B98" s="649"/>
      <c r="C98" s="649"/>
    </row>
    <row r="99" spans="1:3">
      <c r="A99" s="649"/>
      <c r="B99" s="649"/>
      <c r="C99" s="649"/>
    </row>
    <row r="100" spans="1:3">
      <c r="A100" s="649"/>
      <c r="B100" s="649"/>
      <c r="C100" s="649"/>
    </row>
    <row r="101" spans="1:3">
      <c r="A101" s="649"/>
      <c r="B101" s="649"/>
      <c r="C101" s="649"/>
    </row>
    <row r="102" spans="1:3">
      <c r="A102" s="649"/>
      <c r="B102" s="649"/>
      <c r="C102" s="649"/>
    </row>
    <row r="103" spans="1:3">
      <c r="A103" s="649"/>
      <c r="B103" s="649"/>
      <c r="C103" s="649"/>
    </row>
    <row r="104" spans="1:3">
      <c r="A104" s="649"/>
      <c r="B104" s="649"/>
      <c r="C104" s="649"/>
    </row>
    <row r="105" spans="1:3">
      <c r="A105" s="649"/>
      <c r="B105" s="649"/>
      <c r="C105" s="649"/>
    </row>
    <row r="106" spans="1:3">
      <c r="A106" s="649"/>
      <c r="B106" s="649"/>
      <c r="C106" s="649"/>
    </row>
    <row r="107" spans="1:3">
      <c r="A107" s="649"/>
      <c r="B107" s="649"/>
      <c r="C107" s="649"/>
    </row>
    <row r="108" spans="1:3">
      <c r="A108" s="649"/>
      <c r="B108" s="649"/>
      <c r="C108" s="649"/>
    </row>
    <row r="109" spans="1:3">
      <c r="A109" s="649"/>
      <c r="B109" s="649"/>
      <c r="C109" s="649"/>
    </row>
    <row r="110" spans="1:3">
      <c r="A110" s="649"/>
      <c r="B110" s="649"/>
      <c r="C110" s="649"/>
    </row>
    <row r="111" spans="1:3">
      <c r="A111" s="649"/>
      <c r="B111" s="649"/>
      <c r="C111" s="64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9"/>
  <sheetViews>
    <sheetView zoomScaleNormal="100" workbookViewId="0"/>
  </sheetViews>
  <sheetFormatPr defaultRowHeight="15"/>
  <cols>
    <col min="1" max="1" width="4.140625" style="3" customWidth="1"/>
    <col min="2" max="2" width="76.85546875" customWidth="1"/>
    <col min="3" max="3" width="23.42578125" customWidth="1"/>
    <col min="4" max="4" width="15.42578125" style="572" customWidth="1"/>
    <col min="5" max="5" width="15" customWidth="1"/>
    <col min="6" max="6" width="10.28515625" customWidth="1"/>
    <col min="7" max="7" width="15" bestFit="1" customWidth="1"/>
    <col min="8" max="8" width="14" customWidth="1"/>
    <col min="9" max="9" width="11.28515625" bestFit="1" customWidth="1"/>
    <col min="10" max="10" width="15" customWidth="1"/>
    <col min="11" max="12" width="12.28515625" customWidth="1"/>
    <col min="14" max="14" width="11" customWidth="1"/>
  </cols>
  <sheetData>
    <row r="1" spans="1:7" ht="18">
      <c r="A1" s="1155" t="str">
        <f>+'ATT H-9A'!A4</f>
        <v>Potomac Electric Power Company</v>
      </c>
      <c r="B1" s="1155"/>
      <c r="C1" s="1155"/>
      <c r="D1" s="1155"/>
      <c r="E1" s="5"/>
      <c r="F1" s="5"/>
    </row>
    <row r="2" spans="1:7">
      <c r="A2" s="570"/>
      <c r="D2" s="571"/>
      <c r="E2" s="5"/>
      <c r="F2" s="5"/>
    </row>
    <row r="3" spans="1:7" ht="15.75">
      <c r="A3" s="1157" t="s">
        <v>250</v>
      </c>
      <c r="B3" s="1158"/>
      <c r="C3" s="1158"/>
      <c r="D3" s="1158"/>
      <c r="E3" s="5"/>
      <c r="F3" s="5"/>
    </row>
    <row r="4" spans="1:7">
      <c r="B4" s="2"/>
      <c r="C4" s="3"/>
      <c r="E4" s="573"/>
      <c r="F4" s="5"/>
    </row>
    <row r="5" spans="1:7">
      <c r="B5" s="574"/>
      <c r="C5" s="3"/>
      <c r="E5" s="573"/>
      <c r="F5" s="5"/>
    </row>
    <row r="6" spans="1:7">
      <c r="A6"/>
      <c r="B6" s="575" t="s">
        <v>381</v>
      </c>
      <c r="E6" s="5"/>
      <c r="F6" s="5"/>
    </row>
    <row r="7" spans="1:7">
      <c r="A7">
        <v>1</v>
      </c>
      <c r="B7" s="15" t="s">
        <v>382</v>
      </c>
      <c r="C7" s="576"/>
      <c r="D7" s="577">
        <v>10874987.32</v>
      </c>
      <c r="E7" s="578"/>
      <c r="F7" s="579"/>
      <c r="G7" s="580"/>
    </row>
    <row r="8" spans="1:7" s="2" customFormat="1">
      <c r="A8" s="109">
        <v>2</v>
      </c>
      <c r="B8" s="581" t="s">
        <v>383</v>
      </c>
      <c r="C8" s="109" t="s">
        <v>384</v>
      </c>
      <c r="D8" s="582">
        <f>SUM(D6:D7)</f>
        <v>10874987.32</v>
      </c>
      <c r="E8" s="583"/>
      <c r="F8" s="584"/>
      <c r="G8" s="585"/>
    </row>
    <row r="9" spans="1:7">
      <c r="A9"/>
      <c r="B9" s="11"/>
      <c r="C9" s="11"/>
      <c r="D9" s="586"/>
      <c r="E9" s="586"/>
      <c r="F9" s="5"/>
      <c r="G9" s="11"/>
    </row>
    <row r="10" spans="1:7">
      <c r="A10" s="5"/>
      <c r="B10" s="575" t="s">
        <v>385</v>
      </c>
      <c r="C10" s="11"/>
      <c r="E10" s="587"/>
      <c r="F10" s="5"/>
      <c r="G10" s="588"/>
    </row>
    <row r="11" spans="1:7">
      <c r="A11" s="5"/>
      <c r="B11" s="589"/>
      <c r="C11" s="590"/>
      <c r="D11" s="591"/>
      <c r="E11" s="592"/>
      <c r="F11" s="5"/>
      <c r="G11" s="590"/>
    </row>
    <row r="12" spans="1:7">
      <c r="A12" s="5">
        <f>+A8+1</f>
        <v>3</v>
      </c>
      <c r="B12" s="15" t="s">
        <v>386</v>
      </c>
      <c r="C12" s="580"/>
      <c r="D12" s="577">
        <v>578000.98</v>
      </c>
      <c r="E12" s="593"/>
      <c r="F12" s="5"/>
      <c r="G12" s="580"/>
    </row>
    <row r="13" spans="1:7" ht="45">
      <c r="A13" s="594">
        <f t="shared" ref="A13:A19" si="0">+A12+1</f>
        <v>4</v>
      </c>
      <c r="B13" s="580" t="s">
        <v>387</v>
      </c>
      <c r="C13" s="580"/>
      <c r="D13" s="595"/>
      <c r="E13" s="596"/>
      <c r="F13" s="5"/>
      <c r="G13" s="580"/>
    </row>
    <row r="14" spans="1:7">
      <c r="A14" s="5">
        <f t="shared" si="0"/>
        <v>5</v>
      </c>
      <c r="B14" s="11" t="s">
        <v>388</v>
      </c>
      <c r="C14" s="580"/>
      <c r="D14" s="577">
        <f>867063.1-382472.03</f>
        <v>484591.06999999995</v>
      </c>
      <c r="E14" s="597"/>
      <c r="F14" s="5"/>
      <c r="G14" s="580"/>
    </row>
    <row r="15" spans="1:7">
      <c r="A15">
        <f t="shared" si="0"/>
        <v>6</v>
      </c>
      <c r="B15" s="11" t="s">
        <v>389</v>
      </c>
      <c r="C15" s="598"/>
      <c r="D15" s="599"/>
      <c r="E15" s="600"/>
      <c r="F15" s="5"/>
      <c r="G15" s="590"/>
    </row>
    <row r="16" spans="1:7">
      <c r="A16">
        <f t="shared" si="0"/>
        <v>7</v>
      </c>
      <c r="B16" s="11" t="s">
        <v>390</v>
      </c>
      <c r="C16" s="580"/>
      <c r="D16" s="595"/>
      <c r="E16" s="596"/>
      <c r="F16" s="5"/>
      <c r="G16" s="580"/>
    </row>
    <row r="17" spans="1:14">
      <c r="A17">
        <f t="shared" si="0"/>
        <v>8</v>
      </c>
      <c r="B17" s="11" t="s">
        <v>391</v>
      </c>
      <c r="C17" s="576"/>
      <c r="D17" s="601">
        <v>0</v>
      </c>
      <c r="E17" s="602"/>
      <c r="F17" s="5"/>
      <c r="G17" s="588"/>
    </row>
    <row r="18" spans="1:14">
      <c r="A18">
        <f t="shared" si="0"/>
        <v>9</v>
      </c>
      <c r="B18" s="11" t="s">
        <v>392</v>
      </c>
      <c r="C18" s="603"/>
      <c r="D18" s="601">
        <v>0</v>
      </c>
      <c r="E18" s="602"/>
      <c r="F18" s="5"/>
    </row>
    <row r="19" spans="1:14">
      <c r="A19">
        <f t="shared" si="0"/>
        <v>10</v>
      </c>
      <c r="B19" s="11" t="s">
        <v>393</v>
      </c>
      <c r="C19" s="603"/>
      <c r="D19" s="601">
        <v>0</v>
      </c>
      <c r="E19" s="602"/>
      <c r="F19" s="5"/>
    </row>
    <row r="20" spans="1:14">
      <c r="A20"/>
      <c r="B20" s="11"/>
      <c r="C20" s="603"/>
      <c r="D20" s="601"/>
      <c r="E20" s="602"/>
      <c r="F20" s="5"/>
    </row>
    <row r="21" spans="1:14">
      <c r="A21">
        <f>+A19+1</f>
        <v>11</v>
      </c>
      <c r="B21" s="11" t="s">
        <v>394</v>
      </c>
      <c r="C21" s="109" t="s">
        <v>395</v>
      </c>
      <c r="D21" s="604">
        <f>SUM(D8:D20)</f>
        <v>11937579.370000001</v>
      </c>
      <c r="E21" s="587"/>
      <c r="F21" s="5"/>
    </row>
    <row r="22" spans="1:14">
      <c r="A22" s="5">
        <v>12</v>
      </c>
      <c r="B22" s="425" t="s">
        <v>396</v>
      </c>
      <c r="C22" s="603"/>
      <c r="D22" s="587">
        <f>+D37</f>
        <v>-6905834.4479464004</v>
      </c>
      <c r="E22" s="587"/>
      <c r="F22" s="5"/>
    </row>
    <row r="23" spans="1:14">
      <c r="A23" s="5">
        <v>13</v>
      </c>
      <c r="B23" s="425" t="s">
        <v>397</v>
      </c>
      <c r="C23" s="603"/>
      <c r="D23" s="587">
        <f>+D21+D22</f>
        <v>5031744.9220536007</v>
      </c>
      <c r="E23" s="587"/>
      <c r="F23" s="5"/>
    </row>
    <row r="24" spans="1:14">
      <c r="A24"/>
      <c r="B24" s="11"/>
      <c r="D24" s="587"/>
      <c r="E24" s="587"/>
      <c r="F24" s="5"/>
      <c r="H24" s="89"/>
      <c r="J24" s="89"/>
      <c r="L24" s="89"/>
      <c r="N24" s="89"/>
    </row>
    <row r="25" spans="1:14">
      <c r="A25"/>
      <c r="B25" s="605" t="s">
        <v>398</v>
      </c>
      <c r="D25" s="606"/>
      <c r="E25" s="606"/>
      <c r="F25" s="5"/>
      <c r="H25" s="89"/>
      <c r="J25" s="89"/>
      <c r="L25" s="89"/>
      <c r="N25" s="89"/>
    </row>
    <row r="26" spans="1:14" ht="64.5">
      <c r="A26" s="594">
        <v>14</v>
      </c>
      <c r="B26" s="607" t="s">
        <v>399</v>
      </c>
      <c r="D26" s="587"/>
      <c r="E26" s="587"/>
      <c r="F26" s="5"/>
      <c r="H26" s="89"/>
      <c r="J26" s="89"/>
      <c r="K26" s="89"/>
      <c r="L26" s="89"/>
    </row>
    <row r="27" spans="1:14">
      <c r="A27" s="608"/>
      <c r="B27" s="11"/>
      <c r="E27" s="587"/>
      <c r="F27" s="5"/>
      <c r="H27" s="89"/>
      <c r="J27" s="89"/>
      <c r="K27" s="89"/>
      <c r="L27" s="89"/>
      <c r="N27" s="89"/>
    </row>
    <row r="28" spans="1:14" ht="75">
      <c r="A28" s="608">
        <v>15</v>
      </c>
      <c r="B28" s="609" t="s">
        <v>400</v>
      </c>
      <c r="D28" s="588"/>
      <c r="E28" s="602"/>
      <c r="F28" s="5"/>
      <c r="H28" s="89"/>
      <c r="J28" s="89"/>
      <c r="K28" s="89"/>
      <c r="L28" s="89"/>
    </row>
    <row r="29" spans="1:14">
      <c r="A29" s="608"/>
      <c r="B29" s="11"/>
      <c r="E29" s="587"/>
      <c r="F29" s="5"/>
      <c r="H29" s="89"/>
      <c r="J29" s="89"/>
      <c r="K29" s="89"/>
      <c r="L29" s="89"/>
    </row>
    <row r="30" spans="1:14" ht="153">
      <c r="A30" s="610">
        <v>16</v>
      </c>
      <c r="B30" s="354" t="s">
        <v>401</v>
      </c>
      <c r="C30" s="611"/>
      <c r="D30" s="612"/>
      <c r="E30" s="612"/>
      <c r="F30" s="5"/>
      <c r="H30" s="89"/>
      <c r="J30" s="89"/>
      <c r="K30" s="89"/>
      <c r="L30" s="89"/>
    </row>
    <row r="31" spans="1:14" ht="15.75">
      <c r="A31" s="610" t="s">
        <v>402</v>
      </c>
      <c r="B31" s="354" t="s">
        <v>403</v>
      </c>
      <c r="C31" s="611"/>
      <c r="D31" s="613">
        <f>D7+D17+D19</f>
        <v>10874987.32</v>
      </c>
      <c r="E31" s="614"/>
      <c r="F31" s="615"/>
      <c r="G31" s="615"/>
      <c r="H31" s="89"/>
    </row>
    <row r="32" spans="1:14" s="2" customFormat="1" ht="31.5">
      <c r="A32" s="610" t="s">
        <v>251</v>
      </c>
      <c r="B32" s="354" t="s">
        <v>252</v>
      </c>
      <c r="C32" s="616" t="s">
        <v>65</v>
      </c>
      <c r="D32" s="613">
        <f>'5 - Cost Support 1'!E246</f>
        <v>2936681.5758928</v>
      </c>
      <c r="E32" s="617"/>
      <c r="F32" s="615"/>
      <c r="G32" s="615"/>
      <c r="H32" s="618"/>
    </row>
    <row r="33" spans="1:10" ht="15.75">
      <c r="A33" s="610" t="s">
        <v>404</v>
      </c>
      <c r="B33" s="354" t="s">
        <v>405</v>
      </c>
      <c r="C33" s="611"/>
      <c r="D33" s="619">
        <f>+D31-D32</f>
        <v>7938305.7441071998</v>
      </c>
      <c r="E33" s="619"/>
      <c r="F33" s="620"/>
      <c r="G33" s="620"/>
      <c r="H33" s="621"/>
    </row>
    <row r="34" spans="1:10" s="2" customFormat="1" ht="15.75">
      <c r="A34" s="610" t="s">
        <v>406</v>
      </c>
      <c r="B34" s="354" t="s">
        <v>407</v>
      </c>
      <c r="C34" s="611"/>
      <c r="D34" s="619">
        <f>+D33/2</f>
        <v>3969152.8720535999</v>
      </c>
      <c r="E34" s="619"/>
      <c r="F34" s="5"/>
      <c r="G34" s="5"/>
      <c r="H34" s="622"/>
      <c r="J34" s="623"/>
    </row>
    <row r="35" spans="1:10" ht="38.25">
      <c r="A35" s="610" t="s">
        <v>408</v>
      </c>
      <c r="B35" s="354" t="s">
        <v>409</v>
      </c>
      <c r="C35" s="611"/>
      <c r="D35" s="613">
        <v>0</v>
      </c>
      <c r="E35" s="619"/>
      <c r="F35" s="5"/>
      <c r="G35" s="624"/>
    </row>
    <row r="36" spans="1:10" ht="15.75">
      <c r="A36" s="610" t="s">
        <v>410</v>
      </c>
      <c r="B36" s="576" t="s">
        <v>411</v>
      </c>
      <c r="C36" s="603"/>
      <c r="D36" s="625">
        <f>+D34+D35</f>
        <v>3969152.8720535999</v>
      </c>
      <c r="E36" s="625"/>
      <c r="F36" s="5"/>
      <c r="G36" s="5"/>
      <c r="H36" s="89"/>
    </row>
    <row r="37" spans="1:10" ht="15.75">
      <c r="A37" s="610" t="s">
        <v>412</v>
      </c>
      <c r="B37" s="576" t="s">
        <v>413</v>
      </c>
      <c r="C37" s="603"/>
      <c r="D37" s="625">
        <f>+D36-D31</f>
        <v>-6905834.4479464004</v>
      </c>
      <c r="E37" s="625"/>
      <c r="F37" s="5"/>
      <c r="G37" s="5"/>
      <c r="H37" s="89"/>
    </row>
    <row r="38" spans="1:10" ht="75">
      <c r="A38" s="626">
        <v>18</v>
      </c>
      <c r="B38" s="627" t="s">
        <v>414</v>
      </c>
      <c r="C38" s="616"/>
      <c r="D38" s="628">
        <f>SUM(276855418)-D40-D21</f>
        <v>96229100.629999995</v>
      </c>
      <c r="E38" s="629"/>
      <c r="F38" s="612"/>
      <c r="I38" s="94"/>
    </row>
    <row r="39" spans="1:10">
      <c r="C39" s="630"/>
      <c r="E39" s="587"/>
      <c r="F39" s="5"/>
    </row>
    <row r="40" spans="1:10">
      <c r="A40" s="3">
        <v>19</v>
      </c>
      <c r="B40" t="s">
        <v>415</v>
      </c>
      <c r="C40" s="630"/>
      <c r="D40" s="604">
        <v>168688738</v>
      </c>
      <c r="E40" s="629"/>
      <c r="F40" s="5"/>
    </row>
    <row r="41" spans="1:10">
      <c r="D41" s="631"/>
      <c r="E41" s="606"/>
      <c r="F41" s="5"/>
    </row>
    <row r="42" spans="1:10">
      <c r="A42" s="3">
        <v>20</v>
      </c>
      <c r="B42" s="603" t="s">
        <v>416</v>
      </c>
      <c r="C42" s="603"/>
      <c r="D42" s="632">
        <f>+D21+D26+D38+D40</f>
        <v>276855418</v>
      </c>
      <c r="E42" s="633"/>
      <c r="F42" s="584"/>
      <c r="G42" s="2"/>
    </row>
    <row r="43" spans="1:10">
      <c r="A43" s="3">
        <v>21</v>
      </c>
      <c r="B43" s="603" t="s">
        <v>417</v>
      </c>
      <c r="E43" s="620"/>
      <c r="F43" s="5"/>
    </row>
    <row r="44" spans="1:10">
      <c r="E44" s="615"/>
    </row>
    <row r="47" spans="1:10">
      <c r="C47" s="630"/>
      <c r="D47" s="606"/>
      <c r="E47" s="111"/>
      <c r="F47" s="111"/>
      <c r="G47" s="111"/>
    </row>
    <row r="48" spans="1:10">
      <c r="D48" s="606"/>
      <c r="E48" s="111"/>
      <c r="F48" s="111"/>
      <c r="G48" s="634"/>
    </row>
    <row r="49" spans="4:7">
      <c r="D49" s="606"/>
      <c r="E49" s="111"/>
      <c r="F49" s="111"/>
      <c r="G49" s="634"/>
    </row>
    <row r="50" spans="4:7">
      <c r="D50" s="606"/>
      <c r="E50" s="111"/>
      <c r="F50" s="111"/>
      <c r="G50" s="634"/>
    </row>
    <row r="51" spans="4:7">
      <c r="D51" s="606"/>
      <c r="E51" s="111"/>
      <c r="F51" s="635"/>
      <c r="G51" s="634"/>
    </row>
    <row r="52" spans="4:7">
      <c r="G52" s="636"/>
    </row>
    <row r="53" spans="4:7">
      <c r="G53" s="636"/>
    </row>
    <row r="54" spans="4:7">
      <c r="G54" s="636"/>
    </row>
    <row r="55" spans="4:7">
      <c r="G55" s="636"/>
    </row>
    <row r="56" spans="4:7">
      <c r="G56" s="110"/>
    </row>
    <row r="58" spans="4:7">
      <c r="G58" s="110"/>
    </row>
    <row r="59" spans="4:7">
      <c r="G59" s="110"/>
    </row>
    <row r="60" spans="4:7">
      <c r="G60" s="110"/>
    </row>
    <row r="62" spans="4:7">
      <c r="G62" s="636"/>
    </row>
    <row r="63" spans="4:7">
      <c r="G63" s="636"/>
    </row>
    <row r="289" spans="3:3" ht="15.75">
      <c r="C289" s="8" t="s">
        <v>418</v>
      </c>
    </row>
  </sheetData>
  <mergeCells count="2">
    <mergeCell ref="A1:D1"/>
    <mergeCell ref="A3:D3"/>
  </mergeCells>
  <pageMargins left="0.5" right="0.5" top="1" bottom="1" header="0.5" footer="0.5"/>
  <pageSetup scale="61"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16"/>
  <sheetViews>
    <sheetView zoomScale="75" zoomScaleNormal="75" workbookViewId="0"/>
  </sheetViews>
  <sheetFormatPr defaultRowHeight="15"/>
  <cols>
    <col min="1" max="1" width="9.28515625" customWidth="1"/>
    <col min="2" max="2" width="3" customWidth="1"/>
    <col min="3" max="3" width="8.140625" customWidth="1"/>
    <col min="4" max="4" width="38.7109375" customWidth="1"/>
    <col min="5" max="5" width="28.7109375" customWidth="1"/>
    <col min="6" max="6" width="34.28515625" customWidth="1"/>
    <col min="7" max="7" width="37.140625" customWidth="1"/>
    <col min="8" max="8" width="3.85546875" customWidth="1"/>
    <col min="9" max="9" width="18" customWidth="1"/>
  </cols>
  <sheetData>
    <row r="1" spans="1:9" ht="18">
      <c r="A1" s="1155" t="str">
        <f>+'ATT H-9A'!A4</f>
        <v>Potomac Electric Power Company</v>
      </c>
      <c r="B1" s="1155"/>
      <c r="C1" s="1155"/>
      <c r="D1" s="1155"/>
      <c r="E1" s="1155"/>
      <c r="F1" s="1155"/>
      <c r="G1" s="1155"/>
      <c r="H1" s="1156"/>
      <c r="I1" s="1156"/>
    </row>
    <row r="2" spans="1:9" ht="18">
      <c r="A2" s="1"/>
      <c r="B2" s="9"/>
      <c r="C2" s="9"/>
      <c r="D2" s="9"/>
      <c r="E2" s="9"/>
      <c r="F2" s="9"/>
      <c r="G2" s="9"/>
    </row>
    <row r="3" spans="1:9" ht="18">
      <c r="A3" s="1159" t="s">
        <v>357</v>
      </c>
      <c r="B3" s="1159"/>
      <c r="C3" s="1159"/>
      <c r="D3" s="1159"/>
      <c r="E3" s="1159"/>
      <c r="F3" s="1159"/>
      <c r="G3" s="1159"/>
      <c r="H3" s="1156"/>
      <c r="I3" s="1156"/>
    </row>
    <row r="5" spans="1:9" s="281" customFormat="1">
      <c r="B5" s="1"/>
    </row>
    <row r="6" spans="1:9" s="281" customFormat="1"/>
    <row r="7" spans="1:9" s="281" customFormat="1"/>
    <row r="8" spans="1:9" s="281" customFormat="1">
      <c r="C8" s="281" t="s">
        <v>358</v>
      </c>
    </row>
    <row r="9" spans="1:9" s="281" customFormat="1">
      <c r="A9" s="452" t="s">
        <v>9</v>
      </c>
      <c r="B9" s="452"/>
      <c r="D9" s="281" t="s">
        <v>359</v>
      </c>
      <c r="G9" s="453" t="s">
        <v>360</v>
      </c>
      <c r="I9" s="454">
        <f>+I56+I77</f>
        <v>86051348.739844084</v>
      </c>
    </row>
    <row r="10" spans="1:9" s="281" customFormat="1">
      <c r="A10" s="452"/>
      <c r="B10" s="452"/>
    </row>
    <row r="11" spans="1:9" s="281" customFormat="1">
      <c r="A11" s="452" t="s">
        <v>10</v>
      </c>
      <c r="B11" s="452"/>
      <c r="D11" s="281" t="str">
        <f>I11*10000&amp;" Basis Point increase in ROE"</f>
        <v>100 Basis Point increase in ROE</v>
      </c>
      <c r="I11" s="455">
        <v>0.01</v>
      </c>
    </row>
    <row r="12" spans="1:9" s="281" customFormat="1">
      <c r="A12" s="452"/>
      <c r="B12" s="452"/>
      <c r="I12" s="455"/>
    </row>
    <row r="13" spans="1:9" s="453" customFormat="1">
      <c r="A13" s="452"/>
      <c r="B13" s="452"/>
      <c r="C13" s="281"/>
      <c r="D13" s="281"/>
      <c r="E13" s="281"/>
      <c r="F13" s="281"/>
      <c r="G13" s="281"/>
      <c r="H13" s="281"/>
    </row>
    <row r="14" spans="1:9" s="453" customFormat="1" ht="15.75">
      <c r="A14" s="456" t="s">
        <v>361</v>
      </c>
      <c r="B14" s="457"/>
      <c r="C14" s="457"/>
      <c r="D14" s="457"/>
      <c r="E14" s="457"/>
      <c r="F14" s="457"/>
      <c r="G14" s="457"/>
      <c r="H14" s="457"/>
      <c r="I14" s="457"/>
    </row>
    <row r="15" spans="1:9" s="281" customFormat="1">
      <c r="I15" s="458"/>
    </row>
    <row r="16" spans="1:9" s="281" customFormat="1">
      <c r="A16" s="452">
        <f>+'ATT H-9A'!A110</f>
        <v>59</v>
      </c>
      <c r="C16" s="459" t="str">
        <f>+'ATT H-9A'!B110</f>
        <v>Rate Base</v>
      </c>
      <c r="D16" s="459"/>
      <c r="F16" s="459"/>
      <c r="G16" s="478" t="str">
        <f>+'ATT H-9A'!F110</f>
        <v>(Line 39 + 58)</v>
      </c>
      <c r="H16" s="459"/>
      <c r="I16" s="454">
        <f>+'ATT H-9A'!H110</f>
        <v>823989343.20627439</v>
      </c>
    </row>
    <row r="17" spans="1:9" s="281" customFormat="1">
      <c r="G17" s="459"/>
      <c r="I17" s="458"/>
    </row>
    <row r="18" spans="1:9" s="281" customFormat="1">
      <c r="G18" s="459"/>
    </row>
    <row r="19" spans="1:9" s="281" customFormat="1" ht="15.75">
      <c r="A19" s="460"/>
      <c r="B19" s="459"/>
      <c r="C19" s="481" t="str">
        <f>'ATT H-9A'!B179</f>
        <v>Long Term Interest</v>
      </c>
      <c r="D19" s="462"/>
      <c r="E19" s="463"/>
      <c r="F19" s="464"/>
      <c r="G19" s="465"/>
      <c r="H19" s="466"/>
    </row>
    <row r="20" spans="1:9" s="281" customFormat="1" ht="15.75">
      <c r="A20" s="460">
        <f>'ATT H-9A'!A180</f>
        <v>100</v>
      </c>
      <c r="B20" s="459"/>
      <c r="C20" s="459"/>
      <c r="D20" s="462" t="str">
        <f>'ATT H-9A'!C180</f>
        <v>Long Term Interest</v>
      </c>
      <c r="E20" s="463"/>
      <c r="F20" s="464"/>
      <c r="G20" s="465" t="str">
        <f>'ATT H-9A'!F180</f>
        <v>p117.62c through 67c</v>
      </c>
      <c r="H20" s="466"/>
      <c r="I20" s="467">
        <f>+'ATT H-9A'!H180</f>
        <v>130227602</v>
      </c>
    </row>
    <row r="21" spans="1:9" s="281" customFormat="1">
      <c r="A21" s="468">
        <f>'ATT H-9A'!A181</f>
        <v>101</v>
      </c>
      <c r="B21" s="459"/>
      <c r="C21" s="459"/>
      <c r="D21" s="469" t="str">
        <f>'ATT H-9A'!C181</f>
        <v xml:space="preserve">    Less LTD Interest on Securitization Bonds</v>
      </c>
      <c r="E21" s="473" t="str">
        <f>'ATT H-9A'!E181</f>
        <v>(Note P)</v>
      </c>
      <c r="F21" s="471"/>
      <c r="G21" s="472" t="str">
        <f>'ATT H-9A'!F181</f>
        <v>Attachment 8</v>
      </c>
      <c r="H21" s="473"/>
      <c r="I21" s="467">
        <f>+'ATT H-9A'!H181</f>
        <v>0</v>
      </c>
    </row>
    <row r="22" spans="1:9" s="281" customFormat="1" ht="15.75">
      <c r="A22" s="468">
        <f>'ATT H-9A'!A182</f>
        <v>102</v>
      </c>
      <c r="B22" s="459"/>
      <c r="C22" s="459"/>
      <c r="D22" s="478" t="str">
        <f>'ATT H-9A'!C182</f>
        <v>Long Term Interest</v>
      </c>
      <c r="E22" s="463"/>
      <c r="F22" s="462"/>
      <c r="G22" s="465" t="str">
        <f>'ATT H-9A'!F182</f>
        <v>"(Line 100 - line 101)"</v>
      </c>
      <c r="H22" s="466"/>
      <c r="I22" s="467">
        <f>+I20-I21</f>
        <v>130227602</v>
      </c>
    </row>
    <row r="23" spans="1:9" s="281" customFormat="1">
      <c r="A23" s="468"/>
      <c r="B23" s="459"/>
      <c r="C23" s="469"/>
      <c r="D23" s="469"/>
      <c r="E23" s="464"/>
      <c r="F23" s="475"/>
      <c r="G23" s="459"/>
      <c r="H23" s="475"/>
      <c r="I23" s="476"/>
    </row>
    <row r="24" spans="1:9" s="281" customFormat="1" ht="15.75">
      <c r="A24" s="468">
        <f>'ATT H-9A'!A184</f>
        <v>103</v>
      </c>
      <c r="B24" s="459"/>
      <c r="C24" s="478" t="str">
        <f>'ATT H-9A'!B184</f>
        <v>Preferred Dividends</v>
      </c>
      <c r="D24" s="477"/>
      <c r="F24" s="475" t="str">
        <f>'ATT H-9A'!E184</f>
        <v xml:space="preserve"> enter positive</v>
      </c>
      <c r="G24" s="478" t="str">
        <f>'ATT H-9A'!F184</f>
        <v>p118.29c</v>
      </c>
      <c r="H24" s="475"/>
      <c r="I24" s="467">
        <f>+'ATT H-9A'!H184</f>
        <v>0</v>
      </c>
    </row>
    <row r="25" spans="1:9" s="281" customFormat="1">
      <c r="A25" s="468"/>
      <c r="B25" s="459"/>
      <c r="C25" s="469"/>
      <c r="D25" s="469"/>
      <c r="E25" s="464"/>
      <c r="F25" s="479"/>
      <c r="G25" s="478"/>
      <c r="H25" s="475"/>
      <c r="I25" s="476"/>
    </row>
    <row r="26" spans="1:9" s="281" customFormat="1" ht="15.75">
      <c r="A26" s="468"/>
      <c r="B26" s="459"/>
      <c r="C26" s="469" t="str">
        <f>'ATT H-9A'!B186</f>
        <v>Common Stock</v>
      </c>
      <c r="D26" s="480"/>
      <c r="E26" s="464"/>
      <c r="F26" s="464"/>
      <c r="G26" s="478"/>
      <c r="H26" s="475"/>
      <c r="I26" s="476"/>
    </row>
    <row r="27" spans="1:9" s="281" customFormat="1">
      <c r="A27" s="468">
        <f>'ATT H-9A'!A187</f>
        <v>104</v>
      </c>
      <c r="B27" s="459"/>
      <c r="C27" s="459"/>
      <c r="D27" s="478" t="str">
        <f>'ATT H-9A'!C187</f>
        <v>Proprietary Capital</v>
      </c>
      <c r="E27" s="475"/>
      <c r="F27" s="475"/>
      <c r="G27" s="478" t="str">
        <f>'ATT H-9A'!F187</f>
        <v>p112.16c</v>
      </c>
      <c r="H27" s="475"/>
      <c r="I27" s="467">
        <f>+'ATT H-9A'!H187</f>
        <v>2533342208</v>
      </c>
    </row>
    <row r="28" spans="1:9" s="281" customFormat="1">
      <c r="A28" s="460">
        <f>'ATT H-9A'!A188</f>
        <v>105</v>
      </c>
      <c r="B28" s="459"/>
      <c r="C28" s="459"/>
      <c r="D28" s="481" t="str">
        <f>'ATT H-9A'!C188</f>
        <v xml:space="preserve">    Less Preferred Stock</v>
      </c>
      <c r="F28" s="476" t="str">
        <f>'ATT H-9A'!E188</f>
        <v>enter negative</v>
      </c>
      <c r="G28" s="481" t="str">
        <f>'ATT H-9A'!F188</f>
        <v>(Line 114)</v>
      </c>
      <c r="H28" s="475"/>
      <c r="I28" s="476">
        <f>-I39</f>
        <v>0</v>
      </c>
    </row>
    <row r="29" spans="1:9" s="281" customFormat="1">
      <c r="A29" s="468">
        <f>'ATT H-9A'!A189</f>
        <v>106</v>
      </c>
      <c r="B29" s="459"/>
      <c r="C29" s="459"/>
      <c r="D29" s="481" t="str">
        <f>'ATT H-9A'!C189</f>
        <v xml:space="preserve">    Less Account 216.1</v>
      </c>
      <c r="F29" s="482" t="str">
        <f>'ATT H-9A'!E189</f>
        <v>enter negative</v>
      </c>
      <c r="G29" s="483" t="str">
        <f>'ATT H-9A'!F189</f>
        <v>p112.12c</v>
      </c>
      <c r="H29" s="473"/>
      <c r="I29" s="482">
        <f>+'ATT H-9A'!H189</f>
        <v>-1646367</v>
      </c>
    </row>
    <row r="30" spans="1:9" s="281" customFormat="1">
      <c r="A30" s="468">
        <f>'ATT H-9A'!A190</f>
        <v>107</v>
      </c>
      <c r="B30" s="459"/>
      <c r="C30" s="459"/>
      <c r="D30" s="481" t="str">
        <f>'ATT H-9A'!C190</f>
        <v>Common Stock</v>
      </c>
      <c r="F30" s="467"/>
      <c r="G30" s="1111" t="str">
        <f>'ATT H-9A'!F190</f>
        <v>(Sum Lines 104 to 106)</v>
      </c>
      <c r="H30" s="485"/>
      <c r="I30" s="476">
        <f>SUM(I27:I29)</f>
        <v>2531695841</v>
      </c>
    </row>
    <row r="31" spans="1:9" s="281" customFormat="1">
      <c r="A31" s="468"/>
      <c r="B31" s="459"/>
      <c r="C31" s="469"/>
      <c r="D31" s="469"/>
      <c r="F31" s="464"/>
      <c r="G31" s="478"/>
      <c r="H31" s="464"/>
      <c r="I31" s="476"/>
    </row>
    <row r="32" spans="1:9" s="281" customFormat="1" ht="15.75">
      <c r="A32" s="468"/>
      <c r="B32" s="459"/>
      <c r="C32" s="469" t="str">
        <f>'ATT H-9A'!B192</f>
        <v>Capitalization</v>
      </c>
      <c r="D32" s="480"/>
      <c r="F32" s="464"/>
      <c r="G32" s="478"/>
      <c r="H32" s="464"/>
      <c r="I32" s="476"/>
    </row>
    <row r="33" spans="1:9" s="281" customFormat="1">
      <c r="A33" s="468">
        <f>'ATT H-9A'!A193</f>
        <v>108</v>
      </c>
      <c r="B33" s="459"/>
      <c r="C33" s="459"/>
      <c r="D33" s="469" t="str">
        <f>'ATT H-9A'!C193</f>
        <v>Long Term Debt</v>
      </c>
      <c r="F33" s="464"/>
      <c r="G33" s="469" t="str">
        <f>'ATT H-9A'!F193</f>
        <v>p112.17c through 21c</v>
      </c>
      <c r="H33" s="464"/>
      <c r="I33" s="467">
        <f>+'ATT H-9A'!H193</f>
        <v>2542952327</v>
      </c>
    </row>
    <row r="34" spans="1:9" s="281" customFormat="1">
      <c r="A34" s="460">
        <f>'ATT H-9A'!A194</f>
        <v>109</v>
      </c>
      <c r="B34" s="459"/>
      <c r="C34" s="459"/>
      <c r="D34" s="469" t="str">
        <f>'ATT H-9A'!C194</f>
        <v xml:space="preserve">      Less Loss on Reacquired Debt </v>
      </c>
      <c r="F34" s="475" t="str">
        <f>'ATT H-9A'!E194</f>
        <v>enter negative</v>
      </c>
      <c r="G34" s="478" t="str">
        <f>'ATT H-9A'!F194</f>
        <v>p111.81c</v>
      </c>
      <c r="H34" s="464"/>
      <c r="I34" s="467">
        <f>+'ATT H-9A'!H194</f>
        <v>-15226454</v>
      </c>
    </row>
    <row r="35" spans="1:9" s="281" customFormat="1">
      <c r="A35" s="460">
        <f>'ATT H-9A'!A195</f>
        <v>110</v>
      </c>
      <c r="B35" s="486"/>
      <c r="C35" s="486"/>
      <c r="D35" s="461" t="str">
        <f>'ATT H-9A'!C195</f>
        <v xml:space="preserve">      Plus Gain on Reacquired Debt</v>
      </c>
      <c r="F35" s="487" t="str">
        <f>'ATT H-9A'!E195</f>
        <v>enter positive</v>
      </c>
      <c r="G35" s="461" t="str">
        <f>'ATT H-9A'!F195</f>
        <v>p113.61c</v>
      </c>
      <c r="H35" s="487"/>
      <c r="I35" s="467">
        <f>+'ATT H-9A'!H195</f>
        <v>0</v>
      </c>
    </row>
    <row r="36" spans="1:9" s="281" customFormat="1">
      <c r="A36" s="460">
        <f>'ATT H-9A'!A196</f>
        <v>111</v>
      </c>
      <c r="B36" s="486"/>
      <c r="C36" s="486"/>
      <c r="D36" s="461" t="str">
        <f>'ATT H-9A'!C196</f>
        <v xml:space="preserve">      Less ADIT associated with Gain or Loss</v>
      </c>
      <c r="F36" s="476" t="str">
        <f>'ATT H-9A'!E196</f>
        <v>enter negative</v>
      </c>
      <c r="G36" s="461" t="str">
        <f>'ATT H-9A'!F196</f>
        <v>Attachment 1</v>
      </c>
      <c r="H36" s="487"/>
      <c r="I36" s="467">
        <f>+'ATT H-9A'!H196</f>
        <v>4111752</v>
      </c>
    </row>
    <row r="37" spans="1:9" s="281" customFormat="1">
      <c r="A37" s="460">
        <f>'ATT H-9A'!A197</f>
        <v>112</v>
      </c>
      <c r="B37" s="486"/>
      <c r="C37" s="486"/>
      <c r="D37" s="461" t="str">
        <f>'ATT H-9A'!C197</f>
        <v xml:space="preserve">      Less LTD on Securitization Bonds</v>
      </c>
      <c r="F37" s="476" t="str">
        <f>'ATT H-9A'!E197</f>
        <v>enter negative</v>
      </c>
      <c r="G37" s="481" t="str">
        <f>'ATT H-9A'!F197</f>
        <v>Attachment 8</v>
      </c>
      <c r="H37" s="487"/>
      <c r="I37" s="467">
        <f>+'ATT H-9A'!H197</f>
        <v>0</v>
      </c>
    </row>
    <row r="38" spans="1:9" s="281" customFormat="1">
      <c r="A38" s="460">
        <f>'ATT H-9A'!A198</f>
        <v>113</v>
      </c>
      <c r="B38" s="486"/>
      <c r="C38" s="486"/>
      <c r="D38" s="461" t="str">
        <f>'ATT H-9A'!C198</f>
        <v>Total Long Term Debt</v>
      </c>
      <c r="E38" s="488"/>
      <c r="F38" s="489"/>
      <c r="G38" s="1112" t="str">
        <f>'ATT H-9A'!F198</f>
        <v>(Sum Lines 108 to 112)</v>
      </c>
      <c r="H38" s="488"/>
      <c r="I38" s="490">
        <f>SUM(I33:I37)</f>
        <v>2531837625</v>
      </c>
    </row>
    <row r="39" spans="1:9" s="281" customFormat="1">
      <c r="A39" s="460">
        <f>'ATT H-9A'!A199</f>
        <v>114</v>
      </c>
      <c r="B39" s="486"/>
      <c r="C39" s="486"/>
      <c r="D39" s="461" t="str">
        <f>'ATT H-9A'!C199</f>
        <v>Preferred Stock</v>
      </c>
      <c r="E39" s="487"/>
      <c r="F39" s="491"/>
      <c r="G39" s="461" t="str">
        <f>'ATT H-9A'!F199</f>
        <v>p112.3c</v>
      </c>
      <c r="H39" s="487"/>
      <c r="I39" s="467">
        <f>+'ATT H-9A'!H199</f>
        <v>0</v>
      </c>
    </row>
    <row r="40" spans="1:9" s="281" customFormat="1">
      <c r="A40" s="468">
        <f>'ATT H-9A'!A200</f>
        <v>115</v>
      </c>
      <c r="B40" s="459"/>
      <c r="C40" s="459"/>
      <c r="D40" s="469" t="str">
        <f>'ATT H-9A'!C200</f>
        <v>Common Stock</v>
      </c>
      <c r="E40" s="464"/>
      <c r="F40" s="479"/>
      <c r="G40" s="478" t="str">
        <f>'ATT H-9A'!F200</f>
        <v>(Line 107)</v>
      </c>
      <c r="H40" s="464"/>
      <c r="I40" s="467">
        <f>I30</f>
        <v>2531695841</v>
      </c>
    </row>
    <row r="41" spans="1:9" s="281" customFormat="1" ht="15.75">
      <c r="A41" s="468">
        <f>'ATT H-9A'!A201</f>
        <v>116</v>
      </c>
      <c r="B41" s="459"/>
      <c r="C41" s="459"/>
      <c r="D41" s="469" t="str">
        <f>'ATT H-9A'!C201</f>
        <v>Total  Capitalization</v>
      </c>
      <c r="E41" s="492"/>
      <c r="F41" s="493"/>
      <c r="G41" s="1113" t="str">
        <f>'ATT H-9A'!F201</f>
        <v>(Sum Lines 113 to 115)</v>
      </c>
      <c r="H41" s="495"/>
      <c r="I41" s="490">
        <f>I40+I39+I38</f>
        <v>5063533466</v>
      </c>
    </row>
    <row r="42" spans="1:9" s="281" customFormat="1">
      <c r="A42" s="468"/>
      <c r="B42" s="459"/>
      <c r="C42" s="459"/>
      <c r="D42" s="469"/>
      <c r="E42" s="464"/>
      <c r="F42" s="479"/>
      <c r="G42" s="459"/>
      <c r="H42" s="475"/>
      <c r="I42" s="496"/>
    </row>
    <row r="43" spans="1:9" s="281" customFormat="1">
      <c r="A43" s="460">
        <f>'ATT H-9A'!A203</f>
        <v>117</v>
      </c>
      <c r="B43" s="459"/>
      <c r="C43" s="459"/>
      <c r="D43" s="469" t="str">
        <f>'ATT H-9A'!C203</f>
        <v>Debt %</v>
      </c>
      <c r="E43" s="497"/>
      <c r="F43" s="498" t="str">
        <f>'ATT H-9A'!D203</f>
        <v>Total Long Term Debt</v>
      </c>
      <c r="G43" s="478" t="str">
        <f>'ATT H-9A'!F203</f>
        <v>(Line 113 / 116)</v>
      </c>
      <c r="H43" s="475"/>
      <c r="I43" s="499">
        <f>IF(I41&gt;0,I38/I41,0)</f>
        <v>0.5000140004999426</v>
      </c>
    </row>
    <row r="44" spans="1:9" s="281" customFormat="1">
      <c r="A44" s="460">
        <f>'ATT H-9A'!A204</f>
        <v>118</v>
      </c>
      <c r="B44" s="459"/>
      <c r="C44" s="459"/>
      <c r="D44" s="469" t="str">
        <f>'ATT H-9A'!C204</f>
        <v>Preferred %</v>
      </c>
      <c r="E44" s="479"/>
      <c r="F44" s="498" t="str">
        <f>'ATT H-9A'!D204</f>
        <v>Preferred Stock</v>
      </c>
      <c r="G44" s="478" t="str">
        <f>'ATT H-9A'!F204</f>
        <v>(Line 114 / 116)</v>
      </c>
      <c r="H44" s="475"/>
      <c r="I44" s="499">
        <f>IF(I41&gt;0,I39/I41,0)</f>
        <v>0</v>
      </c>
    </row>
    <row r="45" spans="1:9" s="281" customFormat="1">
      <c r="A45" s="460">
        <f>'ATT H-9A'!A205</f>
        <v>119</v>
      </c>
      <c r="B45" s="459"/>
      <c r="C45" s="459"/>
      <c r="D45" s="469" t="str">
        <f>'ATT H-9A'!C205</f>
        <v>Common %</v>
      </c>
      <c r="E45" s="479"/>
      <c r="F45" s="498" t="str">
        <f>'ATT H-9A'!D205</f>
        <v>Common Stock</v>
      </c>
      <c r="G45" s="478" t="str">
        <f>'ATT H-9A'!F205</f>
        <v>(Line 115 / 116)</v>
      </c>
      <c r="H45" s="475"/>
      <c r="I45" s="499">
        <f>IF(I41&gt;0,I40/I41,0)</f>
        <v>0.4999859995000574</v>
      </c>
    </row>
    <row r="46" spans="1:9" s="281" customFormat="1">
      <c r="A46" s="460"/>
      <c r="B46" s="459"/>
      <c r="C46" s="459"/>
      <c r="D46" s="469"/>
      <c r="E46" s="464"/>
      <c r="F46" s="478"/>
      <c r="G46" s="459"/>
      <c r="H46" s="475"/>
      <c r="I46" s="496"/>
    </row>
    <row r="47" spans="1:9" s="281" customFormat="1">
      <c r="A47" s="460">
        <f>'ATT H-9A'!A207</f>
        <v>120</v>
      </c>
      <c r="B47" s="459"/>
      <c r="C47" s="459"/>
      <c r="D47" s="478" t="str">
        <f>'ATT H-9A'!C207</f>
        <v>Debt Cost</v>
      </c>
      <c r="E47" s="497"/>
      <c r="F47" s="478" t="str">
        <f>'ATT H-9A'!D207</f>
        <v>Total Long Term Debt</v>
      </c>
      <c r="G47" s="478" t="str">
        <f>'ATT H-9A'!F207</f>
        <v>(Line 102 / 113)</v>
      </c>
      <c r="H47" s="475"/>
      <c r="I47" s="500">
        <f>IF(I38&gt;0,I22/I38,0)</f>
        <v>5.1436000758539956E-2</v>
      </c>
    </row>
    <row r="48" spans="1:9" s="281" customFormat="1">
      <c r="A48" s="460">
        <f>'ATT H-9A'!A208</f>
        <v>121</v>
      </c>
      <c r="B48" s="459"/>
      <c r="C48" s="459"/>
      <c r="D48" s="478" t="str">
        <f>'ATT H-9A'!C208</f>
        <v>Preferred Cost</v>
      </c>
      <c r="E48" s="479"/>
      <c r="F48" s="478" t="str">
        <f>'ATT H-9A'!D208</f>
        <v>Preferred Stock</v>
      </c>
      <c r="G48" s="478" t="str">
        <f>'ATT H-9A'!F208</f>
        <v>(Line 103 / 114)</v>
      </c>
      <c r="H48" s="475"/>
      <c r="I48" s="500">
        <f>IF(I39&gt;0,I24/I39,0)</f>
        <v>0</v>
      </c>
    </row>
    <row r="49" spans="1:9" s="281" customFormat="1">
      <c r="A49" s="460">
        <f>'ATT H-9A'!A209</f>
        <v>122</v>
      </c>
      <c r="B49" s="459"/>
      <c r="C49" s="459"/>
      <c r="D49" s="478" t="str">
        <f>'ATT H-9A'!C209</f>
        <v>Common Cost</v>
      </c>
      <c r="E49" s="479" t="s">
        <v>362</v>
      </c>
      <c r="F49" s="478" t="str">
        <f>'ATT H-9A'!D209</f>
        <v>Common Stock</v>
      </c>
      <c r="G49" s="459" t="s">
        <v>363</v>
      </c>
      <c r="H49" s="475"/>
      <c r="I49" s="501">
        <f>+'ATT H-9A'!H209+0.01</f>
        <v>0.11499999999999999</v>
      </c>
    </row>
    <row r="50" spans="1:9" s="281" customFormat="1">
      <c r="A50" s="460"/>
      <c r="B50" s="459"/>
      <c r="C50" s="459"/>
      <c r="D50" s="469"/>
      <c r="E50" s="464"/>
      <c r="F50" s="478"/>
      <c r="G50" s="459"/>
      <c r="H50" s="475"/>
      <c r="I50" s="464"/>
    </row>
    <row r="51" spans="1:9" s="281" customFormat="1">
      <c r="A51" s="460">
        <f>'ATT H-9A'!A211</f>
        <v>123</v>
      </c>
      <c r="B51" s="459"/>
      <c r="C51" s="459"/>
      <c r="D51" s="469" t="str">
        <f>'ATT H-9A'!C211</f>
        <v>Weighted Cost of Debt</v>
      </c>
      <c r="E51" s="497"/>
      <c r="F51" s="498" t="str">
        <f>'ATT H-9A'!D211</f>
        <v>Total Long Term Debt (WCLTD)</v>
      </c>
      <c r="G51" s="478" t="str">
        <f>'ATT H-9A'!F211</f>
        <v>(Line 117 * 120)</v>
      </c>
      <c r="H51" s="502"/>
      <c r="I51" s="503">
        <f>I47*I43</f>
        <v>2.5718720508995645E-2</v>
      </c>
    </row>
    <row r="52" spans="1:9" s="281" customFormat="1">
      <c r="A52" s="460">
        <f>'ATT H-9A'!A212</f>
        <v>124</v>
      </c>
      <c r="B52" s="459"/>
      <c r="C52" s="459"/>
      <c r="D52" s="469" t="str">
        <f>'ATT H-9A'!C212</f>
        <v>Weighted Cost of Preferred</v>
      </c>
      <c r="E52" s="479"/>
      <c r="F52" s="498" t="str">
        <f>'ATT H-9A'!D212</f>
        <v>Preferred Stock</v>
      </c>
      <c r="G52" s="478" t="str">
        <f>'ATT H-9A'!F212</f>
        <v>(Line 118 * 121)</v>
      </c>
      <c r="H52" s="504"/>
      <c r="I52" s="503">
        <f>I48*I44</f>
        <v>0</v>
      </c>
    </row>
    <row r="53" spans="1:9" s="281" customFormat="1">
      <c r="A53" s="460">
        <f>'ATT H-9A'!A213</f>
        <v>125</v>
      </c>
      <c r="B53" s="459"/>
      <c r="C53" s="459"/>
      <c r="D53" s="505" t="str">
        <f>'ATT H-9A'!C213</f>
        <v>Weighted Cost of Common</v>
      </c>
      <c r="E53" s="506"/>
      <c r="F53" s="505" t="str">
        <f>'ATT H-9A'!D213</f>
        <v>Common Stock</v>
      </c>
      <c r="G53" s="472" t="str">
        <f>'ATT H-9A'!F213</f>
        <v>(Line 119 * 122)</v>
      </c>
      <c r="H53" s="507"/>
      <c r="I53" s="508">
        <f>I49*I45</f>
        <v>5.7498389942506598E-2</v>
      </c>
    </row>
    <row r="54" spans="1:9" s="281" customFormat="1" ht="15.75">
      <c r="A54" s="468">
        <f>'ATT H-9A'!A214</f>
        <v>126</v>
      </c>
      <c r="B54" s="459"/>
      <c r="C54" s="459" t="str">
        <f>'ATT H-9A'!B214</f>
        <v>Total Return ( R )</v>
      </c>
      <c r="D54" s="459"/>
      <c r="E54" s="509"/>
      <c r="F54" s="510"/>
      <c r="G54" s="1114" t="str">
        <f>'ATT H-9A'!F214</f>
        <v>(Sum Lines 123 to 125)</v>
      </c>
      <c r="H54" s="512"/>
      <c r="I54" s="513">
        <f>SUM(I51:I53)</f>
        <v>8.3217110451502235E-2</v>
      </c>
    </row>
    <row r="55" spans="1:9" s="281" customFormat="1" ht="15.75">
      <c r="A55" s="514"/>
      <c r="B55" s="459"/>
      <c r="C55" s="459"/>
      <c r="D55" s="459"/>
      <c r="E55" s="509"/>
      <c r="F55" s="510"/>
      <c r="G55" s="511"/>
      <c r="H55" s="512"/>
      <c r="I55" s="513"/>
    </row>
    <row r="56" spans="1:9" s="281" customFormat="1" ht="16.5" thickBot="1">
      <c r="A56" s="468">
        <f>'ATT H-9A'!A216</f>
        <v>127</v>
      </c>
      <c r="B56" s="459"/>
      <c r="C56" s="459" t="str">
        <f>'ATT H-9A'!B216</f>
        <v>Investment Return = Rate Base * Rate of Return</v>
      </c>
      <c r="D56" s="459"/>
      <c r="E56" s="515"/>
      <c r="F56" s="516"/>
      <c r="G56" s="517" t="str">
        <f>'ATT H-9A'!F216</f>
        <v>(Line 59 * 126)</v>
      </c>
      <c r="H56" s="518"/>
      <c r="I56" s="519">
        <f>+I54*I16</f>
        <v>68570012.184457317</v>
      </c>
    </row>
    <row r="57" spans="1:9" s="281" customFormat="1" ht="15.75" thickTop="1">
      <c r="A57" s="468"/>
      <c r="B57" s="468"/>
      <c r="C57" s="468"/>
      <c r="D57" s="479"/>
      <c r="E57" s="464"/>
      <c r="F57" s="452"/>
      <c r="G57" s="475"/>
      <c r="H57" s="475"/>
      <c r="I57" s="503"/>
    </row>
    <row r="58" spans="1:9" s="281" customFormat="1" ht="15.75">
      <c r="A58" s="520" t="s">
        <v>364</v>
      </c>
      <c r="B58" s="520"/>
      <c r="C58" s="521"/>
      <c r="D58" s="522"/>
      <c r="E58" s="523"/>
      <c r="F58" s="524"/>
      <c r="G58" s="457"/>
      <c r="H58" s="457"/>
      <c r="I58" s="525"/>
    </row>
    <row r="59" spans="1:9" s="281" customFormat="1" ht="15.75">
      <c r="A59" s="461"/>
      <c r="B59" s="461"/>
      <c r="C59" s="468"/>
      <c r="D59" s="526"/>
      <c r="E59" s="487"/>
      <c r="F59" s="527"/>
      <c r="G59" s="464"/>
      <c r="H59" s="464"/>
      <c r="I59" s="528"/>
    </row>
    <row r="60" spans="1:9" s="281" customFormat="1" ht="15.75">
      <c r="A60" s="468" t="s">
        <v>108</v>
      </c>
      <c r="B60" s="468"/>
      <c r="C60" s="529" t="s">
        <v>109</v>
      </c>
      <c r="D60" s="464"/>
      <c r="E60" s="464"/>
      <c r="F60" s="527"/>
      <c r="G60" s="475"/>
      <c r="H60" s="530"/>
      <c r="I60" s="464"/>
    </row>
    <row r="61" spans="1:9" s="281" customFormat="1">
      <c r="A61" s="468">
        <f>+A56+1</f>
        <v>128</v>
      </c>
      <c r="B61" s="452"/>
      <c r="C61" s="468"/>
      <c r="D61" s="464" t="s">
        <v>365</v>
      </c>
      <c r="E61" s="464"/>
      <c r="F61" s="452"/>
      <c r="G61" s="531"/>
      <c r="H61" s="532"/>
      <c r="I61" s="533">
        <f>+'ATT H-9A'!H221</f>
        <v>0.21</v>
      </c>
    </row>
    <row r="62" spans="1:9" s="281" customFormat="1">
      <c r="A62" s="468">
        <f>+A61+1</f>
        <v>129</v>
      </c>
      <c r="B62" s="452"/>
      <c r="C62" s="468"/>
      <c r="D62" s="532" t="s">
        <v>366</v>
      </c>
      <c r="E62" s="534"/>
      <c r="F62" s="452"/>
      <c r="G62" s="531"/>
      <c r="H62" s="532"/>
      <c r="I62" s="533">
        <f>+'ATT H-9A'!H222</f>
        <v>7.5999999999999998E-2</v>
      </c>
    </row>
    <row r="63" spans="1:9" s="281" customFormat="1">
      <c r="A63" s="468">
        <f>+A62+1</f>
        <v>130</v>
      </c>
      <c r="B63" s="452"/>
      <c r="C63" s="468"/>
      <c r="D63" s="532" t="s">
        <v>367</v>
      </c>
      <c r="E63" s="532"/>
      <c r="F63" s="452"/>
      <c r="G63" s="531" t="str">
        <f>+'ATT H-9A'!F223</f>
        <v>Per State Tax Code</v>
      </c>
      <c r="H63" s="532"/>
      <c r="I63" s="533">
        <f>+'ATT H-9A'!H223</f>
        <v>0</v>
      </c>
    </row>
    <row r="64" spans="1:9" s="281" customFormat="1">
      <c r="A64" s="468">
        <f>+A63+1</f>
        <v>131</v>
      </c>
      <c r="B64" s="452"/>
      <c r="C64" s="468"/>
      <c r="D64" s="532" t="s">
        <v>368</v>
      </c>
      <c r="E64" s="535" t="s">
        <v>369</v>
      </c>
      <c r="F64" s="452"/>
      <c r="H64" s="532"/>
      <c r="I64" s="533">
        <f>+'ATT H-9A'!H224</f>
        <v>0.27003999999999995</v>
      </c>
    </row>
    <row r="65" spans="1:9" s="281" customFormat="1">
      <c r="A65" s="468">
        <f>+A64+1</f>
        <v>132</v>
      </c>
      <c r="B65" s="452"/>
      <c r="C65" s="468"/>
      <c r="D65" s="532" t="s">
        <v>370</v>
      </c>
      <c r="E65" s="534"/>
      <c r="F65" s="452"/>
      <c r="G65" s="464"/>
      <c r="H65" s="532"/>
      <c r="I65" s="533">
        <f>+'ATT H-9A'!H225</f>
        <v>0.36993807879883817</v>
      </c>
    </row>
    <row r="66" spans="1:9" s="281" customFormat="1">
      <c r="A66" s="468"/>
      <c r="B66" s="468"/>
      <c r="C66" s="468"/>
      <c r="D66" s="464"/>
      <c r="E66" s="464"/>
      <c r="F66" s="536"/>
      <c r="G66" s="535"/>
      <c r="H66" s="530"/>
      <c r="I66" s="537"/>
    </row>
    <row r="67" spans="1:9" s="281" customFormat="1" ht="15.75">
      <c r="A67" s="468"/>
      <c r="B67" s="468"/>
      <c r="C67" s="529" t="s">
        <v>371</v>
      </c>
      <c r="D67" s="479"/>
      <c r="E67" s="464"/>
      <c r="F67" s="527"/>
      <c r="G67" s="475"/>
      <c r="H67" s="530"/>
      <c r="I67" s="538"/>
    </row>
    <row r="68" spans="1:9" s="281" customFormat="1">
      <c r="A68" s="468">
        <f>+A65+1</f>
        <v>133</v>
      </c>
      <c r="B68" s="452"/>
      <c r="C68" s="468"/>
      <c r="D68" s="479" t="s">
        <v>372</v>
      </c>
      <c r="E68" s="464"/>
      <c r="F68" s="496" t="s">
        <v>373</v>
      </c>
      <c r="G68" s="531" t="str">
        <f>+'ATT H-9A'!F228</f>
        <v xml:space="preserve">p266.8f </v>
      </c>
      <c r="H68" s="530"/>
      <c r="I68" s="539">
        <f>+'ATT H-9A'!H228</f>
        <v>-167520</v>
      </c>
    </row>
    <row r="69" spans="1:9" s="281" customFormat="1">
      <c r="A69" s="468">
        <f>+A68+1</f>
        <v>134</v>
      </c>
      <c r="B69" s="452"/>
      <c r="C69" s="468"/>
      <c r="D69" s="479" t="s">
        <v>374</v>
      </c>
      <c r="E69" s="464"/>
      <c r="F69" s="468"/>
      <c r="G69" s="531" t="str">
        <f>+'ATT H-9A'!F229</f>
        <v>(Line 132)</v>
      </c>
      <c r="H69" s="530"/>
      <c r="I69" s="540">
        <f>+'ATT H-9A'!H229</f>
        <v>0.36993807879883817</v>
      </c>
    </row>
    <row r="70" spans="1:9" s="281" customFormat="1" ht="15.75">
      <c r="A70" s="468">
        <f>+A69+1</f>
        <v>135</v>
      </c>
      <c r="B70" s="452"/>
      <c r="C70" s="541"/>
      <c r="D70" s="542" t="s">
        <v>375</v>
      </c>
      <c r="E70" s="543"/>
      <c r="F70" s="544"/>
      <c r="G70" s="545" t="str">
        <f>+'ATT H-9A'!F230</f>
        <v>(Line 18)</v>
      </c>
      <c r="H70" s="546"/>
      <c r="I70" s="547">
        <f>+'ATT H-9A'!H35</f>
        <v>0.19875264309565774</v>
      </c>
    </row>
    <row r="71" spans="1:9" s="281" customFormat="1" ht="15.75">
      <c r="A71" s="468">
        <f>+A70+1</f>
        <v>136</v>
      </c>
      <c r="B71" s="452"/>
      <c r="C71" s="468"/>
      <c r="D71" s="548" t="s">
        <v>376</v>
      </c>
      <c r="E71" s="488"/>
      <c r="F71" s="549" t="s">
        <v>377</v>
      </c>
      <c r="G71" s="531" t="str">
        <f>+'ATT H-9A'!F231</f>
        <v>(Line 133 * (1 + 134) * 135)</v>
      </c>
      <c r="H71" s="550"/>
      <c r="I71" s="551">
        <f>+I68*(1+I69)*I70</f>
        <v>-45612.146927755741</v>
      </c>
    </row>
    <row r="72" spans="1:9" s="281" customFormat="1" ht="15.75">
      <c r="A72" s="468"/>
      <c r="B72" s="468"/>
      <c r="C72" s="468"/>
      <c r="D72" s="552"/>
      <c r="E72" s="553"/>
      <c r="F72" s="554"/>
      <c r="G72" s="555"/>
      <c r="H72" s="546"/>
      <c r="I72" s="556"/>
    </row>
    <row r="73" spans="1:9" s="281" customFormat="1" ht="15.75">
      <c r="A73" s="468"/>
      <c r="B73" s="468"/>
      <c r="C73" s="468"/>
      <c r="D73" s="552"/>
      <c r="E73" s="553"/>
      <c r="F73" s="554"/>
      <c r="G73" s="555"/>
      <c r="H73" s="546"/>
      <c r="I73" s="557"/>
    </row>
    <row r="74" spans="1:9" s="281" customFormat="1" ht="15.75">
      <c r="A74" s="468"/>
      <c r="B74" s="468"/>
      <c r="C74" s="468"/>
      <c r="D74" s="464"/>
      <c r="E74" s="464"/>
      <c r="F74" s="536"/>
      <c r="G74" s="535"/>
      <c r="H74" s="530"/>
      <c r="I74" s="558"/>
    </row>
    <row r="75" spans="1:9" s="281" customFormat="1" ht="15.75">
      <c r="A75" s="468">
        <f>+A71+1</f>
        <v>137</v>
      </c>
      <c r="B75" s="452"/>
      <c r="C75" s="559" t="s">
        <v>378</v>
      </c>
      <c r="E75" s="464" t="s">
        <v>379</v>
      </c>
      <c r="F75" s="527"/>
      <c r="G75" s="466"/>
      <c r="H75" s="464"/>
      <c r="I75" s="560">
        <f>+I65*(1-I51/I54)*I56</f>
        <v>17526948.702314526</v>
      </c>
    </row>
    <row r="76" spans="1:9" s="281" customFormat="1" ht="15.75">
      <c r="A76" s="468"/>
      <c r="B76" s="468"/>
      <c r="C76" s="468"/>
      <c r="D76" s="498"/>
      <c r="E76" s="553"/>
      <c r="F76" s="561"/>
      <c r="G76" s="466"/>
      <c r="H76" s="546"/>
      <c r="I76" s="562"/>
    </row>
    <row r="77" spans="1:9" s="281" customFormat="1" ht="16.5" thickBot="1">
      <c r="A77" s="468">
        <f>+A75+1</f>
        <v>138</v>
      </c>
      <c r="B77" s="452"/>
      <c r="C77" s="563" t="s">
        <v>380</v>
      </c>
      <c r="D77" s="563"/>
      <c r="E77" s="515"/>
      <c r="F77" s="564"/>
      <c r="G77" s="519"/>
      <c r="H77" s="565"/>
      <c r="I77" s="566">
        <f>+I75+I71</f>
        <v>17481336.555386771</v>
      </c>
    </row>
    <row r="78" spans="1:9" s="281" customFormat="1" ht="15.75" thickTop="1">
      <c r="A78" s="468"/>
      <c r="B78" s="468"/>
      <c r="C78" s="468"/>
      <c r="D78" s="535"/>
      <c r="E78" s="464"/>
      <c r="F78" s="452"/>
      <c r="G78" s="567"/>
      <c r="H78" s="568"/>
      <c r="I78" s="569"/>
    </row>
    <row r="79" spans="1:9" s="281" customFormat="1"/>
    <row r="306" spans="1:6" ht="15.75">
      <c r="C306" s="8"/>
    </row>
    <row r="308" spans="1:6">
      <c r="A308" s="111"/>
      <c r="B308" s="111"/>
      <c r="C308" s="111"/>
      <c r="D308" s="111"/>
      <c r="E308" s="111"/>
      <c r="F308" s="111"/>
    </row>
    <row r="309" spans="1:6">
      <c r="A309" s="111"/>
      <c r="B309" s="111"/>
      <c r="C309" s="111"/>
      <c r="D309" s="111"/>
      <c r="E309" s="111"/>
      <c r="F309" s="111"/>
    </row>
    <row r="310" spans="1:6">
      <c r="A310" s="111"/>
      <c r="B310" s="111"/>
      <c r="C310" s="111"/>
      <c r="D310" s="111"/>
      <c r="E310" s="111"/>
      <c r="F310" s="111"/>
    </row>
    <row r="311" spans="1:6">
      <c r="A311" s="111"/>
      <c r="B311" s="111"/>
      <c r="C311" s="111"/>
      <c r="D311" s="111"/>
      <c r="E311" s="111"/>
      <c r="F311" s="111"/>
    </row>
    <row r="312" spans="1:6">
      <c r="A312" s="111"/>
      <c r="B312" s="111"/>
      <c r="C312" s="111"/>
      <c r="D312" s="111"/>
      <c r="E312" s="111"/>
      <c r="F312" s="111"/>
    </row>
    <row r="313" spans="1:6">
      <c r="A313" s="111"/>
      <c r="B313" s="111"/>
      <c r="C313" s="111"/>
      <c r="D313" s="111"/>
      <c r="E313" s="111"/>
      <c r="F313" s="111"/>
    </row>
    <row r="314" spans="1:6">
      <c r="A314" s="111"/>
      <c r="B314" s="111"/>
      <c r="C314" s="111"/>
      <c r="D314" s="111"/>
      <c r="E314" s="111"/>
      <c r="F314" s="111"/>
    </row>
    <row r="315" spans="1:6">
      <c r="A315" s="111"/>
      <c r="B315" s="111"/>
      <c r="C315" s="111"/>
      <c r="D315" s="111"/>
      <c r="E315" s="111"/>
      <c r="F315" s="111"/>
    </row>
    <row r="316" spans="1:6">
      <c r="A316" s="111"/>
      <c r="B316" s="111"/>
      <c r="C316" s="111"/>
      <c r="D316" s="111"/>
      <c r="E316" s="111"/>
      <c r="F316" s="111"/>
    </row>
  </sheetData>
  <mergeCells count="2">
    <mergeCell ref="A1:I1"/>
    <mergeCell ref="A3:I3"/>
  </mergeCells>
  <pageMargins left="0.5" right="0.5" top="0.5" bottom="0.5" header="0.5" footer="0.5"/>
  <pageSetup scale="52"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23"/>
  <sheetViews>
    <sheetView zoomScale="90" zoomScaleNormal="90" workbookViewId="0"/>
  </sheetViews>
  <sheetFormatPr defaultRowHeight="15"/>
  <cols>
    <col min="1" max="1" width="6.42578125" customWidth="1"/>
    <col min="2" max="2" width="4.28515625" customWidth="1"/>
    <col min="3" max="3" width="60.5703125" customWidth="1"/>
    <col min="4" max="4" width="22.5703125" customWidth="1"/>
    <col min="5" max="5" width="14.140625" customWidth="1"/>
    <col min="6" max="6" width="19.7109375" customWidth="1"/>
    <col min="7" max="7" width="19" customWidth="1"/>
    <col min="8" max="8" width="15.28515625" customWidth="1"/>
    <col min="9" max="9" width="15.140625" customWidth="1"/>
    <col min="10" max="10" width="19.140625" customWidth="1"/>
    <col min="11" max="11" width="15.5703125" customWidth="1"/>
    <col min="12" max="12" width="17.5703125" bestFit="1" customWidth="1"/>
    <col min="13" max="17" width="9.7109375" customWidth="1"/>
  </cols>
  <sheetData>
    <row r="1" spans="1:17" ht="21" customHeight="1">
      <c r="A1" s="114"/>
      <c r="B1" s="115"/>
      <c r="D1" s="116"/>
      <c r="E1" s="117"/>
      <c r="F1" s="118"/>
      <c r="G1" s="119" t="str">
        <f>+'ATT H-9A'!A4</f>
        <v>Potomac Electric Power Company</v>
      </c>
      <c r="H1" s="105"/>
      <c r="I1" s="105"/>
      <c r="J1" s="105"/>
      <c r="K1" s="105"/>
      <c r="L1" s="105"/>
      <c r="M1" s="105"/>
      <c r="N1" s="105"/>
      <c r="O1" s="105"/>
      <c r="P1" s="105"/>
      <c r="Q1" s="105"/>
    </row>
    <row r="2" spans="1:17" ht="21" customHeight="1">
      <c r="A2" s="120"/>
      <c r="B2" s="115"/>
      <c r="D2" s="116"/>
      <c r="E2" s="117"/>
      <c r="F2" s="118"/>
      <c r="H2" s="105"/>
      <c r="I2" s="105"/>
      <c r="J2" s="105"/>
      <c r="K2" s="105"/>
      <c r="L2" s="105"/>
      <c r="M2" s="105"/>
      <c r="N2" s="105"/>
      <c r="O2" s="105"/>
      <c r="P2" s="105"/>
      <c r="Q2" s="121"/>
    </row>
    <row r="3" spans="1:17" ht="21" customHeight="1">
      <c r="A3" s="120"/>
      <c r="B3" s="115"/>
      <c r="D3" s="116"/>
      <c r="E3" s="117"/>
      <c r="F3" s="118"/>
      <c r="G3" s="122" t="s">
        <v>65</v>
      </c>
      <c r="H3" s="105"/>
      <c r="I3" s="105"/>
      <c r="J3" s="105"/>
      <c r="K3" s="105"/>
      <c r="L3" s="105"/>
      <c r="M3" s="105"/>
      <c r="N3" s="105"/>
      <c r="O3" s="105"/>
      <c r="P3" s="105"/>
      <c r="Q3" s="121"/>
    </row>
    <row r="4" spans="1:17" ht="21" thickBot="1">
      <c r="A4" s="123" t="s">
        <v>66</v>
      </c>
      <c r="B4" s="115"/>
      <c r="D4" s="116"/>
      <c r="E4" s="117"/>
      <c r="F4" s="118"/>
      <c r="G4" s="105"/>
      <c r="H4" s="105"/>
      <c r="I4" s="105"/>
      <c r="J4" s="105"/>
      <c r="K4" s="105"/>
      <c r="L4" s="105"/>
      <c r="M4" s="105"/>
      <c r="N4" s="105"/>
      <c r="O4" s="105"/>
      <c r="P4" s="105"/>
      <c r="Q4" s="105"/>
    </row>
    <row r="5" spans="1:17" ht="26.25">
      <c r="A5" s="1160" t="s">
        <v>67</v>
      </c>
      <c r="B5" s="1161"/>
      <c r="C5" s="1161"/>
      <c r="D5" s="1161"/>
      <c r="E5" s="1161"/>
      <c r="F5" s="1162"/>
      <c r="G5" s="124" t="s">
        <v>68</v>
      </c>
      <c r="H5" s="125" t="s">
        <v>69</v>
      </c>
      <c r="I5" s="125" t="s">
        <v>70</v>
      </c>
      <c r="J5" s="1163" t="s">
        <v>18</v>
      </c>
      <c r="K5" s="1164"/>
      <c r="L5" s="1164"/>
      <c r="M5" s="1164"/>
      <c r="N5" s="1164"/>
      <c r="O5" s="1164"/>
      <c r="P5" s="1164"/>
      <c r="Q5" s="1165"/>
    </row>
    <row r="6" spans="1:17" ht="15.75">
      <c r="A6" s="126"/>
      <c r="B6" s="127" t="s">
        <v>71</v>
      </c>
      <c r="C6" s="116"/>
      <c r="D6" s="128"/>
      <c r="E6" s="129"/>
      <c r="F6" s="130"/>
      <c r="G6" s="37"/>
      <c r="H6" s="36"/>
      <c r="I6" s="36"/>
      <c r="J6" s="1166"/>
      <c r="K6" s="1167"/>
      <c r="L6" s="1167"/>
      <c r="M6" s="1167"/>
      <c r="N6" s="1167"/>
      <c r="O6" s="1167"/>
      <c r="P6" s="1167"/>
      <c r="Q6" s="1168"/>
    </row>
    <row r="7" spans="1:17" ht="15.75">
      <c r="A7" s="131">
        <f>+'ATT H-9A'!A24</f>
        <v>10</v>
      </c>
      <c r="B7" s="128"/>
      <c r="C7" s="132" t="str">
        <f>+'ATT H-9A'!C24</f>
        <v>Accumulated Intangible Amortization</v>
      </c>
      <c r="D7" s="116"/>
      <c r="E7" s="133" t="str">
        <f>+'ATT H-9A'!E24</f>
        <v>(Note A)</v>
      </c>
      <c r="F7" s="139" t="str">
        <f>+'ATT H-9A'!F24</f>
        <v>p200.21c</v>
      </c>
      <c r="G7" s="134">
        <v>24847329</v>
      </c>
      <c r="H7" s="135">
        <f>G7</f>
        <v>24847329</v>
      </c>
      <c r="I7" s="136">
        <v>0</v>
      </c>
      <c r="J7" s="1169" t="s">
        <v>72</v>
      </c>
      <c r="K7" s="1170"/>
      <c r="L7" s="1170"/>
      <c r="M7" s="1170"/>
      <c r="N7" s="1170"/>
      <c r="O7" s="1170"/>
      <c r="P7" s="1170"/>
      <c r="Q7" s="1171"/>
    </row>
    <row r="8" spans="1:17" ht="15.75">
      <c r="A8" s="131">
        <f>+'ATT H-9A'!A25</f>
        <v>11</v>
      </c>
      <c r="B8" s="128"/>
      <c r="C8" s="132" t="str">
        <f>+'ATT H-9A'!C25</f>
        <v>Accumulated Common Amortization - Electric</v>
      </c>
      <c r="D8" s="116"/>
      <c r="E8" s="133" t="str">
        <f>+'ATT H-9A'!E25</f>
        <v>(Note A)</v>
      </c>
      <c r="F8" s="139" t="str">
        <f>+'ATT H-9A'!F25</f>
        <v>p356</v>
      </c>
      <c r="G8" s="137">
        <v>0</v>
      </c>
      <c r="H8" s="136">
        <v>0</v>
      </c>
      <c r="I8" s="136">
        <v>0</v>
      </c>
      <c r="J8" s="1169"/>
      <c r="K8" s="1170"/>
      <c r="L8" s="1170"/>
      <c r="M8" s="1170"/>
      <c r="N8" s="1170"/>
      <c r="O8" s="1170"/>
      <c r="P8" s="1170"/>
      <c r="Q8" s="1171"/>
    </row>
    <row r="9" spans="1:17" ht="15.75">
      <c r="A9" s="131">
        <f>+'ATT H-9A'!A26</f>
        <v>12</v>
      </c>
      <c r="B9" s="116"/>
      <c r="C9" s="132" t="str">
        <f>+'ATT H-9A'!C26</f>
        <v>Accumulated Common Plant Depreciation - Electric</v>
      </c>
      <c r="D9" s="116"/>
      <c r="E9" s="133" t="str">
        <f>+'ATT H-9A'!E26</f>
        <v>(Note A)</v>
      </c>
      <c r="F9" s="139" t="str">
        <f>+'ATT H-9A'!F26</f>
        <v>p356</v>
      </c>
      <c r="G9" s="137">
        <v>0</v>
      </c>
      <c r="H9" s="136">
        <v>0</v>
      </c>
      <c r="I9" s="136">
        <v>0</v>
      </c>
      <c r="J9" s="1169"/>
      <c r="K9" s="1170"/>
      <c r="L9" s="1170"/>
      <c r="M9" s="1170"/>
      <c r="N9" s="1170"/>
      <c r="O9" s="1170"/>
      <c r="P9" s="1170"/>
      <c r="Q9" s="1171"/>
    </row>
    <row r="10" spans="1:17" ht="15.75">
      <c r="A10" s="126"/>
      <c r="B10" s="127" t="s">
        <v>73</v>
      </c>
      <c r="C10" s="116"/>
      <c r="D10" s="116"/>
      <c r="E10" s="138"/>
      <c r="F10" s="139"/>
      <c r="G10" s="37"/>
      <c r="H10" s="36"/>
      <c r="I10" s="36"/>
      <c r="J10" s="140"/>
      <c r="K10" s="141"/>
      <c r="L10" s="141"/>
      <c r="M10" s="141"/>
      <c r="N10" s="141"/>
      <c r="O10" s="141"/>
      <c r="P10" s="141"/>
      <c r="Q10" s="142"/>
    </row>
    <row r="11" spans="1:17" ht="15.75">
      <c r="A11" s="131">
        <f>+'ATT H-9A'!A46</f>
        <v>24</v>
      </c>
      <c r="B11" s="115"/>
      <c r="C11" s="132" t="str">
        <f>+'ATT H-9A'!C46</f>
        <v>Common Plant (Electric Only)</v>
      </c>
      <c r="D11" s="116"/>
      <c r="E11" s="133" t="str">
        <f>+'ATT H-9A'!E46</f>
        <v>(Notes A &amp; B)</v>
      </c>
      <c r="F11" s="139" t="str">
        <f>+'ATT H-9A'!F46</f>
        <v>p356</v>
      </c>
      <c r="G11" s="137">
        <v>0</v>
      </c>
      <c r="H11" s="136">
        <v>0</v>
      </c>
      <c r="I11" s="136">
        <v>0</v>
      </c>
      <c r="J11" s="1169"/>
      <c r="K11" s="1170"/>
      <c r="L11" s="1170"/>
      <c r="M11" s="1170"/>
      <c r="N11" s="1170"/>
      <c r="O11" s="1170"/>
      <c r="P11" s="1170"/>
      <c r="Q11" s="1171"/>
    </row>
    <row r="12" spans="1:17" ht="15.75">
      <c r="A12" s="143"/>
      <c r="B12" s="144" t="s">
        <v>74</v>
      </c>
      <c r="C12" s="145"/>
      <c r="D12" s="146"/>
      <c r="E12" s="147"/>
      <c r="F12" s="148"/>
      <c r="G12" s="37"/>
      <c r="H12" s="36"/>
      <c r="I12" s="36"/>
      <c r="J12" s="140"/>
      <c r="K12" s="141"/>
      <c r="L12" s="141"/>
      <c r="M12" s="141"/>
      <c r="N12" s="141"/>
      <c r="O12" s="141"/>
      <c r="P12" s="141"/>
      <c r="Q12" s="142"/>
    </row>
    <row r="13" spans="1:17" ht="15.75">
      <c r="A13" s="131">
        <f>+'ATT H-9A'!A75</f>
        <v>41</v>
      </c>
      <c r="B13" s="146"/>
      <c r="C13" s="132" t="str">
        <f>+'ATT H-9A'!C75</f>
        <v>Accumulated Investment Tax Credit Account No. 255</v>
      </c>
      <c r="D13" s="149"/>
      <c r="E13" s="133" t="str">
        <f>+'ATT H-9A'!E75</f>
        <v>(Notes A &amp; I)</v>
      </c>
      <c r="F13" s="139" t="str">
        <f>+'ATT H-9A'!F75</f>
        <v>p266.h</v>
      </c>
      <c r="G13" s="150">
        <v>1934714</v>
      </c>
      <c r="H13" s="135">
        <f>G13</f>
        <v>1934714</v>
      </c>
      <c r="I13" s="136">
        <v>0</v>
      </c>
      <c r="J13" s="1169" t="s">
        <v>72</v>
      </c>
      <c r="K13" s="1170"/>
      <c r="L13" s="1170"/>
      <c r="M13" s="1170"/>
      <c r="N13" s="1170"/>
      <c r="O13" s="1170"/>
      <c r="P13" s="1170"/>
      <c r="Q13" s="1171"/>
    </row>
    <row r="14" spans="1:17" ht="15.75">
      <c r="A14" s="131"/>
      <c r="B14" s="144" t="s">
        <v>75</v>
      </c>
      <c r="C14" s="151"/>
      <c r="D14" s="146"/>
      <c r="E14" s="152"/>
      <c r="F14" s="153"/>
      <c r="G14" s="37"/>
      <c r="H14" s="36"/>
      <c r="I14" s="36"/>
      <c r="J14" s="140"/>
      <c r="K14" s="141"/>
      <c r="L14" s="141"/>
      <c r="M14" s="141"/>
      <c r="N14" s="141"/>
      <c r="O14" s="141"/>
      <c r="P14" s="141"/>
      <c r="Q14" s="142"/>
    </row>
    <row r="15" spans="1:17" ht="15.75" customHeight="1">
      <c r="A15" s="143">
        <f>+'ATT H-9A'!A92</f>
        <v>47</v>
      </c>
      <c r="B15" s="146"/>
      <c r="C15" s="151" t="str">
        <f>+'ATT H-9A'!C92</f>
        <v>Undistributed Stores Exp</v>
      </c>
      <c r="D15" s="154"/>
      <c r="E15" s="152" t="str">
        <f>+'ATT H-9A'!E92</f>
        <v>(Note A)</v>
      </c>
      <c r="F15" s="155" t="str">
        <f>+'ATT H-9A'!F92</f>
        <v>p227.6c &amp; 16.c</v>
      </c>
      <c r="G15" s="134">
        <v>0</v>
      </c>
      <c r="H15" s="135">
        <f>G15</f>
        <v>0</v>
      </c>
      <c r="I15" s="136">
        <v>0</v>
      </c>
      <c r="J15" s="1169" t="s">
        <v>72</v>
      </c>
      <c r="K15" s="1170"/>
      <c r="L15" s="1170"/>
      <c r="M15" s="1170"/>
      <c r="N15" s="1170"/>
      <c r="O15" s="1170"/>
      <c r="P15" s="1170"/>
      <c r="Q15" s="1171"/>
    </row>
    <row r="16" spans="1:17" ht="15.75">
      <c r="A16" s="131"/>
      <c r="B16" s="127" t="s">
        <v>76</v>
      </c>
      <c r="C16" s="151"/>
      <c r="D16" s="154"/>
      <c r="E16" s="138"/>
      <c r="F16" s="155"/>
      <c r="G16" s="37"/>
      <c r="H16" s="36"/>
      <c r="I16" s="36"/>
      <c r="J16" s="140"/>
      <c r="K16" s="141"/>
      <c r="L16" s="141"/>
      <c r="M16" s="141"/>
      <c r="N16" s="141"/>
      <c r="O16" s="141"/>
      <c r="P16" s="141"/>
      <c r="Q16" s="142"/>
    </row>
    <row r="17" spans="1:17" ht="15.75">
      <c r="A17" s="131">
        <f>+'ATT H-9A'!A120</f>
        <v>65</v>
      </c>
      <c r="B17" s="127"/>
      <c r="C17" s="132" t="str">
        <f>+'ATT H-9A'!C120</f>
        <v xml:space="preserve">     Plus Transmission Lease Payments</v>
      </c>
      <c r="D17" s="154"/>
      <c r="E17" s="133" t="str">
        <f>+'ATT H-9A'!E120</f>
        <v>(Note A)</v>
      </c>
      <c r="F17" s="139" t="str">
        <f>+'ATT H-9A'!F120</f>
        <v>p200.3.c</v>
      </c>
      <c r="G17" s="29"/>
      <c r="H17" s="36"/>
      <c r="I17" s="36"/>
      <c r="J17" s="140"/>
      <c r="K17" s="141"/>
      <c r="L17" s="141"/>
      <c r="M17" s="141"/>
      <c r="N17" s="141"/>
      <c r="O17" s="141"/>
      <c r="P17" s="141"/>
      <c r="Q17" s="142"/>
    </row>
    <row r="18" spans="1:17" ht="15.75">
      <c r="A18" s="131">
        <f>+'ATT H-9A'!A124</f>
        <v>67</v>
      </c>
      <c r="B18" s="156"/>
      <c r="C18" s="132" t="str">
        <f>+'ATT H-9A'!C124</f>
        <v>Common Plant O&amp;M</v>
      </c>
      <c r="D18" s="154"/>
      <c r="E18" s="133" t="str">
        <f>+'ATT H-9A'!E124</f>
        <v>(Note A)</v>
      </c>
      <c r="F18" s="139" t="str">
        <f>+'ATT H-9A'!F124</f>
        <v>p356</v>
      </c>
      <c r="G18" s="137">
        <v>0</v>
      </c>
      <c r="H18" s="136">
        <v>0</v>
      </c>
      <c r="I18" s="136">
        <v>0</v>
      </c>
      <c r="J18" s="1169"/>
      <c r="K18" s="1170"/>
      <c r="L18" s="1170"/>
      <c r="M18" s="1170"/>
      <c r="N18" s="1170"/>
      <c r="O18" s="1170"/>
      <c r="P18" s="1170"/>
      <c r="Q18" s="1171"/>
    </row>
    <row r="19" spans="1:17" ht="15.75">
      <c r="A19" s="126"/>
      <c r="B19" s="157" t="s">
        <v>77</v>
      </c>
      <c r="C19" s="145"/>
      <c r="D19" s="116"/>
      <c r="E19" s="158"/>
      <c r="F19" s="148"/>
      <c r="G19" s="37"/>
      <c r="H19" s="36"/>
      <c r="I19" s="36"/>
      <c r="J19" s="1176"/>
      <c r="K19" s="1176"/>
      <c r="L19" s="1176"/>
      <c r="M19" s="1176"/>
      <c r="N19" s="1176"/>
      <c r="O19" s="1176"/>
      <c r="P19" s="1176"/>
      <c r="Q19" s="1177"/>
    </row>
    <row r="20" spans="1:17" ht="15.75" customHeight="1">
      <c r="A20" s="159">
        <f>+'ATT H-9A'!A157</f>
        <v>88</v>
      </c>
      <c r="B20" s="160"/>
      <c r="C20" s="161" t="str">
        <f>+'ATT H-9A'!C157</f>
        <v>Intangible Amortization</v>
      </c>
      <c r="D20" s="154"/>
      <c r="E20" s="162" t="str">
        <f>+'ATT H-9A'!E157</f>
        <v>(Note A)</v>
      </c>
      <c r="F20" s="163" t="str">
        <f>+'ATT H-9A'!F157</f>
        <v>p336.1d&amp;e (see attachment 5)</v>
      </c>
      <c r="G20" s="134">
        <v>579347</v>
      </c>
      <c r="H20" s="164">
        <f>G20</f>
        <v>579347</v>
      </c>
      <c r="I20" s="136">
        <v>0</v>
      </c>
      <c r="J20" s="1169" t="s">
        <v>72</v>
      </c>
      <c r="K20" s="1170"/>
      <c r="L20" s="1170"/>
      <c r="M20" s="1170"/>
      <c r="N20" s="1170"/>
      <c r="O20" s="1170"/>
      <c r="P20" s="1170"/>
      <c r="Q20" s="1171"/>
    </row>
    <row r="21" spans="1:17" ht="15.75">
      <c r="A21" s="159">
        <f>+'ATT H-9A'!A162</f>
        <v>92</v>
      </c>
      <c r="B21" s="165"/>
      <c r="C21" s="161" t="str">
        <f>+'ATT H-9A'!C162</f>
        <v>Common Depreciation - Electric Only</v>
      </c>
      <c r="D21" s="154"/>
      <c r="E21" s="162" t="str">
        <f>+'ATT H-9A'!E162</f>
        <v>(Note A)</v>
      </c>
      <c r="F21" s="163" t="str">
        <f>+'ATT H-9A'!F162</f>
        <v>p336.11.b</v>
      </c>
      <c r="G21" s="137">
        <v>0</v>
      </c>
      <c r="H21" s="166">
        <v>0</v>
      </c>
      <c r="I21" s="136">
        <v>0</v>
      </c>
      <c r="J21" s="1172"/>
      <c r="K21" s="1172"/>
      <c r="L21" s="1172"/>
      <c r="M21" s="1172"/>
      <c r="N21" s="1172"/>
      <c r="O21" s="1172"/>
      <c r="P21" s="1172"/>
      <c r="Q21" s="1173"/>
    </row>
    <row r="22" spans="1:17" ht="16.5" thickBot="1">
      <c r="A22" s="167">
        <f>+'ATT H-9A'!A163</f>
        <v>93</v>
      </c>
      <c r="B22" s="168"/>
      <c r="C22" s="169" t="str">
        <f>+'ATT H-9A'!C163</f>
        <v>Common Amortization - Electric Only</v>
      </c>
      <c r="D22" s="170"/>
      <c r="E22" s="171" t="str">
        <f>+'ATT H-9A'!E163</f>
        <v>(Note A)</v>
      </c>
      <c r="F22" s="172" t="str">
        <f>+'ATT H-9A'!F163</f>
        <v>p356 or p336.11d</v>
      </c>
      <c r="G22" s="173">
        <v>0</v>
      </c>
      <c r="H22" s="174">
        <v>0</v>
      </c>
      <c r="I22" s="175">
        <v>0</v>
      </c>
      <c r="J22" s="1174"/>
      <c r="K22" s="1174"/>
      <c r="L22" s="1174"/>
      <c r="M22" s="1174"/>
      <c r="N22" s="1174"/>
      <c r="O22" s="1174"/>
      <c r="P22" s="1174"/>
      <c r="Q22" s="1175"/>
    </row>
    <row r="23" spans="1:17">
      <c r="G23" s="105"/>
      <c r="H23" s="105"/>
      <c r="I23" s="105"/>
      <c r="J23" s="105"/>
      <c r="K23" s="105"/>
      <c r="L23" s="105"/>
      <c r="M23" s="105"/>
      <c r="N23" s="105"/>
      <c r="O23" s="105"/>
      <c r="P23" s="105"/>
      <c r="Q23" s="105"/>
    </row>
    <row r="24" spans="1:17">
      <c r="G24" s="105"/>
      <c r="H24" s="105"/>
      <c r="I24" s="105"/>
      <c r="J24" s="105"/>
      <c r="K24" s="105"/>
      <c r="L24" s="105"/>
      <c r="M24" s="105"/>
      <c r="N24" s="105"/>
      <c r="O24" s="105"/>
      <c r="P24" s="105"/>
      <c r="Q24" s="105"/>
    </row>
    <row r="25" spans="1:17" ht="21" thickBot="1">
      <c r="A25" s="123" t="s">
        <v>78</v>
      </c>
      <c r="G25" s="105"/>
      <c r="H25" s="105"/>
      <c r="I25" s="105"/>
      <c r="J25" s="105"/>
      <c r="K25" s="105"/>
      <c r="L25" s="105"/>
      <c r="M25" s="105"/>
      <c r="N25" s="105"/>
      <c r="O25" s="105"/>
      <c r="P25" s="105"/>
      <c r="Q25" s="105"/>
    </row>
    <row r="26" spans="1:17" ht="50.25" customHeight="1">
      <c r="A26" s="1160" t="s">
        <v>67</v>
      </c>
      <c r="B26" s="1161"/>
      <c r="C26" s="1161"/>
      <c r="D26" s="1161"/>
      <c r="E26" s="1161"/>
      <c r="F26" s="1162"/>
      <c r="G26" s="125" t="s">
        <v>68</v>
      </c>
      <c r="H26" s="125" t="s">
        <v>79</v>
      </c>
      <c r="I26" s="125" t="s">
        <v>80</v>
      </c>
      <c r="J26" s="1163" t="s">
        <v>18</v>
      </c>
      <c r="K26" s="1164"/>
      <c r="L26" s="1164"/>
      <c r="M26" s="1164"/>
      <c r="N26" s="1164"/>
      <c r="O26" s="1164"/>
      <c r="P26" s="1164"/>
      <c r="Q26" s="1165"/>
    </row>
    <row r="27" spans="1:17" ht="33.75" customHeight="1">
      <c r="A27" s="131">
        <f>+'ATT H-9A'!A51</f>
        <v>28</v>
      </c>
      <c r="B27" s="156"/>
      <c r="C27" s="144" t="str">
        <f>+'ATT H-9A'!C51</f>
        <v>Plant Held for Future Use (Including Land)</v>
      </c>
      <c r="D27" s="176"/>
      <c r="E27" s="133" t="str">
        <f>+'ATT H-9A'!E51</f>
        <v>(Note C)</v>
      </c>
      <c r="F27" s="186" t="str">
        <f>+'ATT H-9A'!F51</f>
        <v>p214</v>
      </c>
      <c r="G27" s="178">
        <v>48702678</v>
      </c>
      <c r="H27" s="135">
        <v>0</v>
      </c>
      <c r="I27" s="135">
        <f>G27-H27</f>
        <v>48702678</v>
      </c>
      <c r="J27" s="1167" t="s">
        <v>81</v>
      </c>
      <c r="K27" s="1167"/>
      <c r="L27" s="1167"/>
      <c r="M27" s="1167"/>
      <c r="N27" s="1167"/>
      <c r="O27" s="1167"/>
      <c r="P27" s="1167"/>
      <c r="Q27" s="1168"/>
    </row>
    <row r="28" spans="1:17" ht="15.75" hidden="1" customHeight="1">
      <c r="A28" s="131"/>
      <c r="B28" s="127" t="s">
        <v>82</v>
      </c>
      <c r="C28" s="146"/>
      <c r="D28" s="154"/>
      <c r="E28" s="179"/>
      <c r="F28" s="148"/>
      <c r="G28" s="36"/>
      <c r="H28" s="36"/>
      <c r="I28" s="36"/>
      <c r="J28" s="1176"/>
      <c r="K28" s="1167"/>
      <c r="L28" s="1167"/>
      <c r="M28" s="1167"/>
      <c r="N28" s="1167"/>
      <c r="O28" s="1167"/>
      <c r="P28" s="1167"/>
      <c r="Q28" s="1168"/>
    </row>
    <row r="29" spans="1:17" ht="16.5" hidden="1" customHeight="1">
      <c r="A29" s="131">
        <v>73</v>
      </c>
      <c r="B29" s="165"/>
      <c r="C29" s="132" t="s">
        <v>83</v>
      </c>
      <c r="D29" s="152"/>
      <c r="E29" s="158" t="s">
        <v>84</v>
      </c>
      <c r="F29" s="177" t="s">
        <v>85</v>
      </c>
      <c r="G29" s="178" t="s">
        <v>86</v>
      </c>
      <c r="H29" s="135" t="s">
        <v>86</v>
      </c>
      <c r="I29" s="135" t="s">
        <v>86</v>
      </c>
      <c r="J29" s="1167" t="s">
        <v>87</v>
      </c>
      <c r="K29" s="1167"/>
      <c r="L29" s="1167"/>
      <c r="M29" s="1167"/>
      <c r="N29" s="1167"/>
      <c r="O29" s="1167"/>
      <c r="P29" s="1167"/>
      <c r="Q29" s="1168"/>
    </row>
    <row r="30" spans="1:17" ht="15.75">
      <c r="A30" s="131"/>
      <c r="B30" s="165"/>
      <c r="C30" s="132"/>
      <c r="D30" s="154"/>
      <c r="E30" s="133"/>
      <c r="F30" s="177"/>
      <c r="G30" s="36"/>
      <c r="H30" s="180"/>
      <c r="I30" s="36"/>
      <c r="J30" s="36">
        <v>1</v>
      </c>
      <c r="K30" s="36"/>
      <c r="L30" s="36"/>
      <c r="M30" s="36"/>
      <c r="N30" s="36"/>
      <c r="O30" s="36"/>
      <c r="P30" s="36"/>
      <c r="Q30" s="38"/>
    </row>
    <row r="31" spans="1:17" ht="15.75">
      <c r="A31" s="131"/>
      <c r="B31" s="165"/>
      <c r="C31" s="132"/>
      <c r="D31" s="154"/>
      <c r="E31" s="133"/>
      <c r="F31" s="177"/>
      <c r="G31" s="36"/>
      <c r="H31" s="83"/>
      <c r="I31" s="36"/>
      <c r="J31" s="36">
        <v>2</v>
      </c>
      <c r="K31" s="36"/>
      <c r="L31" s="36"/>
      <c r="M31" s="36"/>
      <c r="N31" s="36"/>
      <c r="O31" s="36"/>
      <c r="P31" s="36"/>
      <c r="Q31" s="38"/>
    </row>
    <row r="32" spans="1:17" ht="15.75">
      <c r="A32" s="131"/>
      <c r="B32" s="165"/>
      <c r="C32" s="132"/>
      <c r="D32" s="154"/>
      <c r="E32" s="133"/>
      <c r="F32" s="177"/>
      <c r="G32" s="36"/>
      <c r="H32" s="83"/>
      <c r="I32" s="36"/>
      <c r="J32" s="36">
        <v>3</v>
      </c>
      <c r="K32" s="36"/>
      <c r="L32" s="36"/>
      <c r="M32" s="36"/>
      <c r="N32" s="36"/>
      <c r="O32" s="36"/>
      <c r="P32" s="36"/>
      <c r="Q32" s="38"/>
    </row>
    <row r="33" spans="1:17" ht="15.75">
      <c r="A33" s="131"/>
      <c r="B33" s="165"/>
      <c r="C33" s="132"/>
      <c r="D33" s="154"/>
      <c r="E33" s="133"/>
      <c r="F33" s="177"/>
      <c r="G33" s="36"/>
      <c r="H33" s="83"/>
      <c r="I33" s="36"/>
      <c r="J33" s="36">
        <v>4</v>
      </c>
      <c r="K33" s="36"/>
      <c r="L33" s="36"/>
      <c r="M33" s="36"/>
      <c r="N33" s="36"/>
      <c r="O33" s="36"/>
      <c r="P33" s="36"/>
      <c r="Q33" s="38"/>
    </row>
    <row r="34" spans="1:17" ht="15.75" thickBot="1">
      <c r="A34" s="181"/>
      <c r="B34" s="182"/>
      <c r="C34" s="182"/>
      <c r="D34" s="183"/>
      <c r="E34" s="182"/>
      <c r="F34" s="184"/>
      <c r="G34" s="76"/>
      <c r="H34" s="185"/>
      <c r="I34" s="76"/>
      <c r="J34" s="76">
        <v>5</v>
      </c>
      <c r="K34" s="76"/>
      <c r="L34" s="76"/>
      <c r="M34" s="76"/>
      <c r="N34" s="76"/>
      <c r="O34" s="76"/>
      <c r="P34" s="76"/>
      <c r="Q34" s="77"/>
    </row>
    <row r="35" spans="1:17" ht="21" thickBot="1">
      <c r="A35" s="123" t="s">
        <v>88</v>
      </c>
      <c r="G35" s="105"/>
      <c r="H35" s="105"/>
      <c r="I35" s="105"/>
      <c r="J35" s="105"/>
      <c r="K35" s="105"/>
      <c r="L35" s="105"/>
      <c r="M35" s="105"/>
      <c r="N35" s="105"/>
      <c r="O35" s="105"/>
      <c r="P35" s="105"/>
      <c r="Q35" s="105"/>
    </row>
    <row r="36" spans="1:17" ht="61.5" customHeight="1">
      <c r="A36" s="1160" t="s">
        <v>67</v>
      </c>
      <c r="B36" s="1161"/>
      <c r="C36" s="1161"/>
      <c r="D36" s="1161"/>
      <c r="E36" s="1161"/>
      <c r="F36" s="1162"/>
      <c r="G36" s="125" t="str">
        <f>+G26</f>
        <v>Form 1 Amount</v>
      </c>
      <c r="H36" s="125" t="s">
        <v>89</v>
      </c>
      <c r="I36" s="125" t="s">
        <v>90</v>
      </c>
      <c r="J36" s="1163" t="s">
        <v>18</v>
      </c>
      <c r="K36" s="1164"/>
      <c r="L36" s="1164"/>
      <c r="M36" s="1164"/>
      <c r="N36" s="1164"/>
      <c r="O36" s="1164"/>
      <c r="P36" s="1164"/>
      <c r="Q36" s="1165"/>
    </row>
    <row r="37" spans="1:17" ht="15.75">
      <c r="A37" s="126"/>
      <c r="B37" s="127" t="s">
        <v>71</v>
      </c>
      <c r="C37" s="145"/>
      <c r="D37" s="128"/>
      <c r="E37" s="129"/>
      <c r="F37" s="130"/>
      <c r="G37" s="36"/>
      <c r="H37" s="36"/>
      <c r="I37" s="36"/>
      <c r="J37" s="1176"/>
      <c r="K37" s="1167"/>
      <c r="L37" s="1167"/>
      <c r="M37" s="1167"/>
      <c r="N37" s="1167"/>
      <c r="O37" s="1167"/>
      <c r="P37" s="1167"/>
      <c r="Q37" s="1168"/>
    </row>
    <row r="38" spans="1:17" ht="15.75">
      <c r="A38" s="131">
        <f>+'ATT H-9A'!A19</f>
        <v>6</v>
      </c>
      <c r="B38" s="128"/>
      <c r="C38" s="132" t="str">
        <f>+'ATT H-9A'!C19</f>
        <v>Electric Plant in Service</v>
      </c>
      <c r="D38" s="116"/>
      <c r="E38" s="133" t="str">
        <f>+'ATT H-9A'!E19</f>
        <v>(Note B)</v>
      </c>
      <c r="F38" s="177" t="s">
        <v>91</v>
      </c>
      <c r="G38" s="134">
        <v>8494209866</v>
      </c>
      <c r="H38" s="39">
        <v>0</v>
      </c>
      <c r="I38" s="136">
        <v>0</v>
      </c>
      <c r="J38" s="1167" t="s">
        <v>92</v>
      </c>
      <c r="K38" s="1167"/>
      <c r="L38" s="1167"/>
      <c r="M38" s="1167"/>
      <c r="N38" s="1167"/>
      <c r="O38" s="1167"/>
      <c r="P38" s="1167"/>
      <c r="Q38" s="1168"/>
    </row>
    <row r="39" spans="1:17" ht="15.75">
      <c r="A39" s="126"/>
      <c r="B39" s="127" t="s">
        <v>73</v>
      </c>
      <c r="C39" s="145"/>
      <c r="D39" s="116"/>
      <c r="E39" s="138"/>
      <c r="F39" s="186"/>
      <c r="G39" s="187"/>
      <c r="H39" s="36"/>
      <c r="I39" s="36"/>
      <c r="J39" s="1167"/>
      <c r="K39" s="1167"/>
      <c r="L39" s="1167"/>
      <c r="M39" s="1167"/>
      <c r="N39" s="1167"/>
      <c r="O39" s="1167"/>
      <c r="P39" s="1167"/>
      <c r="Q39" s="1168"/>
    </row>
    <row r="40" spans="1:17" ht="15.75">
      <c r="A40" s="131">
        <f>+'ATT H-9A'!A40</f>
        <v>19</v>
      </c>
      <c r="B40" s="115"/>
      <c r="C40" s="132" t="str">
        <f>+'ATT H-9A'!C40</f>
        <v>Transmission Plant In Service</v>
      </c>
      <c r="D40" s="116"/>
      <c r="E40" s="133" t="str">
        <f>+'ATT H-9A'!E40</f>
        <v>(Note B)</v>
      </c>
      <c r="F40" s="186" t="str">
        <f>+'ATT H-9A'!F40</f>
        <v>p207.58.g</v>
      </c>
      <c r="G40" s="134">
        <v>1554445764</v>
      </c>
      <c r="H40" s="39">
        <v>0</v>
      </c>
      <c r="I40" s="39">
        <v>0</v>
      </c>
      <c r="J40" s="1167" t="s">
        <v>93</v>
      </c>
      <c r="K40" s="1167"/>
      <c r="L40" s="1167"/>
      <c r="M40" s="1167"/>
      <c r="N40" s="1167"/>
      <c r="O40" s="1167"/>
      <c r="P40" s="1167"/>
      <c r="Q40" s="1168"/>
    </row>
    <row r="41" spans="1:17" ht="15.75">
      <c r="A41" s="126">
        <f>+'ATT H-9A'!A46</f>
        <v>24</v>
      </c>
      <c r="B41" s="128"/>
      <c r="C41" s="145" t="str">
        <f>+'ATT H-9A'!C46</f>
        <v>Common Plant (Electric Only)</v>
      </c>
      <c r="D41" s="128"/>
      <c r="E41" s="158" t="str">
        <f>+'ATT H-9A'!E46</f>
        <v>(Notes A &amp; B)</v>
      </c>
      <c r="F41" s="191" t="str">
        <f>+'ATT H-9A'!F46</f>
        <v>p356</v>
      </c>
      <c r="G41" s="39">
        <v>0</v>
      </c>
      <c r="H41" s="39">
        <v>0</v>
      </c>
      <c r="I41" s="39">
        <v>0</v>
      </c>
      <c r="J41" s="1167"/>
      <c r="K41" s="1167"/>
      <c r="L41" s="1167"/>
      <c r="M41" s="1167"/>
      <c r="N41" s="1167"/>
      <c r="O41" s="1167"/>
      <c r="P41" s="1167"/>
      <c r="Q41" s="1168"/>
    </row>
    <row r="42" spans="1:17" ht="15.75">
      <c r="A42" s="131"/>
      <c r="B42" s="127" t="s">
        <v>94</v>
      </c>
      <c r="C42" s="144"/>
      <c r="D42" s="189"/>
      <c r="E42" s="190"/>
      <c r="F42" s="191"/>
      <c r="G42" s="36"/>
      <c r="H42" s="36"/>
      <c r="I42" s="36"/>
      <c r="J42" s="36"/>
      <c r="K42" s="36"/>
      <c r="L42" s="36"/>
      <c r="M42" s="36"/>
      <c r="N42" s="36"/>
      <c r="O42" s="36"/>
      <c r="P42" s="36"/>
      <c r="Q42" s="38"/>
    </row>
    <row r="43" spans="1:17" ht="16.5" thickBot="1">
      <c r="A43" s="167">
        <f>+'ATT H-9A'!A57</f>
        <v>30</v>
      </c>
      <c r="B43" s="192"/>
      <c r="C43" s="169" t="str">
        <f>+'ATT H-9A'!C57</f>
        <v>Transmission Accumulated Depreciation</v>
      </c>
      <c r="D43" s="193"/>
      <c r="E43" s="171" t="str">
        <f>+'ATT H-9A'!E57</f>
        <v>(Note B)</v>
      </c>
      <c r="F43" s="1107" t="str">
        <f>+'ATT H-9A'!F57</f>
        <v>p219.25.c</v>
      </c>
      <c r="G43" s="195">
        <v>466991003</v>
      </c>
      <c r="H43" s="196">
        <v>0</v>
      </c>
      <c r="I43" s="196">
        <v>0</v>
      </c>
      <c r="J43" s="1178" t="s">
        <v>93</v>
      </c>
      <c r="K43" s="1178"/>
      <c r="L43" s="1178"/>
      <c r="M43" s="1178"/>
      <c r="N43" s="1178"/>
      <c r="O43" s="1178"/>
      <c r="P43" s="1178"/>
      <c r="Q43" s="1179"/>
    </row>
    <row r="44" spans="1:17">
      <c r="G44" s="105"/>
      <c r="H44" s="105"/>
      <c r="I44" s="105"/>
      <c r="J44" s="105"/>
      <c r="K44" s="105"/>
      <c r="L44" s="105"/>
      <c r="M44" s="105"/>
      <c r="N44" s="105"/>
      <c r="O44" s="105"/>
      <c r="P44" s="105"/>
      <c r="Q44" s="105"/>
    </row>
    <row r="45" spans="1:17">
      <c r="G45" s="105"/>
      <c r="H45" s="105"/>
      <c r="I45" s="105"/>
      <c r="J45" s="105"/>
      <c r="K45" s="105"/>
      <c r="L45" s="105"/>
      <c r="M45" s="105"/>
      <c r="N45" s="105"/>
      <c r="O45" s="105"/>
      <c r="P45" s="105"/>
      <c r="Q45" s="105"/>
    </row>
    <row r="46" spans="1:17" ht="21" thickBot="1">
      <c r="A46" s="123" t="s">
        <v>95</v>
      </c>
      <c r="G46" s="105"/>
      <c r="H46" s="105"/>
      <c r="I46" s="105"/>
      <c r="J46" s="105"/>
      <c r="K46" s="105"/>
      <c r="L46" s="105"/>
      <c r="M46" s="105"/>
      <c r="N46" s="105"/>
      <c r="O46" s="105"/>
      <c r="P46" s="105"/>
      <c r="Q46" s="105"/>
    </row>
    <row r="47" spans="1:17" ht="18">
      <c r="A47" s="1160" t="s">
        <v>67</v>
      </c>
      <c r="B47" s="1161"/>
      <c r="C47" s="1161"/>
      <c r="D47" s="1161"/>
      <c r="E47" s="1161"/>
      <c r="F47" s="1162"/>
      <c r="G47" s="125" t="str">
        <f>+G36</f>
        <v>Form 1 Amount</v>
      </c>
      <c r="H47" s="125" t="s">
        <v>96</v>
      </c>
      <c r="I47" s="125"/>
      <c r="J47" s="1163" t="s">
        <v>18</v>
      </c>
      <c r="K47" s="1164"/>
      <c r="L47" s="1164"/>
      <c r="M47" s="1164"/>
      <c r="N47" s="1164"/>
      <c r="O47" s="1164"/>
      <c r="P47" s="1164"/>
      <c r="Q47" s="1165"/>
    </row>
    <row r="48" spans="1:17" ht="15.75">
      <c r="A48" s="131"/>
      <c r="B48" s="127" t="s">
        <v>76</v>
      </c>
      <c r="C48" s="154"/>
      <c r="D48" s="154"/>
      <c r="E48" s="197"/>
      <c r="F48" s="155"/>
      <c r="G48" s="36"/>
      <c r="H48" s="36"/>
      <c r="I48" s="36"/>
      <c r="J48" s="1176"/>
      <c r="K48" s="1167"/>
      <c r="L48" s="1167"/>
      <c r="M48" s="1167"/>
      <c r="N48" s="1167"/>
      <c r="O48" s="1167"/>
      <c r="P48" s="1167"/>
      <c r="Q48" s="1168"/>
    </row>
    <row r="49" spans="1:17" ht="16.5" thickBot="1">
      <c r="A49" s="167">
        <f>+'ATT H-9A'!A131</f>
        <v>73</v>
      </c>
      <c r="B49" s="198"/>
      <c r="C49" s="169" t="str">
        <f>+'ATT H-9A'!C131</f>
        <v xml:space="preserve">    Less EPRI Dues</v>
      </c>
      <c r="D49" s="199"/>
      <c r="E49" s="171" t="str">
        <f>+'ATT H-9A'!E131</f>
        <v>(Note D)</v>
      </c>
      <c r="F49" s="1107" t="str">
        <f>+'ATT H-9A'!F131</f>
        <v>p352-353</v>
      </c>
      <c r="G49" s="200">
        <v>418896</v>
      </c>
      <c r="H49" s="201">
        <f>G49</f>
        <v>418896</v>
      </c>
      <c r="I49" s="196"/>
      <c r="J49" s="1178" t="s">
        <v>93</v>
      </c>
      <c r="K49" s="1178"/>
      <c r="L49" s="1178"/>
      <c r="M49" s="1178"/>
      <c r="N49" s="1178"/>
      <c r="O49" s="1178"/>
      <c r="P49" s="1178"/>
      <c r="Q49" s="1179"/>
    </row>
    <row r="50" spans="1:17">
      <c r="G50" s="105"/>
      <c r="H50" s="105"/>
      <c r="I50" s="105"/>
      <c r="J50" s="105"/>
      <c r="K50" s="105"/>
      <c r="L50" s="105"/>
      <c r="M50" s="105"/>
      <c r="N50" s="105"/>
      <c r="O50" s="105"/>
      <c r="P50" s="105"/>
      <c r="Q50" s="105"/>
    </row>
    <row r="51" spans="1:17">
      <c r="G51" s="105"/>
      <c r="H51" s="105"/>
      <c r="I51" s="105"/>
      <c r="J51" s="105"/>
      <c r="K51" s="105"/>
      <c r="L51" s="105"/>
      <c r="M51" s="105"/>
      <c r="N51" s="105"/>
      <c r="O51" s="105"/>
      <c r="P51" s="105"/>
      <c r="Q51" s="105"/>
    </row>
    <row r="52" spans="1:17" ht="21" thickBot="1">
      <c r="A52" s="123" t="s">
        <v>97</v>
      </c>
      <c r="G52" s="105"/>
      <c r="H52" s="105"/>
      <c r="I52" s="105"/>
      <c r="J52" s="105"/>
      <c r="K52" s="105"/>
      <c r="L52" s="105"/>
      <c r="M52" s="105"/>
      <c r="N52" s="105"/>
      <c r="O52" s="105"/>
      <c r="P52" s="105"/>
      <c r="Q52" s="105"/>
    </row>
    <row r="53" spans="1:17" ht="26.25">
      <c r="A53" s="1160" t="s">
        <v>67</v>
      </c>
      <c r="B53" s="1161"/>
      <c r="C53" s="1161"/>
      <c r="D53" s="1161"/>
      <c r="E53" s="1161"/>
      <c r="F53" s="1162"/>
      <c r="G53" s="125" t="s">
        <v>68</v>
      </c>
      <c r="H53" s="125" t="s">
        <v>79</v>
      </c>
      <c r="I53" s="125" t="s">
        <v>80</v>
      </c>
      <c r="J53" s="1163" t="s">
        <v>18</v>
      </c>
      <c r="K53" s="1164"/>
      <c r="L53" s="1164"/>
      <c r="M53" s="1164"/>
      <c r="N53" s="1164"/>
      <c r="O53" s="1164"/>
      <c r="P53" s="1164"/>
      <c r="Q53" s="1165"/>
    </row>
    <row r="54" spans="1:17" ht="15.75">
      <c r="A54" s="131"/>
      <c r="B54" s="127" t="s">
        <v>76</v>
      </c>
      <c r="C54" s="154"/>
      <c r="D54" s="154"/>
      <c r="E54" s="197"/>
      <c r="F54" s="155"/>
      <c r="G54" s="36"/>
      <c r="H54" s="36"/>
      <c r="I54" s="36"/>
      <c r="J54" s="36"/>
      <c r="K54" s="36"/>
      <c r="L54" s="36"/>
      <c r="M54" s="36"/>
      <c r="N54" s="36"/>
      <c r="O54" s="36"/>
      <c r="P54" s="36"/>
      <c r="Q54" s="38"/>
    </row>
    <row r="55" spans="1:17" ht="15.75">
      <c r="A55" s="131">
        <f>+'ATT H-9A'!A128</f>
        <v>70</v>
      </c>
      <c r="B55" s="156"/>
      <c r="C55" s="132" t="str">
        <f>+'ATT H-9A'!C128</f>
        <v xml:space="preserve">    Less Regulatory Commission Exp Account 928</v>
      </c>
      <c r="D55" s="189"/>
      <c r="E55" s="133" t="str">
        <f>+'ATT H-9A'!E128</f>
        <v>(Note E)</v>
      </c>
      <c r="F55" s="177" t="str">
        <f>+'ATT H-9A'!F128</f>
        <v>p323.189b</v>
      </c>
      <c r="G55" s="134">
        <v>4320061</v>
      </c>
      <c r="H55" s="202">
        <f>158693+6720</f>
        <v>165413</v>
      </c>
      <c r="I55" s="164">
        <f>G55-H55</f>
        <v>4154648</v>
      </c>
      <c r="J55" s="203" t="s">
        <v>841</v>
      </c>
      <c r="K55" s="204"/>
      <c r="L55" s="204"/>
      <c r="M55" s="204"/>
      <c r="N55" s="204"/>
      <c r="O55" s="204"/>
      <c r="P55" s="204"/>
      <c r="Q55" s="205"/>
    </row>
    <row r="56" spans="1:17" ht="15.75">
      <c r="A56" s="131"/>
      <c r="B56" s="127" t="s">
        <v>82</v>
      </c>
      <c r="C56" s="151"/>
      <c r="D56" s="154"/>
      <c r="E56" s="190"/>
      <c r="F56" s="188"/>
      <c r="G56" s="180"/>
      <c r="H56" s="180"/>
      <c r="I56" s="180"/>
      <c r="J56" s="36"/>
      <c r="K56" s="36"/>
      <c r="L56" s="36"/>
      <c r="M56" s="36"/>
      <c r="N56" s="36"/>
      <c r="O56" s="36"/>
      <c r="P56" s="36"/>
      <c r="Q56" s="38"/>
    </row>
    <row r="57" spans="1:17" ht="16.5" thickBot="1">
      <c r="A57" s="167">
        <f>+'ATT H-9A'!A137</f>
        <v>77</v>
      </c>
      <c r="B57" s="168"/>
      <c r="C57" s="169" t="str">
        <f>+'ATT H-9A'!C137</f>
        <v>Regulatory Commission Exp Account 928</v>
      </c>
      <c r="D57" s="206"/>
      <c r="E57" s="171" t="str">
        <f>+'ATT H-9A'!E137</f>
        <v>(Note G)</v>
      </c>
      <c r="F57" s="194" t="str">
        <f>+'ATT H-9A'!F137</f>
        <v>p323.189b</v>
      </c>
      <c r="G57" s="200">
        <f>G55</f>
        <v>4320061</v>
      </c>
      <c r="H57" s="207">
        <f>H55</f>
        <v>165413</v>
      </c>
      <c r="I57" s="208">
        <f>I55</f>
        <v>4154648</v>
      </c>
      <c r="J57" s="1174" t="s">
        <v>841</v>
      </c>
      <c r="K57" s="1174"/>
      <c r="L57" s="1174"/>
      <c r="M57" s="1174"/>
      <c r="N57" s="1174"/>
      <c r="O57" s="1174"/>
      <c r="P57" s="1174"/>
      <c r="Q57" s="1175"/>
    </row>
    <row r="58" spans="1:17">
      <c r="G58" s="105"/>
      <c r="H58" s="105"/>
      <c r="I58" s="105"/>
      <c r="J58" s="105"/>
      <c r="K58" s="105"/>
      <c r="L58" s="105"/>
      <c r="M58" s="105"/>
      <c r="N58" s="105"/>
      <c r="O58" s="105"/>
      <c r="P58" s="105"/>
      <c r="Q58" s="105"/>
    </row>
    <row r="59" spans="1:17">
      <c r="G59" s="105"/>
      <c r="H59" s="105"/>
      <c r="I59" s="105"/>
      <c r="J59" s="105"/>
      <c r="K59" s="105"/>
      <c r="L59" s="105"/>
      <c r="M59" s="105"/>
      <c r="N59" s="105"/>
      <c r="O59" s="105"/>
      <c r="P59" s="105"/>
      <c r="Q59" s="105"/>
    </row>
    <row r="60" spans="1:17" ht="21" thickBot="1">
      <c r="A60" s="123" t="s">
        <v>98</v>
      </c>
      <c r="G60" s="105"/>
      <c r="H60" s="105"/>
      <c r="I60" s="105"/>
      <c r="J60" s="105"/>
      <c r="K60" s="105"/>
      <c r="L60" s="105"/>
      <c r="M60" s="105"/>
      <c r="N60" s="105"/>
      <c r="O60" s="105"/>
      <c r="P60" s="105"/>
      <c r="Q60" s="105"/>
    </row>
    <row r="61" spans="1:17" ht="26.25">
      <c r="A61" s="1160" t="s">
        <v>67</v>
      </c>
      <c r="B61" s="1161"/>
      <c r="C61" s="1161"/>
      <c r="D61" s="1161"/>
      <c r="E61" s="1161"/>
      <c r="F61" s="1162"/>
      <c r="G61" s="125" t="s">
        <v>68</v>
      </c>
      <c r="H61" s="125" t="s">
        <v>99</v>
      </c>
      <c r="I61" s="125" t="s">
        <v>100</v>
      </c>
      <c r="J61" s="1163" t="s">
        <v>18</v>
      </c>
      <c r="K61" s="1164"/>
      <c r="L61" s="1164"/>
      <c r="M61" s="1164"/>
      <c r="N61" s="1164"/>
      <c r="O61" s="1164"/>
      <c r="P61" s="1164"/>
      <c r="Q61" s="1165"/>
    </row>
    <row r="62" spans="1:17" ht="15.75">
      <c r="A62" s="131"/>
      <c r="B62" s="127" t="s">
        <v>82</v>
      </c>
      <c r="C62" s="146"/>
      <c r="D62" s="154"/>
      <c r="E62" s="179"/>
      <c r="F62" s="148"/>
      <c r="G62" s="36"/>
      <c r="H62" s="36"/>
      <c r="I62" s="36"/>
      <c r="J62" s="36"/>
      <c r="K62" s="36"/>
      <c r="L62" s="36"/>
      <c r="M62" s="36"/>
      <c r="N62" s="36"/>
      <c r="O62" s="36"/>
      <c r="P62" s="36"/>
      <c r="Q62" s="38"/>
    </row>
    <row r="63" spans="1:17" ht="16.5" thickBot="1">
      <c r="A63" s="209">
        <f>+'ATT H-9A'!A142</f>
        <v>81</v>
      </c>
      <c r="B63" s="168"/>
      <c r="C63" s="210" t="str">
        <f>+'ATT H-9A'!C142</f>
        <v>General Advertising Exp Account 930.1</v>
      </c>
      <c r="D63" s="170"/>
      <c r="E63" s="211" t="str">
        <f>+'ATT H-9A'!E142</f>
        <v>(Note F)</v>
      </c>
      <c r="F63" s="212" t="str">
        <f>+'ATT H-9A'!F142</f>
        <v>p323.191b</v>
      </c>
      <c r="G63" s="200">
        <v>409143</v>
      </c>
      <c r="H63" s="213">
        <v>0</v>
      </c>
      <c r="I63" s="207">
        <f>G63-H63</f>
        <v>409143</v>
      </c>
      <c r="J63" s="1180" t="s">
        <v>101</v>
      </c>
      <c r="K63" s="1180"/>
      <c r="L63" s="1180"/>
      <c r="M63" s="1180"/>
      <c r="N63" s="1180"/>
      <c r="O63" s="1180"/>
      <c r="P63" s="1180"/>
      <c r="Q63" s="1181"/>
    </row>
    <row r="64" spans="1:17" ht="15.75">
      <c r="A64" s="115"/>
      <c r="B64" s="165"/>
      <c r="C64" s="132"/>
      <c r="D64" s="154"/>
      <c r="E64" s="152"/>
      <c r="F64" s="132"/>
      <c r="G64" s="180"/>
      <c r="H64" s="180"/>
      <c r="I64" s="180"/>
      <c r="J64" s="214"/>
      <c r="K64" s="215"/>
      <c r="L64" s="215"/>
      <c r="M64" s="215"/>
      <c r="N64" s="215"/>
      <c r="O64" s="215"/>
      <c r="P64" s="215"/>
      <c r="Q64" s="215"/>
    </row>
    <row r="65" spans="1:18">
      <c r="G65" s="105"/>
      <c r="H65" s="105"/>
      <c r="I65" s="105"/>
      <c r="J65" s="105"/>
      <c r="K65" s="105"/>
      <c r="L65" s="105"/>
      <c r="M65" s="105"/>
      <c r="N65" s="105"/>
      <c r="O65" s="105"/>
      <c r="P65" s="105"/>
      <c r="Q65" s="105"/>
    </row>
    <row r="66" spans="1:18" ht="21" thickBot="1">
      <c r="A66" s="123" t="s">
        <v>102</v>
      </c>
      <c r="G66" s="105"/>
      <c r="H66" s="105"/>
      <c r="I66" s="105"/>
      <c r="J66" s="105"/>
      <c r="K66" s="105"/>
      <c r="L66" s="105"/>
      <c r="M66" s="105"/>
      <c r="N66" s="105"/>
      <c r="O66" s="105"/>
      <c r="P66" s="105"/>
      <c r="Q66" s="105"/>
    </row>
    <row r="67" spans="1:18" ht="18">
      <c r="A67" s="1160" t="s">
        <v>67</v>
      </c>
      <c r="B67" s="1161"/>
      <c r="C67" s="1161"/>
      <c r="D67" s="1161"/>
      <c r="E67" s="1161"/>
      <c r="F67" s="1162"/>
      <c r="G67" s="125" t="s">
        <v>103</v>
      </c>
      <c r="H67" s="125" t="s">
        <v>104</v>
      </c>
      <c r="I67" s="125" t="s">
        <v>105</v>
      </c>
      <c r="J67" s="125" t="s">
        <v>106</v>
      </c>
      <c r="K67" s="125" t="s">
        <v>107</v>
      </c>
      <c r="L67" s="1163" t="s">
        <v>18</v>
      </c>
      <c r="M67" s="1164"/>
      <c r="N67" s="1164"/>
      <c r="O67" s="1164"/>
      <c r="P67" s="1164"/>
      <c r="Q67" s="1165"/>
    </row>
    <row r="68" spans="1:18" ht="15.75">
      <c r="A68" s="159" t="s">
        <v>108</v>
      </c>
      <c r="B68" s="216" t="s">
        <v>109</v>
      </c>
      <c r="C68" s="116"/>
      <c r="D68" s="116"/>
      <c r="E68" s="179"/>
      <c r="F68" s="217"/>
      <c r="G68" s="36"/>
      <c r="H68" s="36"/>
      <c r="I68" s="36"/>
      <c r="J68" s="36"/>
      <c r="K68" s="36"/>
      <c r="L68" s="36"/>
      <c r="M68" s="36"/>
      <c r="N68" s="36"/>
      <c r="O68" s="36"/>
      <c r="P68" s="36"/>
      <c r="Q68" s="38"/>
    </row>
    <row r="69" spans="1:18" ht="15.75">
      <c r="A69" s="159"/>
      <c r="B69" s="216"/>
      <c r="C69" s="116"/>
      <c r="D69" s="116"/>
      <c r="E69" s="179"/>
      <c r="F69" s="217"/>
      <c r="G69" s="180" t="s">
        <v>110</v>
      </c>
      <c r="H69" s="180" t="s">
        <v>111</v>
      </c>
      <c r="I69" s="180" t="s">
        <v>112</v>
      </c>
      <c r="J69" s="180" t="s">
        <v>112</v>
      </c>
      <c r="K69" s="180" t="s">
        <v>112</v>
      </c>
      <c r="L69" s="1176" t="s">
        <v>113</v>
      </c>
      <c r="M69" s="1182"/>
      <c r="N69" s="1182"/>
      <c r="O69" s="1182"/>
      <c r="P69" s="1182"/>
      <c r="Q69" s="1183"/>
    </row>
    <row r="70" spans="1:18" ht="16.5" thickBot="1">
      <c r="A70" s="209">
        <f>+'ATT H-9A'!A222</f>
        <v>129</v>
      </c>
      <c r="B70" s="192"/>
      <c r="C70" s="210" t="str">
        <f>+'ATT H-9A'!C222</f>
        <v>SIT=State Income Tax Rate or Composite</v>
      </c>
      <c r="D70" s="218"/>
      <c r="E70" s="211" t="str">
        <f>+'ATT H-9A'!E222</f>
        <v>(Note I)</v>
      </c>
      <c r="F70" s="219">
        <v>7.5999999999999998E-2</v>
      </c>
      <c r="G70" s="220">
        <v>8.2500000000000004E-2</v>
      </c>
      <c r="H70" s="220">
        <v>8.2500000000000004E-2</v>
      </c>
      <c r="I70" s="196" t="s">
        <v>114</v>
      </c>
      <c r="J70" s="196" t="s">
        <v>114</v>
      </c>
      <c r="K70" s="196" t="s">
        <v>114</v>
      </c>
      <c r="L70" s="1178" t="s">
        <v>115</v>
      </c>
      <c r="M70" s="1184"/>
      <c r="N70" s="1184"/>
      <c r="O70" s="1184"/>
      <c r="P70" s="1184"/>
      <c r="Q70" s="1185"/>
    </row>
    <row r="71" spans="1:18">
      <c r="G71" s="105"/>
      <c r="H71" s="105"/>
      <c r="I71" s="105"/>
      <c r="J71" s="105"/>
      <c r="K71" s="105"/>
      <c r="L71" s="105"/>
      <c r="M71" s="105"/>
      <c r="N71" s="105"/>
      <c r="O71" s="105"/>
      <c r="P71" s="105"/>
      <c r="Q71" s="105"/>
    </row>
    <row r="72" spans="1:18">
      <c r="G72" s="105"/>
      <c r="H72" s="105"/>
      <c r="I72" s="105"/>
      <c r="J72" s="105"/>
      <c r="K72" s="105"/>
      <c r="L72" s="105"/>
      <c r="M72" s="105"/>
      <c r="N72" s="105"/>
      <c r="O72" s="105"/>
      <c r="P72" s="105"/>
      <c r="Q72" s="105"/>
    </row>
    <row r="73" spans="1:18" ht="21" thickBot="1">
      <c r="A73" s="123" t="s">
        <v>116</v>
      </c>
      <c r="G73" s="105"/>
      <c r="H73" s="105"/>
      <c r="I73" s="105"/>
      <c r="J73" s="105"/>
      <c r="K73" s="105"/>
      <c r="L73" s="105"/>
      <c r="M73" s="105"/>
      <c r="N73" s="105"/>
      <c r="O73" s="105"/>
      <c r="P73" s="105"/>
      <c r="Q73" s="105"/>
    </row>
    <row r="74" spans="1:18" ht="26.25">
      <c r="A74" s="1160" t="s">
        <v>67</v>
      </c>
      <c r="B74" s="1161"/>
      <c r="C74" s="1161"/>
      <c r="D74" s="1161"/>
      <c r="E74" s="1161"/>
      <c r="F74" s="1162"/>
      <c r="G74" s="125" t="s">
        <v>68</v>
      </c>
      <c r="H74" s="125" t="s">
        <v>117</v>
      </c>
      <c r="I74" s="125" t="s">
        <v>118</v>
      </c>
      <c r="J74" s="1163" t="s">
        <v>18</v>
      </c>
      <c r="K74" s="1164"/>
      <c r="L74" s="1164"/>
      <c r="M74" s="1164"/>
      <c r="N74" s="1164"/>
      <c r="O74" s="1164"/>
      <c r="P74" s="1164"/>
      <c r="Q74" s="1165"/>
    </row>
    <row r="75" spans="1:18" ht="15.75">
      <c r="A75" s="131"/>
      <c r="B75" s="127" t="s">
        <v>82</v>
      </c>
      <c r="C75" s="146"/>
      <c r="D75" s="154"/>
      <c r="E75" s="179"/>
      <c r="F75" s="148"/>
      <c r="G75" s="36"/>
      <c r="H75" s="36"/>
      <c r="I75" s="36"/>
      <c r="J75" s="36"/>
      <c r="K75" s="36"/>
      <c r="L75" s="36"/>
      <c r="M75" s="36"/>
      <c r="N75" s="36"/>
      <c r="O75" s="36"/>
      <c r="P75" s="36"/>
      <c r="Q75" s="38"/>
    </row>
    <row r="76" spans="1:18" ht="16.5" thickBot="1">
      <c r="A76" s="209">
        <f>+'ATT H-9A'!A138</f>
        <v>78</v>
      </c>
      <c r="B76" s="168"/>
      <c r="C76" s="210" t="str">
        <f>+'ATT H-9A'!C138</f>
        <v>General Advertising Exp Account 930.1</v>
      </c>
      <c r="D76" s="221"/>
      <c r="E76" s="211" t="str">
        <f>+'ATT H-9A'!E138</f>
        <v>(Note K)</v>
      </c>
      <c r="F76" s="212" t="str">
        <f>+'ATT H-9A'!F138</f>
        <v>p323.191b</v>
      </c>
      <c r="G76" s="200">
        <f>+G63</f>
        <v>409143</v>
      </c>
      <c r="H76" s="196">
        <v>0</v>
      </c>
      <c r="I76" s="222">
        <f>G76-H76</f>
        <v>409143</v>
      </c>
      <c r="J76" s="1186" t="str">
        <f>+J63</f>
        <v>None</v>
      </c>
      <c r="K76" s="1178"/>
      <c r="L76" s="1178"/>
      <c r="M76" s="1178"/>
      <c r="N76" s="1178"/>
      <c r="O76" s="1178"/>
      <c r="P76" s="1178"/>
      <c r="Q76" s="1179"/>
    </row>
    <row r="77" spans="1:18">
      <c r="G77" s="105"/>
      <c r="H77" s="105"/>
      <c r="I77" s="105"/>
      <c r="J77" s="105"/>
      <c r="K77" s="105"/>
      <c r="L77" s="105"/>
      <c r="M77" s="105"/>
      <c r="N77" s="105"/>
      <c r="O77" s="105"/>
      <c r="P77" s="105"/>
      <c r="Q77" s="105"/>
    </row>
    <row r="78" spans="1:18">
      <c r="G78" s="105"/>
      <c r="H78" s="105"/>
      <c r="I78" s="105"/>
      <c r="J78" s="105"/>
      <c r="K78" s="105"/>
      <c r="L78" s="105"/>
      <c r="M78" s="105"/>
      <c r="N78" s="105"/>
      <c r="O78" s="105"/>
      <c r="P78" s="105"/>
      <c r="Q78" s="105"/>
    </row>
    <row r="79" spans="1:18" ht="21" thickBot="1">
      <c r="A79" s="123" t="s">
        <v>119</v>
      </c>
      <c r="G79" s="105"/>
      <c r="H79" s="105"/>
      <c r="I79" s="105"/>
      <c r="J79" s="105"/>
      <c r="K79" s="105"/>
      <c r="L79" s="105"/>
      <c r="M79" s="105"/>
      <c r="N79" s="105"/>
      <c r="O79" s="105"/>
      <c r="P79" s="105"/>
      <c r="Q79" s="105"/>
    </row>
    <row r="80" spans="1:18" ht="26.25">
      <c r="A80" s="1160" t="s">
        <v>67</v>
      </c>
      <c r="B80" s="1161"/>
      <c r="C80" s="1161"/>
      <c r="D80" s="1161"/>
      <c r="E80" s="1161"/>
      <c r="F80" s="1161"/>
      <c r="G80" s="124" t="str">
        <f>+C82</f>
        <v>Excluded Transmission Facilities</v>
      </c>
      <c r="H80" s="1163" t="s">
        <v>120</v>
      </c>
      <c r="I80" s="1187"/>
      <c r="J80" s="1187"/>
      <c r="K80" s="1187"/>
      <c r="L80" s="1187"/>
      <c r="M80" s="1187"/>
      <c r="N80" s="1187"/>
      <c r="O80" s="1187"/>
      <c r="P80" s="1187"/>
      <c r="Q80" s="1188"/>
      <c r="R80" s="223"/>
    </row>
    <row r="81" spans="1:17" ht="18">
      <c r="A81" s="224"/>
      <c r="B81" s="225" t="s">
        <v>121</v>
      </c>
      <c r="C81" s="226"/>
      <c r="D81" s="227"/>
      <c r="E81" s="228"/>
      <c r="F81" s="229"/>
      <c r="G81" s="37"/>
      <c r="H81" s="36"/>
      <c r="I81" s="36"/>
      <c r="J81" s="36"/>
      <c r="K81" s="36"/>
      <c r="L81" s="36"/>
      <c r="M81" s="36"/>
      <c r="N81" s="36"/>
      <c r="O81" s="36"/>
      <c r="P81" s="36"/>
      <c r="Q81" s="38"/>
    </row>
    <row r="82" spans="1:17" ht="18">
      <c r="A82" s="131">
        <f>+'ATT H-9A'!A256</f>
        <v>149</v>
      </c>
      <c r="B82" s="156"/>
      <c r="C82" s="132" t="str">
        <f>+'ATT H-9A'!C256</f>
        <v>Excluded Transmission Facilities</v>
      </c>
      <c r="D82" s="227"/>
      <c r="E82" s="133" t="str">
        <f>+'ATT H-9A'!E256</f>
        <v>(Note M)</v>
      </c>
      <c r="F82" s="1108" t="str">
        <f>+'ATT H-9A'!F256</f>
        <v>Attachment 5</v>
      </c>
      <c r="G82" s="230">
        <v>0</v>
      </c>
      <c r="H82" s="1176" t="s">
        <v>122</v>
      </c>
      <c r="I82" s="1167"/>
      <c r="J82" s="1167"/>
      <c r="K82" s="1167"/>
      <c r="L82" s="1167"/>
      <c r="M82" s="1167"/>
      <c r="N82" s="1167"/>
      <c r="O82" s="1167"/>
      <c r="P82" s="1167"/>
      <c r="Q82" s="1168"/>
    </row>
    <row r="83" spans="1:17" ht="18">
      <c r="A83" s="131"/>
      <c r="B83" s="156"/>
      <c r="C83" s="231"/>
      <c r="D83" s="227"/>
      <c r="E83" s="138"/>
      <c r="F83" s="189"/>
      <c r="G83" s="37"/>
      <c r="H83" s="36"/>
      <c r="I83" s="36"/>
      <c r="J83" s="36"/>
      <c r="K83" s="36"/>
      <c r="L83" s="36"/>
      <c r="M83" s="36"/>
      <c r="N83" s="36"/>
      <c r="O83" s="180"/>
      <c r="P83" s="36"/>
      <c r="Q83" s="38"/>
    </row>
    <row r="84" spans="1:17" ht="18">
      <c r="A84" s="131"/>
      <c r="B84" s="156"/>
      <c r="C84" s="231" t="s">
        <v>123</v>
      </c>
      <c r="D84" s="227"/>
      <c r="E84" s="138"/>
      <c r="F84" s="189"/>
      <c r="G84" s="232" t="s">
        <v>124</v>
      </c>
      <c r="H84" s="1176" t="s">
        <v>101</v>
      </c>
      <c r="I84" s="1167"/>
      <c r="J84" s="1167"/>
      <c r="K84" s="1167"/>
      <c r="L84" s="1167"/>
      <c r="M84" s="1167"/>
      <c r="N84" s="1167"/>
      <c r="O84" s="1167"/>
      <c r="P84" s="1167"/>
      <c r="Q84" s="1168"/>
    </row>
    <row r="85" spans="1:17" ht="18">
      <c r="A85" s="131"/>
      <c r="B85" s="156">
        <v>1</v>
      </c>
      <c r="C85" s="231" t="s">
        <v>125</v>
      </c>
      <c r="D85" s="227"/>
      <c r="E85" s="138"/>
      <c r="F85" s="189"/>
      <c r="G85" s="233"/>
      <c r="H85" s="1176"/>
      <c r="I85" s="1167"/>
      <c r="J85" s="1167"/>
      <c r="K85" s="1167"/>
      <c r="L85" s="1167"/>
      <c r="M85" s="1167"/>
      <c r="N85" s="1167"/>
      <c r="O85" s="1167"/>
      <c r="P85" s="1167"/>
      <c r="Q85" s="1168"/>
    </row>
    <row r="86" spans="1:17" ht="18">
      <c r="A86" s="131"/>
      <c r="B86" s="156"/>
      <c r="C86" s="231" t="s">
        <v>126</v>
      </c>
      <c r="D86" s="227"/>
      <c r="E86" s="138"/>
      <c r="F86" s="189"/>
      <c r="G86" s="233"/>
      <c r="H86" s="214"/>
      <c r="I86" s="215"/>
      <c r="J86" s="215"/>
      <c r="K86" s="215"/>
      <c r="L86" s="215"/>
      <c r="M86" s="215"/>
      <c r="N86" s="215"/>
      <c r="O86" s="215"/>
      <c r="P86" s="215"/>
      <c r="Q86" s="234"/>
    </row>
    <row r="87" spans="1:17" ht="18">
      <c r="A87" s="131"/>
      <c r="B87" s="156">
        <v>2</v>
      </c>
      <c r="C87" s="231" t="s">
        <v>127</v>
      </c>
      <c r="D87" s="227"/>
      <c r="E87" s="138"/>
      <c r="F87" s="189"/>
      <c r="G87" s="232" t="s">
        <v>128</v>
      </c>
      <c r="H87" s="1176"/>
      <c r="I87" s="1167"/>
      <c r="J87" s="1167"/>
      <c r="K87" s="1167"/>
      <c r="L87" s="1167"/>
      <c r="M87" s="1167"/>
      <c r="N87" s="1167"/>
      <c r="O87" s="1167"/>
      <c r="P87" s="1167"/>
      <c r="Q87" s="1168"/>
    </row>
    <row r="88" spans="1:17" ht="18">
      <c r="A88" s="131"/>
      <c r="B88" s="156"/>
      <c r="C88" s="231" t="s">
        <v>129</v>
      </c>
      <c r="D88" s="235" t="s">
        <v>130</v>
      </c>
      <c r="E88" s="138"/>
      <c r="F88" s="189"/>
      <c r="G88" s="232" t="str">
        <f>+G84</f>
        <v>Enter $</v>
      </c>
      <c r="H88" s="1176"/>
      <c r="I88" s="1167"/>
      <c r="J88" s="1167"/>
      <c r="K88" s="1167"/>
      <c r="L88" s="1167"/>
      <c r="M88" s="1167"/>
      <c r="N88" s="1167"/>
      <c r="O88" s="1167"/>
      <c r="P88" s="1167"/>
      <c r="Q88" s="1168"/>
    </row>
    <row r="89" spans="1:17" ht="15.75">
      <c r="A89" s="236"/>
      <c r="B89" s="237" t="s">
        <v>9</v>
      </c>
      <c r="C89" s="231" t="s">
        <v>131</v>
      </c>
      <c r="D89" s="238">
        <v>1000000</v>
      </c>
      <c r="E89" s="111"/>
      <c r="F89" s="111"/>
      <c r="G89" s="233"/>
      <c r="H89" s="1176"/>
      <c r="I89" s="1167"/>
      <c r="J89" s="1167"/>
      <c r="K89" s="1167"/>
      <c r="L89" s="1167"/>
      <c r="M89" s="1167"/>
      <c r="N89" s="1167"/>
      <c r="O89" s="1167"/>
      <c r="P89" s="1167"/>
      <c r="Q89" s="1168"/>
    </row>
    <row r="90" spans="1:17" ht="15.75">
      <c r="A90" s="236"/>
      <c r="B90" s="237" t="s">
        <v>10</v>
      </c>
      <c r="C90" s="231" t="s">
        <v>132</v>
      </c>
      <c r="D90" s="238">
        <v>500000</v>
      </c>
      <c r="E90" s="111"/>
      <c r="F90" s="111"/>
      <c r="G90" s="233"/>
      <c r="H90" s="1176"/>
      <c r="I90" s="1167"/>
      <c r="J90" s="1167"/>
      <c r="K90" s="1167"/>
      <c r="L90" s="1167"/>
      <c r="M90" s="1167"/>
      <c r="N90" s="1167"/>
      <c r="O90" s="1167"/>
      <c r="P90" s="1167"/>
      <c r="Q90" s="1168"/>
    </row>
    <row r="91" spans="1:17" ht="15.75">
      <c r="A91" s="236"/>
      <c r="B91" s="237" t="s">
        <v>11</v>
      </c>
      <c r="C91" s="231" t="s">
        <v>133</v>
      </c>
      <c r="D91" s="238">
        <v>400000</v>
      </c>
      <c r="E91" s="111"/>
      <c r="F91" s="111"/>
      <c r="G91" s="233"/>
      <c r="H91" s="1176"/>
      <c r="I91" s="1167"/>
      <c r="J91" s="1167"/>
      <c r="K91" s="1167"/>
      <c r="L91" s="1167"/>
      <c r="M91" s="1167"/>
      <c r="N91" s="1167"/>
      <c r="O91" s="1167"/>
      <c r="P91" s="1167"/>
      <c r="Q91" s="1168"/>
    </row>
    <row r="92" spans="1:17" ht="15.75">
      <c r="A92" s="236"/>
      <c r="B92" s="237" t="s">
        <v>14</v>
      </c>
      <c r="C92" s="231" t="s">
        <v>134</v>
      </c>
      <c r="D92" s="238">
        <f>+D89*(D91/(D90+D91))</f>
        <v>444444.44444444444</v>
      </c>
      <c r="E92" s="111"/>
      <c r="F92" s="111"/>
      <c r="G92" s="233"/>
      <c r="H92" s="1176"/>
      <c r="I92" s="1167"/>
      <c r="J92" s="1167"/>
      <c r="K92" s="1167"/>
      <c r="L92" s="1167"/>
      <c r="M92" s="1167"/>
      <c r="N92" s="1167"/>
      <c r="O92" s="1167"/>
      <c r="P92" s="1167"/>
      <c r="Q92" s="1168"/>
    </row>
    <row r="93" spans="1:17" ht="15.75" thickBot="1">
      <c r="A93" s="181"/>
      <c r="B93" s="182"/>
      <c r="C93" s="182"/>
      <c r="D93" s="182"/>
      <c r="E93" s="182"/>
      <c r="F93" s="182"/>
      <c r="G93" s="68"/>
      <c r="H93" s="76"/>
      <c r="I93" s="76"/>
      <c r="J93" s="76"/>
      <c r="K93" s="239" t="s">
        <v>135</v>
      </c>
      <c r="L93" s="76"/>
      <c r="M93" s="76"/>
      <c r="N93" s="76"/>
      <c r="O93" s="76"/>
      <c r="P93" s="76"/>
      <c r="Q93" s="77"/>
    </row>
    <row r="94" spans="1:17">
      <c r="A94" s="240"/>
      <c r="B94" s="240"/>
      <c r="C94" s="240"/>
      <c r="D94" s="240"/>
      <c r="E94" s="240"/>
      <c r="F94" s="240"/>
      <c r="G94" s="36"/>
      <c r="H94" s="36"/>
      <c r="I94" s="36"/>
      <c r="J94" s="36"/>
      <c r="K94" s="241"/>
      <c r="L94" s="36"/>
      <c r="M94" s="36"/>
      <c r="N94" s="36"/>
      <c r="O94" s="36"/>
      <c r="P94" s="36"/>
      <c r="Q94" s="36"/>
    </row>
    <row r="95" spans="1:17">
      <c r="A95" s="240"/>
      <c r="B95" s="240"/>
      <c r="C95" s="240"/>
      <c r="D95" s="240"/>
      <c r="E95" s="240"/>
      <c r="F95" s="240"/>
      <c r="G95" s="36"/>
      <c r="H95" s="36"/>
      <c r="I95" s="36"/>
      <c r="J95" s="36"/>
      <c r="K95" s="241"/>
      <c r="L95" s="36"/>
      <c r="M95" s="36"/>
      <c r="N95" s="36"/>
      <c r="O95" s="36"/>
      <c r="P95" s="36"/>
      <c r="Q95" s="36"/>
    </row>
    <row r="96" spans="1:17" ht="15.75">
      <c r="A96" s="156"/>
      <c r="B96" s="156"/>
      <c r="C96" s="156"/>
      <c r="D96" s="156"/>
      <c r="E96" s="133"/>
      <c r="F96" s="156"/>
      <c r="G96" s="36"/>
      <c r="H96" s="36"/>
      <c r="I96" s="36"/>
      <c r="J96" s="36"/>
      <c r="K96" s="241"/>
      <c r="L96" s="36"/>
      <c r="M96" s="36"/>
      <c r="N96" s="36"/>
      <c r="O96" s="36"/>
      <c r="P96" s="36"/>
      <c r="Q96" s="36"/>
    </row>
    <row r="97" spans="1:17" ht="15.75">
      <c r="A97" s="156"/>
      <c r="B97" s="156"/>
      <c r="C97" s="156"/>
      <c r="D97" s="156"/>
      <c r="E97" s="133"/>
      <c r="F97" s="156"/>
      <c r="G97" s="36"/>
      <c r="H97" s="36"/>
      <c r="I97" s="36"/>
      <c r="J97" s="36"/>
      <c r="K97" s="241"/>
      <c r="L97" s="36"/>
      <c r="M97" s="36"/>
      <c r="N97" s="36"/>
      <c r="O97" s="36"/>
      <c r="P97" s="36"/>
      <c r="Q97" s="36"/>
    </row>
    <row r="98" spans="1:17" ht="21" thickBot="1">
      <c r="A98" s="123" t="s">
        <v>136</v>
      </c>
      <c r="G98" s="105"/>
      <c r="H98" s="105"/>
      <c r="I98" s="105"/>
      <c r="J98" s="105"/>
      <c r="K98" s="105"/>
      <c r="L98" s="105"/>
      <c r="M98" s="105"/>
      <c r="N98" s="105"/>
      <c r="O98" s="105"/>
      <c r="P98" s="105"/>
      <c r="Q98" s="105"/>
    </row>
    <row r="99" spans="1:17" ht="26.25">
      <c r="A99" s="1160" t="s">
        <v>67</v>
      </c>
      <c r="B99" s="1161"/>
      <c r="C99" s="1161"/>
      <c r="D99" s="1161"/>
      <c r="E99" s="1161"/>
      <c r="F99" s="1162"/>
      <c r="G99" s="125" t="s">
        <v>61</v>
      </c>
      <c r="H99" s="125" t="s">
        <v>137</v>
      </c>
      <c r="I99" s="125" t="s">
        <v>79</v>
      </c>
      <c r="J99" s="1163" t="s">
        <v>18</v>
      </c>
      <c r="K99" s="1164"/>
      <c r="L99" s="1164"/>
      <c r="M99" s="1164"/>
      <c r="N99" s="1164"/>
      <c r="O99" s="1164"/>
      <c r="P99" s="1164"/>
      <c r="Q99" s="1165"/>
    </row>
    <row r="100" spans="1:17" ht="15.75">
      <c r="A100" s="131">
        <f>+'ATT H-9A'!A84</f>
        <v>44</v>
      </c>
      <c r="B100" s="127" t="s">
        <v>138</v>
      </c>
      <c r="C100" s="146"/>
      <c r="D100" s="154"/>
      <c r="E100" s="197"/>
      <c r="F100" s="148"/>
      <c r="G100" s="242" t="s">
        <v>124</v>
      </c>
      <c r="H100" s="243"/>
      <c r="I100" s="243" t="s">
        <v>139</v>
      </c>
      <c r="J100" s="36"/>
      <c r="K100" s="36"/>
      <c r="L100" s="36"/>
      <c r="M100" s="36"/>
      <c r="N100" s="36"/>
      <c r="O100" s="36"/>
      <c r="P100" s="36"/>
      <c r="Q100" s="38"/>
    </row>
    <row r="101" spans="1:17" ht="15.75">
      <c r="A101" s="131"/>
      <c r="B101" s="127"/>
      <c r="C101" s="146" t="s">
        <v>140</v>
      </c>
      <c r="D101" s="154"/>
      <c r="E101" s="197"/>
      <c r="F101" s="148"/>
      <c r="G101" s="244">
        <v>0</v>
      </c>
      <c r="H101" s="245">
        <v>1</v>
      </c>
      <c r="I101" s="243">
        <f>+G101*H101</f>
        <v>0</v>
      </c>
      <c r="J101" s="36"/>
      <c r="K101" s="36"/>
      <c r="L101" s="36"/>
      <c r="M101" s="36"/>
      <c r="N101" s="36"/>
      <c r="O101" s="36"/>
      <c r="P101" s="36"/>
      <c r="Q101" s="38"/>
    </row>
    <row r="102" spans="1:17" ht="15.75">
      <c r="A102" s="131"/>
      <c r="B102" s="127"/>
      <c r="C102" s="146" t="s">
        <v>141</v>
      </c>
      <c r="D102" s="154"/>
      <c r="E102" s="197"/>
      <c r="F102" s="148"/>
      <c r="G102" s="244">
        <v>75418110.229999989</v>
      </c>
      <c r="H102" s="246">
        <f>+'ATT H-9A'!H16</f>
        <v>0.10615912662453647</v>
      </c>
      <c r="I102" s="243">
        <f>+G102*H102</f>
        <v>8006320.713689818</v>
      </c>
      <c r="J102" s="36"/>
      <c r="K102" s="36"/>
      <c r="L102" s="36"/>
      <c r="M102" s="36"/>
      <c r="N102" s="36"/>
      <c r="O102" s="36"/>
      <c r="P102" s="36"/>
      <c r="Q102" s="38"/>
    </row>
    <row r="103" spans="1:17" ht="15.75">
      <c r="A103" s="131"/>
      <c r="B103" s="127"/>
      <c r="C103" s="146" t="s">
        <v>142</v>
      </c>
      <c r="D103" s="154"/>
      <c r="E103" s="197"/>
      <c r="F103" s="148"/>
      <c r="G103" s="244">
        <v>1904937</v>
      </c>
      <c r="H103" s="246">
        <f>+'ATT H-9A'!H32</f>
        <v>0.18716387973834922</v>
      </c>
      <c r="I103" s="243">
        <f>+G103*H103</f>
        <v>356535.39957713173</v>
      </c>
      <c r="J103" s="36"/>
      <c r="K103" s="36"/>
      <c r="L103" s="36"/>
      <c r="M103" s="36"/>
      <c r="N103" s="36"/>
      <c r="O103" s="36"/>
      <c r="P103" s="36"/>
      <c r="Q103" s="38"/>
    </row>
    <row r="104" spans="1:17" ht="16.5" thickBot="1">
      <c r="A104" s="131"/>
      <c r="B104" s="127"/>
      <c r="C104" s="146" t="s">
        <v>118</v>
      </c>
      <c r="D104" s="154"/>
      <c r="E104" s="197"/>
      <c r="F104" s="148"/>
      <c r="G104" s="247"/>
      <c r="H104" s="246">
        <v>0</v>
      </c>
      <c r="I104" s="243">
        <f>+G104*H104</f>
        <v>0</v>
      </c>
      <c r="J104" s="36"/>
      <c r="K104" s="36"/>
      <c r="L104" s="36"/>
      <c r="M104" s="36"/>
      <c r="N104" s="36"/>
      <c r="O104" s="36"/>
      <c r="P104" s="36"/>
      <c r="Q104" s="38"/>
    </row>
    <row r="105" spans="1:17" ht="16.5" thickBot="1">
      <c r="A105" s="248"/>
      <c r="B105" s="168"/>
      <c r="C105" s="169" t="s">
        <v>143</v>
      </c>
      <c r="D105" s="221"/>
      <c r="E105" s="171"/>
      <c r="F105" s="212"/>
      <c r="G105" s="249">
        <f>SUM(G101:G104)</f>
        <v>77323047.229999989</v>
      </c>
      <c r="H105" s="250"/>
      <c r="I105" s="251">
        <f>SUM(I101:I104)</f>
        <v>8362856.1132669495</v>
      </c>
      <c r="J105" s="1186"/>
      <c r="K105" s="1178"/>
      <c r="L105" s="1178"/>
      <c r="M105" s="1178"/>
      <c r="N105" s="1178"/>
      <c r="O105" s="1178"/>
      <c r="P105" s="1178"/>
      <c r="Q105" s="1179"/>
    </row>
    <row r="106" spans="1:17" ht="15.75">
      <c r="A106" s="156"/>
      <c r="B106" s="156"/>
      <c r="C106" s="156"/>
      <c r="D106" s="156"/>
      <c r="E106" s="133"/>
      <c r="F106" s="156"/>
      <c r="G106" s="36"/>
      <c r="H106" s="36"/>
      <c r="I106" s="36"/>
      <c r="J106" s="36"/>
      <c r="K106" s="241"/>
      <c r="L106" s="36"/>
      <c r="M106" s="36"/>
      <c r="N106" s="36"/>
      <c r="O106" s="36"/>
      <c r="P106" s="36"/>
      <c r="Q106" s="36"/>
    </row>
    <row r="107" spans="1:17" ht="15.75">
      <c r="A107" s="156"/>
      <c r="B107" s="156"/>
      <c r="C107" s="156"/>
      <c r="D107" s="156"/>
      <c r="E107" s="133"/>
      <c r="F107" s="156"/>
      <c r="G107" s="36"/>
      <c r="H107" s="36"/>
      <c r="I107" s="36"/>
      <c r="J107" s="36"/>
      <c r="K107" s="241"/>
      <c r="L107" s="36"/>
      <c r="M107" s="36"/>
      <c r="N107" s="36"/>
      <c r="O107" s="36"/>
      <c r="P107" s="36"/>
      <c r="Q107" s="36"/>
    </row>
    <row r="108" spans="1:17" ht="21" thickBot="1">
      <c r="A108" s="123" t="s">
        <v>144</v>
      </c>
      <c r="G108" s="105"/>
      <c r="H108" s="105"/>
      <c r="I108" s="105"/>
      <c r="J108" s="105"/>
      <c r="K108" s="105"/>
      <c r="L108" s="105"/>
      <c r="M108" s="105"/>
      <c r="N108" s="105"/>
      <c r="O108" s="105"/>
      <c r="P108" s="105"/>
      <c r="Q108" s="105"/>
    </row>
    <row r="109" spans="1:17" ht="18">
      <c r="A109" s="1160" t="s">
        <v>67</v>
      </c>
      <c r="B109" s="1161"/>
      <c r="C109" s="1161"/>
      <c r="D109" s="1161"/>
      <c r="E109" s="1161"/>
      <c r="F109" s="1162"/>
      <c r="G109" s="125"/>
      <c r="H109" s="1163" t="s">
        <v>145</v>
      </c>
      <c r="I109" s="1187"/>
      <c r="J109" s="1187"/>
      <c r="K109" s="1187"/>
      <c r="L109" s="1187"/>
      <c r="M109" s="1187"/>
      <c r="N109" s="1187"/>
      <c r="O109" s="1187"/>
      <c r="P109" s="1187"/>
      <c r="Q109" s="1188"/>
    </row>
    <row r="110" spans="1:17" ht="15.75">
      <c r="A110" s="252">
        <f>+'ATT H-9A'!A87</f>
        <v>45</v>
      </c>
      <c r="B110" s="144" t="s">
        <v>144</v>
      </c>
      <c r="C110" s="253"/>
      <c r="D110" s="254"/>
      <c r="E110" s="190"/>
      <c r="F110" s="255" t="s">
        <v>146</v>
      </c>
      <c r="G110" s="36"/>
      <c r="H110" s="86"/>
      <c r="I110" s="36"/>
      <c r="J110" s="36"/>
      <c r="K110" s="36"/>
      <c r="L110" s="36"/>
      <c r="M110" s="36"/>
      <c r="N110" s="36"/>
      <c r="O110" s="36"/>
      <c r="P110" s="36"/>
      <c r="Q110" s="38"/>
    </row>
    <row r="111" spans="1:17" ht="15.75">
      <c r="A111" s="131"/>
      <c r="B111" s="156">
        <f>+'ATT H-9A'!A16</f>
        <v>5</v>
      </c>
      <c r="C111" t="str">
        <f>+'ATT H-9A'!B16</f>
        <v>Wages &amp; Salary Allocator</v>
      </c>
      <c r="D111" s="254"/>
      <c r="E111" s="256">
        <f>+'ATT H-9A'!H16</f>
        <v>0.10615912662453647</v>
      </c>
      <c r="F111" s="177"/>
      <c r="G111" s="257"/>
      <c r="H111" s="1176"/>
      <c r="I111" s="1167"/>
      <c r="J111" s="1167"/>
      <c r="K111" s="1167"/>
      <c r="L111" s="1167"/>
      <c r="M111" s="1167"/>
      <c r="N111" s="1167"/>
      <c r="O111" s="1167"/>
      <c r="P111" s="1167"/>
      <c r="Q111" s="1168"/>
    </row>
    <row r="112" spans="1:17" ht="15.75">
      <c r="A112" s="131"/>
      <c r="B112" s="156"/>
      <c r="C112" s="240" t="s">
        <v>147</v>
      </c>
      <c r="D112" s="258">
        <f>G112*H112</f>
        <v>0</v>
      </c>
      <c r="E112" s="259">
        <f>+E111</f>
        <v>0.10615912662453647</v>
      </c>
      <c r="F112" s="260">
        <f>D112*E111</f>
        <v>0</v>
      </c>
      <c r="G112" s="261"/>
      <c r="H112" s="262"/>
      <c r="I112" s="215"/>
      <c r="J112" s="215"/>
      <c r="K112" s="215"/>
      <c r="L112" s="215"/>
      <c r="M112" s="215"/>
      <c r="N112" s="215"/>
      <c r="O112" s="215"/>
      <c r="P112" s="215"/>
      <c r="Q112" s="234"/>
    </row>
    <row r="113" spans="1:17" ht="15.75">
      <c r="A113" s="131"/>
      <c r="B113" s="156"/>
      <c r="C113" s="263" t="s">
        <v>148</v>
      </c>
      <c r="D113" s="1148">
        <f>32727496-D114-D115</f>
        <v>4673066.0799999982</v>
      </c>
      <c r="E113" s="264">
        <v>0</v>
      </c>
      <c r="F113" s="265">
        <f>D113*E113</f>
        <v>0</v>
      </c>
      <c r="G113" s="36" t="s">
        <v>149</v>
      </c>
      <c r="H113" s="214"/>
      <c r="I113" s="215"/>
      <c r="J113" s="215"/>
      <c r="K113" s="215"/>
      <c r="L113" s="215"/>
      <c r="M113" s="215"/>
      <c r="N113" s="215"/>
      <c r="O113" s="215"/>
      <c r="P113" s="215"/>
      <c r="Q113" s="38"/>
    </row>
    <row r="114" spans="1:17" ht="15.75">
      <c r="A114" s="131"/>
      <c r="B114" s="156"/>
      <c r="C114" s="263" t="s">
        <v>152</v>
      </c>
      <c r="D114" s="266">
        <v>24368593.120000001</v>
      </c>
      <c r="E114" s="267">
        <f>'Prop taxes to function'!C36/'Prop taxes to function'!C25</f>
        <v>0.23594601585705016</v>
      </c>
      <c r="F114" s="260">
        <f>+D114*E114</f>
        <v>5749672.458705524</v>
      </c>
      <c r="G114" s="268" t="s">
        <v>151</v>
      </c>
      <c r="H114" s="36"/>
      <c r="I114" s="215"/>
      <c r="J114" s="262"/>
      <c r="K114" s="215"/>
      <c r="L114" s="262"/>
      <c r="M114" s="215"/>
      <c r="N114" s="262"/>
      <c r="O114" s="215"/>
      <c r="P114" s="262"/>
      <c r="Q114" s="38"/>
    </row>
    <row r="115" spans="1:17" ht="15.75">
      <c r="A115" s="131"/>
      <c r="B115" s="156"/>
      <c r="C115" s="263" t="s">
        <v>150</v>
      </c>
      <c r="D115" s="266">
        <f>32727496.05-4673066.13-24368593.12</f>
        <v>3685836.8000000007</v>
      </c>
      <c r="E115" s="267">
        <f>E111</f>
        <v>0.10615912662453647</v>
      </c>
      <c r="F115" s="260">
        <f>+D115*E115</f>
        <v>391285.21556857636</v>
      </c>
      <c r="G115" s="268" t="s">
        <v>153</v>
      </c>
      <c r="H115" s="36"/>
      <c r="I115" s="215"/>
      <c r="J115" s="262"/>
      <c r="K115" s="215"/>
      <c r="L115" s="262"/>
      <c r="M115" s="215"/>
      <c r="N115" s="262"/>
      <c r="O115" s="215"/>
      <c r="P115" s="262"/>
      <c r="Q115" s="38"/>
    </row>
    <row r="116" spans="1:17" ht="15.75">
      <c r="A116" s="131"/>
      <c r="B116" s="156"/>
      <c r="C116" s="263" t="s">
        <v>154</v>
      </c>
      <c r="D116" s="266">
        <v>325586334</v>
      </c>
      <c r="E116" s="267">
        <f>+E115</f>
        <v>0.10615912662453647</v>
      </c>
      <c r="F116" s="260">
        <f>+D116*E116</f>
        <v>34563960.858324625</v>
      </c>
      <c r="G116" s="268" t="s">
        <v>155</v>
      </c>
      <c r="H116" s="269"/>
      <c r="I116" s="215"/>
      <c r="J116" s="215"/>
      <c r="K116" s="215"/>
      <c r="L116" s="215"/>
      <c r="M116" s="215"/>
      <c r="N116" s="215"/>
      <c r="O116" s="215"/>
      <c r="P116" s="215"/>
      <c r="Q116" s="234"/>
    </row>
    <row r="117" spans="1:17" ht="15.75">
      <c r="A117" s="131"/>
      <c r="B117" s="156"/>
      <c r="C117" s="263"/>
      <c r="D117" s="270">
        <f>SUM(D113:D116)</f>
        <v>358313830</v>
      </c>
      <c r="E117" s="271"/>
      <c r="F117" s="272">
        <f>SUM(F113:F116)</f>
        <v>40704918.532598726</v>
      </c>
      <c r="G117" s="273"/>
      <c r="H117" s="262"/>
      <c r="I117" s="215"/>
      <c r="J117" s="215"/>
      <c r="K117" s="215"/>
      <c r="L117" s="215"/>
      <c r="M117" s="215"/>
      <c r="N117" s="215"/>
      <c r="O117" s="215"/>
      <c r="P117" s="215"/>
      <c r="Q117" s="234"/>
    </row>
    <row r="118" spans="1:17" ht="16.5" thickBot="1">
      <c r="A118" s="167"/>
      <c r="B118" s="198"/>
      <c r="C118" s="198"/>
      <c r="D118" s="198"/>
      <c r="E118" s="171"/>
      <c r="F118" s="274"/>
      <c r="G118" s="76"/>
      <c r="H118" s="76"/>
      <c r="I118" s="76"/>
      <c r="J118" s="76"/>
      <c r="K118" s="239"/>
      <c r="L118" s="76"/>
      <c r="M118" s="76"/>
      <c r="N118" s="76"/>
      <c r="O118" s="76"/>
      <c r="P118" s="76"/>
      <c r="Q118" s="77"/>
    </row>
    <row r="119" spans="1:17">
      <c r="A119" s="240"/>
      <c r="B119" s="240"/>
      <c r="C119" s="240"/>
      <c r="D119" s="240"/>
      <c r="E119" s="240"/>
      <c r="F119" s="240"/>
      <c r="G119" s="36"/>
      <c r="H119" s="36"/>
      <c r="I119" s="36"/>
      <c r="J119" s="36"/>
      <c r="K119" s="241"/>
      <c r="L119" s="36"/>
      <c r="M119" s="36"/>
      <c r="N119" s="36"/>
      <c r="O119" s="36"/>
      <c r="P119" s="36"/>
      <c r="Q119" s="36"/>
    </row>
    <row r="120" spans="1:17">
      <c r="A120" s="240"/>
      <c r="B120" s="240"/>
      <c r="C120" s="240"/>
      <c r="D120" s="240"/>
      <c r="E120" s="240"/>
      <c r="F120" s="240"/>
      <c r="G120" s="36"/>
      <c r="H120" s="36"/>
      <c r="I120" s="36"/>
      <c r="J120" s="36"/>
      <c r="K120" s="241"/>
      <c r="L120" s="36"/>
      <c r="M120" s="36"/>
      <c r="N120" s="36"/>
      <c r="O120" s="36"/>
      <c r="P120" s="36"/>
      <c r="Q120" s="36"/>
    </row>
    <row r="121" spans="1:17" ht="21" thickBot="1">
      <c r="A121" s="123" t="s">
        <v>156</v>
      </c>
      <c r="G121" s="105"/>
      <c r="H121" s="105"/>
      <c r="I121" s="105"/>
      <c r="J121" s="105"/>
      <c r="K121" s="105"/>
      <c r="L121" s="105"/>
      <c r="M121" s="105"/>
      <c r="N121" s="105"/>
      <c r="O121" s="105"/>
      <c r="P121" s="105"/>
      <c r="Q121" s="105"/>
    </row>
    <row r="122" spans="1:17" ht="26.25">
      <c r="A122" s="1160" t="s">
        <v>67</v>
      </c>
      <c r="B122" s="1161"/>
      <c r="C122" s="1161"/>
      <c r="D122" s="1161"/>
      <c r="E122" s="1161"/>
      <c r="F122" s="1162"/>
      <c r="G122" s="125" t="str">
        <f>+C124</f>
        <v>Outstanding Network Credits</v>
      </c>
      <c r="H122" s="1163" t="s">
        <v>157</v>
      </c>
      <c r="I122" s="1187"/>
      <c r="J122" s="1187"/>
      <c r="K122" s="1187"/>
      <c r="L122" s="1187"/>
      <c r="M122" s="1187"/>
      <c r="N122" s="1187"/>
      <c r="O122" s="1187"/>
      <c r="P122" s="1187"/>
      <c r="Q122" s="1188"/>
    </row>
    <row r="123" spans="1:17" ht="15.75">
      <c r="A123" s="275"/>
      <c r="B123" s="144" t="s">
        <v>158</v>
      </c>
      <c r="C123" s="253"/>
      <c r="D123" s="254"/>
      <c r="E123" s="190"/>
      <c r="F123" s="217"/>
      <c r="G123" s="180" t="s">
        <v>124</v>
      </c>
      <c r="H123" s="36"/>
      <c r="I123" s="36"/>
      <c r="J123" s="36"/>
      <c r="K123" s="36"/>
      <c r="L123" s="36"/>
      <c r="M123" s="36"/>
      <c r="N123" s="36"/>
      <c r="O123" s="36"/>
      <c r="P123" s="36"/>
      <c r="Q123" s="38"/>
    </row>
    <row r="124" spans="1:17" ht="15.75">
      <c r="A124" s="131">
        <f>+'ATT H-9A'!A104</f>
        <v>55</v>
      </c>
      <c r="B124" s="156"/>
      <c r="C124" s="132" t="str">
        <f>+'ATT H-9A'!C104</f>
        <v>Outstanding Network Credits</v>
      </c>
      <c r="D124" s="156"/>
      <c r="E124" s="133" t="str">
        <f>+'ATT H-9A'!E104</f>
        <v>(Note N)</v>
      </c>
      <c r="F124" s="177" t="str">
        <f>+'ATT H-9A'!F104</f>
        <v>From PJM</v>
      </c>
      <c r="G124" s="180">
        <v>0</v>
      </c>
      <c r="H124" s="1176" t="s">
        <v>159</v>
      </c>
      <c r="I124" s="1167"/>
      <c r="J124" s="1167"/>
      <c r="K124" s="1167"/>
      <c r="L124" s="1167"/>
      <c r="M124" s="1167"/>
      <c r="N124" s="1167"/>
      <c r="O124" s="1167"/>
      <c r="P124" s="1167"/>
      <c r="Q124" s="1168"/>
    </row>
    <row r="125" spans="1:17" ht="15.75">
      <c r="A125" s="131"/>
      <c r="B125" s="156"/>
      <c r="C125" s="132"/>
      <c r="D125" s="156"/>
      <c r="E125" s="133"/>
      <c r="F125" s="177"/>
      <c r="G125" s="36"/>
      <c r="H125" s="36"/>
      <c r="I125" s="36"/>
      <c r="J125" s="36"/>
      <c r="K125" s="36"/>
      <c r="L125" s="36"/>
      <c r="M125" s="36"/>
      <c r="N125" s="36"/>
      <c r="O125" s="180"/>
      <c r="P125" s="36"/>
      <c r="Q125" s="38"/>
    </row>
    <row r="126" spans="1:17" ht="15.75">
      <c r="A126" s="131"/>
      <c r="B126" s="156"/>
      <c r="C126" s="132"/>
      <c r="D126" s="156"/>
      <c r="E126" s="133"/>
      <c r="F126" s="177"/>
      <c r="H126" s="1176" t="s">
        <v>101</v>
      </c>
      <c r="I126" s="1167"/>
      <c r="J126" s="1167"/>
      <c r="K126" s="1167"/>
      <c r="L126" s="1167"/>
      <c r="M126" s="1167"/>
      <c r="N126" s="1167"/>
      <c r="O126" s="1167"/>
      <c r="P126" s="1167"/>
      <c r="Q126" s="1168"/>
    </row>
    <row r="127" spans="1:17" ht="15.75">
      <c r="A127" s="131"/>
      <c r="B127" s="156"/>
      <c r="C127" s="132"/>
      <c r="D127" s="156"/>
      <c r="E127" s="133"/>
      <c r="F127" s="177"/>
      <c r="G127" s="180"/>
      <c r="H127" s="1176"/>
      <c r="I127" s="1167"/>
      <c r="J127" s="1167"/>
      <c r="K127" s="1167"/>
      <c r="L127" s="1167"/>
      <c r="M127" s="1167"/>
      <c r="N127" s="1167"/>
      <c r="O127" s="1167"/>
      <c r="P127" s="1167"/>
      <c r="Q127" s="1168"/>
    </row>
    <row r="128" spans="1:17" ht="15.75">
      <c r="A128" s="131"/>
      <c r="B128" s="156"/>
      <c r="C128" s="132"/>
      <c r="D128" s="156"/>
      <c r="E128" s="133"/>
      <c r="F128" s="177"/>
      <c r="G128" s="180"/>
      <c r="H128" s="1176"/>
      <c r="I128" s="1167"/>
      <c r="J128" s="1167"/>
      <c r="K128" s="1167"/>
      <c r="L128" s="1167"/>
      <c r="M128" s="1167"/>
      <c r="N128" s="1167"/>
      <c r="O128" s="1167"/>
      <c r="P128" s="1167"/>
      <c r="Q128" s="1168"/>
    </row>
    <row r="129" spans="1:18" ht="15.75">
      <c r="A129" s="131">
        <f>+'ATT H-9A'!A105</f>
        <v>56</v>
      </c>
      <c r="B129" s="156"/>
      <c r="C129" s="132" t="str">
        <f>+'ATT H-9A'!C105</f>
        <v xml:space="preserve">    Less Accumulated Depreciation Associated with Facilities with Outstanding Network Credits</v>
      </c>
      <c r="D129" s="156"/>
      <c r="E129" s="133" t="str">
        <f>+'ATT H-9A'!E105</f>
        <v>(Note N)</v>
      </c>
      <c r="F129" s="177" t="str">
        <f>+'ATT H-9A'!F105</f>
        <v>From PJM</v>
      </c>
      <c r="G129" s="180">
        <v>0</v>
      </c>
      <c r="H129" s="1176"/>
      <c r="I129" s="1167"/>
      <c r="J129" s="1167"/>
      <c r="K129" s="1167"/>
      <c r="L129" s="1167"/>
      <c r="M129" s="1167"/>
      <c r="N129" s="1167"/>
      <c r="O129" s="1167"/>
      <c r="P129" s="1167"/>
      <c r="Q129" s="1168"/>
    </row>
    <row r="130" spans="1:18" ht="15.75">
      <c r="A130" s="131"/>
      <c r="B130" s="156"/>
      <c r="C130" s="156"/>
      <c r="D130" s="156"/>
      <c r="E130" s="133"/>
      <c r="F130" s="276"/>
      <c r="G130" s="180"/>
      <c r="H130" s="1176"/>
      <c r="I130" s="1167"/>
      <c r="J130" s="1167"/>
      <c r="K130" s="1167"/>
      <c r="L130" s="1167"/>
      <c r="M130" s="1167"/>
      <c r="N130" s="1167"/>
      <c r="O130" s="1167"/>
      <c r="P130" s="1167"/>
      <c r="Q130" s="1168"/>
    </row>
    <row r="131" spans="1:18" ht="15.75">
      <c r="A131" s="131"/>
      <c r="B131" s="156"/>
      <c r="C131" s="156"/>
      <c r="D131" s="156"/>
      <c r="E131" s="133"/>
      <c r="F131" s="276"/>
      <c r="G131" s="180"/>
      <c r="H131" s="1176" t="s">
        <v>101</v>
      </c>
      <c r="I131" s="1167"/>
      <c r="J131" s="1167"/>
      <c r="K131" s="1167"/>
      <c r="L131" s="1167"/>
      <c r="M131" s="1167"/>
      <c r="N131" s="1167"/>
      <c r="O131" s="1167"/>
      <c r="P131" s="1167"/>
      <c r="Q131" s="1168"/>
    </row>
    <row r="132" spans="1:18" ht="15.75">
      <c r="A132" s="131"/>
      <c r="B132" s="156"/>
      <c r="C132" s="156"/>
      <c r="D132" s="156"/>
      <c r="E132" s="133"/>
      <c r="F132" s="276"/>
      <c r="G132" s="180"/>
      <c r="H132" s="1176"/>
      <c r="I132" s="1167"/>
      <c r="J132" s="1167"/>
      <c r="K132" s="1167"/>
      <c r="L132" s="1167"/>
      <c r="M132" s="1167"/>
      <c r="N132" s="1167"/>
      <c r="O132" s="1167"/>
      <c r="P132" s="1167"/>
      <c r="Q132" s="1168"/>
    </row>
    <row r="133" spans="1:18" ht="16.5" thickBot="1">
      <c r="A133" s="167"/>
      <c r="B133" s="198"/>
      <c r="C133" s="198"/>
      <c r="D133" s="198"/>
      <c r="E133" s="171"/>
      <c r="F133" s="274"/>
      <c r="G133" s="76"/>
      <c r="H133" s="76"/>
      <c r="I133" s="76"/>
      <c r="J133" s="76"/>
      <c r="K133" s="239" t="s">
        <v>135</v>
      </c>
      <c r="L133" s="76"/>
      <c r="M133" s="76"/>
      <c r="N133" s="76"/>
      <c r="O133" s="76"/>
      <c r="P133" s="76"/>
      <c r="Q133" s="77"/>
    </row>
    <row r="134" spans="1:18" ht="15.75">
      <c r="A134" s="156"/>
      <c r="B134" s="156"/>
      <c r="C134" s="156"/>
      <c r="D134" s="156"/>
      <c r="E134" s="133"/>
      <c r="F134" s="156"/>
      <c r="G134" s="36"/>
      <c r="H134" s="36"/>
      <c r="I134" s="36"/>
      <c r="J134" s="36"/>
      <c r="K134" s="241"/>
      <c r="L134" s="36"/>
      <c r="M134" s="36"/>
      <c r="N134" s="36"/>
      <c r="O134" s="36"/>
      <c r="P134" s="36"/>
      <c r="Q134" s="36"/>
    </row>
    <row r="135" spans="1:18" ht="21" thickBot="1">
      <c r="A135" s="277" t="s">
        <v>160</v>
      </c>
      <c r="B135" s="156"/>
      <c r="C135" s="156"/>
      <c r="D135" s="156"/>
      <c r="E135" s="133"/>
      <c r="F135" s="156"/>
      <c r="G135" s="36"/>
      <c r="H135" s="36"/>
      <c r="I135" s="36"/>
      <c r="J135" s="36"/>
      <c r="K135" s="241"/>
      <c r="L135" s="36"/>
      <c r="M135" s="36"/>
      <c r="N135" s="36"/>
      <c r="O135" s="36"/>
      <c r="P135" s="36"/>
      <c r="Q135" s="36"/>
    </row>
    <row r="136" spans="1:18" ht="18">
      <c r="A136" s="1160" t="s">
        <v>67</v>
      </c>
      <c r="B136" s="1161"/>
      <c r="C136" s="1161"/>
      <c r="D136" s="1161"/>
      <c r="E136" s="1161"/>
      <c r="F136" s="1162"/>
      <c r="G136" s="278" t="s">
        <v>161</v>
      </c>
      <c r="H136" s="25" t="s">
        <v>162</v>
      </c>
      <c r="I136" s="25" t="s">
        <v>163</v>
      </c>
      <c r="J136" s="25" t="s">
        <v>164</v>
      </c>
      <c r="K136" s="279"/>
      <c r="L136" s="25"/>
      <c r="M136" s="25"/>
      <c r="N136" s="25"/>
      <c r="O136" s="25"/>
      <c r="P136" s="25"/>
      <c r="Q136" s="27"/>
    </row>
    <row r="137" spans="1:18" ht="15.75">
      <c r="A137" s="131">
        <f>'ATT H-9A'!A116</f>
        <v>61</v>
      </c>
      <c r="B137" s="156"/>
      <c r="C137" s="132" t="str">
        <f>'ATT H-9A'!C116</f>
        <v>Less extraordinary property loss</v>
      </c>
      <c r="D137" s="156"/>
      <c r="E137" s="156"/>
      <c r="F137" s="1109" t="str">
        <f>'ATT H-9A'!F116</f>
        <v>Attachment 5</v>
      </c>
      <c r="G137" s="280">
        <v>0</v>
      </c>
      <c r="H137" s="36"/>
      <c r="I137" s="36"/>
      <c r="J137" s="36"/>
      <c r="K137" s="241"/>
      <c r="L137" s="36"/>
      <c r="M137" s="36"/>
      <c r="N137" s="36"/>
      <c r="O137" s="36"/>
      <c r="P137" s="36"/>
      <c r="Q137" s="38"/>
      <c r="R137" s="281"/>
    </row>
    <row r="138" spans="1:18" ht="16.5" thickBot="1">
      <c r="A138" s="167">
        <f>'ATT H-9A'!A117</f>
        <v>62</v>
      </c>
      <c r="B138" s="198"/>
      <c r="C138" s="169" t="str">
        <f>'ATT H-9A'!C117</f>
        <v>Plus amortized extraordinary property loss</v>
      </c>
      <c r="D138" s="198"/>
      <c r="E138" s="198"/>
      <c r="F138" s="1110" t="str">
        <f>'ATT H-9A'!F117</f>
        <v>Attachment 5</v>
      </c>
      <c r="G138" s="282">
        <v>0</v>
      </c>
      <c r="H138" s="76">
        <v>5</v>
      </c>
      <c r="I138" s="283">
        <f>G137*1/H138</f>
        <v>0</v>
      </c>
      <c r="J138" s="283">
        <f>I138-ISPMT('ATT H-9A'!H214,1,'5 - Cost Support 1'!H138,'5 - Cost Support 1'!G137)</f>
        <v>0</v>
      </c>
      <c r="K138" s="239"/>
      <c r="L138" s="76"/>
      <c r="M138" s="76"/>
      <c r="N138" s="76"/>
      <c r="O138" s="76"/>
      <c r="P138" s="76"/>
      <c r="Q138" s="77"/>
      <c r="R138" s="281"/>
    </row>
    <row r="139" spans="1:18" ht="15.75">
      <c r="A139" s="156"/>
      <c r="B139" s="156"/>
      <c r="C139" s="156"/>
      <c r="D139" s="156"/>
      <c r="E139" s="133"/>
      <c r="F139" s="156"/>
      <c r="G139" s="36"/>
      <c r="H139" s="36"/>
      <c r="I139" s="36"/>
      <c r="J139" s="36"/>
      <c r="K139" s="241"/>
      <c r="L139" s="36"/>
      <c r="M139" s="36"/>
      <c r="N139" s="36"/>
      <c r="O139" s="36"/>
      <c r="P139" s="36"/>
      <c r="Q139" s="36"/>
    </row>
    <row r="140" spans="1:18" ht="15.75">
      <c r="A140" s="156"/>
      <c r="B140" s="156"/>
      <c r="C140" s="156"/>
      <c r="D140" s="156"/>
      <c r="E140" s="133"/>
      <c r="F140" s="156"/>
      <c r="G140" s="36"/>
      <c r="H140" s="36"/>
      <c r="I140" s="36"/>
      <c r="J140" s="36"/>
      <c r="K140" s="241"/>
      <c r="L140" s="36"/>
      <c r="M140" s="36"/>
      <c r="N140" s="36"/>
      <c r="O140" s="36"/>
      <c r="P140" s="36"/>
      <c r="Q140" s="36"/>
    </row>
    <row r="141" spans="1:18" ht="21" thickBot="1">
      <c r="A141" s="123" t="s">
        <v>165</v>
      </c>
      <c r="G141" s="105"/>
      <c r="H141" s="105"/>
      <c r="I141" s="105"/>
      <c r="J141" s="105"/>
      <c r="K141" s="105"/>
      <c r="L141" s="105"/>
      <c r="M141" s="105"/>
      <c r="N141" s="105"/>
      <c r="O141" s="105"/>
      <c r="P141" s="105"/>
      <c r="Q141" s="105"/>
    </row>
    <row r="142" spans="1:18" ht="26.25">
      <c r="A142" s="1160" t="s">
        <v>67</v>
      </c>
      <c r="B142" s="1161"/>
      <c r="C142" s="1161"/>
      <c r="D142" s="1161"/>
      <c r="E142" s="1161"/>
      <c r="F142" s="1162"/>
      <c r="G142" s="125" t="str">
        <f>+C144</f>
        <v>Interest on Network Credits</v>
      </c>
      <c r="H142" s="1163" t="s">
        <v>166</v>
      </c>
      <c r="I142" s="1187"/>
      <c r="J142" s="1187"/>
      <c r="K142" s="1187"/>
      <c r="L142" s="1187"/>
      <c r="M142" s="1187"/>
      <c r="N142" s="1187"/>
      <c r="O142" s="1187"/>
      <c r="P142" s="1187"/>
      <c r="Q142" s="1188"/>
    </row>
    <row r="143" spans="1:18" ht="15.75">
      <c r="A143" s="131"/>
      <c r="B143" s="144" t="str">
        <f>+'ATT H-9A'!B262</f>
        <v>Revenue Credits &amp; Interest on Network Credits</v>
      </c>
      <c r="C143" s="156"/>
      <c r="D143" s="156"/>
      <c r="E143" s="156"/>
      <c r="F143" s="276"/>
      <c r="G143" s="36"/>
      <c r="H143" s="36"/>
      <c r="I143" s="36"/>
      <c r="J143" s="36"/>
      <c r="K143" s="36"/>
      <c r="L143" s="36"/>
      <c r="M143" s="36"/>
      <c r="N143" s="36"/>
      <c r="O143" s="36"/>
      <c r="P143" s="36"/>
      <c r="Q143" s="38"/>
    </row>
    <row r="144" spans="1:18" ht="15.75">
      <c r="A144" s="131">
        <f>+'ATT H-9A'!A264</f>
        <v>155</v>
      </c>
      <c r="B144" s="156"/>
      <c r="C144" s="132" t="str">
        <f>+'ATT H-9A'!C264</f>
        <v>Interest on Network Credits</v>
      </c>
      <c r="D144" s="156"/>
      <c r="E144" s="133" t="str">
        <f>+'ATT H-9A'!E264</f>
        <v>(Note N)</v>
      </c>
      <c r="F144" s="177" t="str">
        <f>+'ATT H-9A'!F264</f>
        <v>PJM Data</v>
      </c>
      <c r="G144" s="257">
        <v>0</v>
      </c>
      <c r="H144" s="1176" t="s">
        <v>159</v>
      </c>
      <c r="I144" s="1167"/>
      <c r="J144" s="1167"/>
      <c r="K144" s="1167"/>
      <c r="L144" s="1167"/>
      <c r="M144" s="1167"/>
      <c r="N144" s="1167"/>
      <c r="O144" s="1167"/>
      <c r="P144" s="1167"/>
      <c r="Q144" s="1168"/>
      <c r="R144" s="109"/>
    </row>
    <row r="145" spans="1:17" ht="15.75">
      <c r="A145" s="131"/>
      <c r="B145" s="156"/>
      <c r="C145" s="156"/>
      <c r="D145" s="156"/>
      <c r="E145" s="133"/>
      <c r="F145" s="276"/>
      <c r="G145" s="36"/>
      <c r="H145" s="36"/>
      <c r="I145" s="36"/>
      <c r="J145" s="36"/>
      <c r="K145" s="36"/>
      <c r="L145" s="36"/>
      <c r="M145" s="36"/>
      <c r="N145" s="36"/>
      <c r="O145" s="180"/>
      <c r="P145" s="36"/>
      <c r="Q145" s="38"/>
    </row>
    <row r="146" spans="1:17" ht="15.75">
      <c r="A146" s="131"/>
      <c r="B146" s="156"/>
      <c r="C146" s="156"/>
      <c r="D146" s="156"/>
      <c r="E146" s="133"/>
      <c r="F146" s="276"/>
      <c r="G146" s="180" t="s">
        <v>124</v>
      </c>
      <c r="H146" s="1176" t="s">
        <v>101</v>
      </c>
      <c r="I146" s="1167"/>
      <c r="J146" s="1167"/>
      <c r="K146" s="1167"/>
      <c r="L146" s="1167"/>
      <c r="M146" s="1167"/>
      <c r="N146" s="1167"/>
      <c r="O146" s="1167"/>
      <c r="P146" s="1167"/>
      <c r="Q146" s="1168"/>
    </row>
    <row r="147" spans="1:17" ht="15.75">
      <c r="A147" s="131"/>
      <c r="B147" s="156"/>
      <c r="C147" s="156"/>
      <c r="D147" s="156"/>
      <c r="E147" s="133"/>
      <c r="F147" s="276"/>
      <c r="G147" s="180"/>
      <c r="H147" s="1176"/>
      <c r="I147" s="1167"/>
      <c r="J147" s="1167"/>
      <c r="K147" s="1167"/>
      <c r="L147" s="1167"/>
      <c r="M147" s="1167"/>
      <c r="N147" s="1167"/>
      <c r="O147" s="1167"/>
      <c r="P147" s="1167"/>
      <c r="Q147" s="1168"/>
    </row>
    <row r="148" spans="1:17" ht="16.5" thickBot="1">
      <c r="A148" s="167"/>
      <c r="B148" s="198"/>
      <c r="C148" s="198"/>
      <c r="D148" s="198"/>
      <c r="E148" s="171"/>
      <c r="F148" s="274"/>
      <c r="G148" s="76"/>
      <c r="H148" s="76"/>
      <c r="I148" s="76"/>
      <c r="J148" s="76"/>
      <c r="K148" s="239" t="s">
        <v>135</v>
      </c>
      <c r="L148" s="76"/>
      <c r="M148" s="76"/>
      <c r="N148" s="76"/>
      <c r="O148" s="76"/>
      <c r="P148" s="76"/>
      <c r="Q148" s="77"/>
    </row>
    <row r="149" spans="1:17" ht="15.75">
      <c r="A149" s="156"/>
      <c r="B149" s="156"/>
      <c r="C149" s="156"/>
      <c r="D149" s="156"/>
      <c r="E149" s="133"/>
      <c r="F149" s="156"/>
      <c r="G149" s="36"/>
      <c r="H149" s="36"/>
      <c r="I149" s="36"/>
      <c r="J149" s="36"/>
      <c r="K149" s="241"/>
      <c r="L149" s="36"/>
      <c r="M149" s="36"/>
      <c r="N149" s="36"/>
      <c r="O149" s="36"/>
      <c r="P149" s="36"/>
      <c r="Q149" s="36"/>
    </row>
    <row r="150" spans="1:17" ht="21" thickBot="1">
      <c r="A150" s="123" t="str">
        <f>+'ATT H-9A'!C287</f>
        <v>Facility Credits under Section 30.9 of the PJM OATT and Facility Credits to Vineland per settlement in ER05-515</v>
      </c>
      <c r="G150" s="105"/>
      <c r="H150" s="105"/>
      <c r="I150" s="105"/>
      <c r="J150" s="105"/>
      <c r="K150" s="105"/>
      <c r="L150" s="105"/>
      <c r="M150" s="105"/>
      <c r="N150" s="105"/>
      <c r="O150" s="105"/>
      <c r="P150" s="105"/>
      <c r="Q150" s="105"/>
    </row>
    <row r="151" spans="1:17" ht="18">
      <c r="A151" s="1160" t="s">
        <v>67</v>
      </c>
      <c r="B151" s="1161"/>
      <c r="C151" s="1161"/>
      <c r="D151" s="1161"/>
      <c r="E151" s="1161"/>
      <c r="F151" s="1162"/>
      <c r="G151" s="125" t="s">
        <v>139</v>
      </c>
      <c r="H151" s="1163" t="s">
        <v>167</v>
      </c>
      <c r="I151" s="1187"/>
      <c r="J151" s="1187"/>
      <c r="K151" s="1187"/>
      <c r="L151" s="1187"/>
      <c r="M151" s="1187"/>
      <c r="N151" s="1187"/>
      <c r="O151" s="1187"/>
      <c r="P151" s="1187"/>
      <c r="Q151" s="1188"/>
    </row>
    <row r="152" spans="1:17" ht="15.75">
      <c r="A152" s="131"/>
      <c r="B152" s="157" t="str">
        <f>+'ATT H-9A'!C284</f>
        <v>Net Revenue Requirement</v>
      </c>
      <c r="C152" s="146"/>
      <c r="D152" s="146"/>
      <c r="E152" s="129"/>
      <c r="F152" s="148"/>
      <c r="G152" s="36"/>
      <c r="H152" s="36"/>
      <c r="I152" s="36"/>
      <c r="J152" s="36"/>
      <c r="K152" s="36"/>
      <c r="L152" s="36"/>
      <c r="M152" s="36"/>
      <c r="N152" s="36"/>
      <c r="O152" s="36"/>
      <c r="P152" s="36"/>
      <c r="Q152" s="38"/>
    </row>
    <row r="153" spans="1:17" ht="16.5" thickBot="1">
      <c r="A153" s="167">
        <f>+'ATT H-9A'!A287</f>
        <v>171</v>
      </c>
      <c r="B153" s="192"/>
      <c r="C153" s="169" t="str">
        <f>+'ATT H-9A'!C287</f>
        <v>Facility Credits under Section 30.9 of the PJM OATT and Facility Credits to Vineland per settlement in ER05-515</v>
      </c>
      <c r="D153" s="170"/>
      <c r="E153" s="198"/>
      <c r="F153" s="198"/>
      <c r="G153" s="284">
        <v>0</v>
      </c>
      <c r="H153" s="1189"/>
      <c r="I153" s="1178"/>
      <c r="J153" s="1178"/>
      <c r="K153" s="1178"/>
      <c r="L153" s="1178"/>
      <c r="M153" s="1178"/>
      <c r="N153" s="1178"/>
      <c r="O153" s="1178"/>
      <c r="P153" s="1178"/>
      <c r="Q153" s="1179"/>
    </row>
    <row r="154" spans="1:17" ht="15.75">
      <c r="A154" s="156"/>
      <c r="B154" s="156"/>
      <c r="C154" s="156"/>
      <c r="D154" s="156"/>
      <c r="E154" s="133"/>
      <c r="F154" s="156"/>
      <c r="G154" s="36"/>
      <c r="H154" s="36"/>
      <c r="I154" s="36"/>
      <c r="J154" s="36"/>
      <c r="K154" s="241"/>
      <c r="L154" s="36"/>
      <c r="M154" s="36"/>
      <c r="N154" s="36"/>
      <c r="O154" s="36"/>
      <c r="P154" s="36"/>
      <c r="Q154" s="36"/>
    </row>
    <row r="155" spans="1:17" ht="15.75">
      <c r="A155" s="156"/>
      <c r="B155" s="156"/>
      <c r="C155" s="156"/>
      <c r="D155" s="156"/>
      <c r="E155" s="133"/>
      <c r="F155" s="156"/>
      <c r="G155" s="36"/>
      <c r="H155" s="36"/>
      <c r="I155" s="36"/>
      <c r="J155" s="36"/>
      <c r="K155" s="241"/>
      <c r="L155" s="36"/>
      <c r="M155" s="36"/>
      <c r="N155" s="36"/>
      <c r="O155" s="36"/>
      <c r="P155" s="36"/>
      <c r="Q155" s="36"/>
    </row>
    <row r="156" spans="1:17" ht="15.75">
      <c r="A156" s="156"/>
      <c r="B156" s="156"/>
      <c r="C156" s="156"/>
      <c r="D156" s="156"/>
      <c r="E156" s="133"/>
      <c r="F156" s="156"/>
      <c r="G156" s="36"/>
      <c r="H156" s="36"/>
      <c r="I156" s="36"/>
      <c r="J156" s="36"/>
      <c r="K156" s="241"/>
      <c r="L156" s="36"/>
      <c r="M156" s="36"/>
      <c r="N156" s="36"/>
      <c r="O156" s="36"/>
      <c r="P156" s="36"/>
      <c r="Q156" s="36"/>
    </row>
    <row r="157" spans="1:17">
      <c r="G157" s="105"/>
      <c r="H157" s="105"/>
      <c r="I157" s="105"/>
      <c r="J157" s="105"/>
      <c r="K157" s="105"/>
      <c r="L157" s="105"/>
      <c r="M157" s="105"/>
      <c r="N157" s="105"/>
      <c r="O157" s="105"/>
      <c r="P157" s="105"/>
      <c r="Q157" s="105"/>
    </row>
    <row r="158" spans="1:17" ht="21" thickBot="1">
      <c r="A158" s="123" t="s">
        <v>168</v>
      </c>
      <c r="G158" s="105"/>
      <c r="H158" s="105"/>
      <c r="I158" s="105"/>
      <c r="J158" s="105"/>
      <c r="K158" s="105"/>
      <c r="L158" s="105"/>
      <c r="M158" s="105"/>
      <c r="N158" s="105"/>
      <c r="O158" s="105"/>
      <c r="P158" s="105"/>
      <c r="Q158" s="105"/>
    </row>
    <row r="159" spans="1:17" ht="18">
      <c r="A159" s="1160" t="s">
        <v>67</v>
      </c>
      <c r="B159" s="1161"/>
      <c r="C159" s="1161"/>
      <c r="D159" s="1161"/>
      <c r="E159" s="1161"/>
      <c r="F159" s="1162"/>
      <c r="G159" s="125" t="str">
        <f>+C161</f>
        <v>1 CP Peak</v>
      </c>
      <c r="H159" s="1163" t="s">
        <v>167</v>
      </c>
      <c r="I159" s="1187"/>
      <c r="J159" s="1187"/>
      <c r="K159" s="1187"/>
      <c r="L159" s="1187"/>
      <c r="M159" s="1187"/>
      <c r="N159" s="1187"/>
      <c r="O159" s="1187"/>
      <c r="P159" s="1187"/>
      <c r="Q159" s="1188"/>
    </row>
    <row r="160" spans="1:17" ht="15.75">
      <c r="A160" s="131"/>
      <c r="B160" s="157" t="s">
        <v>169</v>
      </c>
      <c r="C160" s="146"/>
      <c r="D160" s="146"/>
      <c r="E160" s="129"/>
      <c r="F160" s="148"/>
      <c r="G160" s="36"/>
      <c r="H160" s="36"/>
      <c r="I160" s="36"/>
      <c r="J160" s="36"/>
      <c r="K160" s="36"/>
      <c r="L160" s="36"/>
      <c r="M160" s="36"/>
      <c r="N160" s="36"/>
      <c r="O160" s="36"/>
      <c r="P160" s="36"/>
      <c r="Q160" s="38"/>
    </row>
    <row r="161" spans="1:17" ht="16.5" thickBot="1">
      <c r="A161" s="167">
        <f>+'ATT H-9A'!A292</f>
        <v>173</v>
      </c>
      <c r="B161" s="192"/>
      <c r="C161" s="169" t="str">
        <f>+'ATT H-9A'!C292</f>
        <v>1 CP Peak</v>
      </c>
      <c r="D161" s="170"/>
      <c r="E161" s="171" t="str">
        <f>+'ATT H-9A'!E292</f>
        <v>(Note L)</v>
      </c>
      <c r="F161" s="194" t="str">
        <f>+'ATT H-9A'!F292</f>
        <v>PJM Data</v>
      </c>
      <c r="G161" s="285">
        <v>6097.4</v>
      </c>
      <c r="H161" s="1189" t="s">
        <v>93</v>
      </c>
      <c r="I161" s="1178"/>
      <c r="J161" s="1178"/>
      <c r="K161" s="1178"/>
      <c r="L161" s="1178"/>
      <c r="M161" s="1178"/>
      <c r="N161" s="1178"/>
      <c r="O161" s="1178"/>
      <c r="P161" s="1178"/>
      <c r="Q161" s="1179"/>
    </row>
    <row r="162" spans="1:17">
      <c r="G162" s="105"/>
      <c r="H162" s="105"/>
      <c r="I162" s="105"/>
      <c r="J162" s="105"/>
      <c r="K162" s="105"/>
      <c r="L162" s="105"/>
      <c r="M162" s="105"/>
      <c r="N162" s="105"/>
      <c r="O162" s="105"/>
      <c r="P162" s="105"/>
      <c r="Q162" s="105"/>
    </row>
    <row r="163" spans="1:17">
      <c r="G163" s="105"/>
      <c r="H163" s="105"/>
      <c r="I163" s="105"/>
      <c r="J163" s="105"/>
      <c r="K163" s="105"/>
      <c r="L163" s="105"/>
      <c r="M163" s="105"/>
      <c r="N163" s="105"/>
      <c r="O163" s="105"/>
      <c r="P163" s="105"/>
      <c r="Q163" s="105"/>
    </row>
    <row r="164" spans="1:17" ht="21" thickBot="1">
      <c r="A164" s="123" t="s">
        <v>170</v>
      </c>
      <c r="G164" s="105"/>
      <c r="H164" s="105"/>
      <c r="I164" s="105"/>
      <c r="J164" s="105"/>
      <c r="K164" s="105"/>
      <c r="L164" s="105"/>
      <c r="M164" s="105"/>
      <c r="N164" s="105"/>
      <c r="O164" s="105"/>
      <c r="P164" s="105"/>
      <c r="Q164" s="105"/>
    </row>
    <row r="165" spans="1:17" ht="18">
      <c r="A165" s="286"/>
      <c r="B165" s="287"/>
      <c r="C165" s="288" t="s">
        <v>171</v>
      </c>
      <c r="D165" s="288" t="s">
        <v>172</v>
      </c>
      <c r="E165" s="288" t="s">
        <v>173</v>
      </c>
      <c r="F165" s="288" t="s">
        <v>174</v>
      </c>
      <c r="G165" s="1197" t="s">
        <v>175</v>
      </c>
      <c r="H165" s="1198"/>
      <c r="I165" s="1199" t="s">
        <v>176</v>
      </c>
      <c r="J165" s="1198"/>
      <c r="K165" s="1199" t="s">
        <v>177</v>
      </c>
      <c r="L165" s="1198"/>
      <c r="M165" s="289"/>
      <c r="N165" s="289"/>
      <c r="O165" s="289"/>
      <c r="P165" s="289"/>
      <c r="Q165" s="290"/>
    </row>
    <row r="166" spans="1:17" ht="15.75">
      <c r="A166" s="131"/>
      <c r="B166" s="144"/>
      <c r="C166" s="156" t="s">
        <v>178</v>
      </c>
      <c r="D166" s="156"/>
      <c r="E166" s="291"/>
      <c r="F166" s="291"/>
      <c r="G166" s="1190">
        <f>+E166*D166</f>
        <v>0</v>
      </c>
      <c r="H166" s="1191"/>
      <c r="I166" s="1192">
        <f>+F166*D166</f>
        <v>0</v>
      </c>
      <c r="J166" s="1191"/>
      <c r="K166" s="1192">
        <f>+I166-G166</f>
        <v>0</v>
      </c>
      <c r="L166" s="1191"/>
      <c r="M166" s="292"/>
      <c r="N166" s="292"/>
      <c r="O166" s="292"/>
      <c r="P166" s="292"/>
      <c r="Q166" s="293"/>
    </row>
    <row r="167" spans="1:17" ht="15.75">
      <c r="A167" s="131"/>
      <c r="B167" s="156"/>
      <c r="C167" s="156"/>
      <c r="D167" s="156"/>
      <c r="E167" s="291"/>
      <c r="F167" s="291"/>
      <c r="G167" s="1193"/>
      <c r="H167" s="1194"/>
      <c r="I167" s="1195"/>
      <c r="J167" s="1194"/>
      <c r="K167" s="1195"/>
      <c r="L167" s="1196"/>
      <c r="M167" s="294"/>
      <c r="N167" s="294"/>
      <c r="O167" s="294"/>
      <c r="P167" s="294"/>
      <c r="Q167" s="295"/>
    </row>
    <row r="168" spans="1:17" ht="15.75">
      <c r="A168" s="131"/>
      <c r="B168" s="156"/>
      <c r="C168" s="156"/>
      <c r="D168" s="156"/>
      <c r="E168" s="291"/>
      <c r="F168" s="291"/>
      <c r="G168" s="296"/>
      <c r="H168" s="297"/>
      <c r="I168" s="298"/>
      <c r="J168" s="299"/>
      <c r="K168" s="298"/>
      <c r="L168" s="299"/>
      <c r="M168" s="294"/>
      <c r="N168" s="294"/>
      <c r="O168" s="294"/>
      <c r="P168" s="294"/>
      <c r="Q168" s="295"/>
    </row>
    <row r="169" spans="1:17" ht="16.5" thickBot="1">
      <c r="A169" s="167"/>
      <c r="B169" s="198"/>
      <c r="C169" s="198" t="s">
        <v>61</v>
      </c>
      <c r="D169" s="198"/>
      <c r="E169" s="171"/>
      <c r="F169" s="198"/>
      <c r="G169" s="1208">
        <f>SUM(G166:H168)</f>
        <v>0</v>
      </c>
      <c r="H169" s="1209"/>
      <c r="I169" s="1210">
        <f>SUM(I166:J168)</f>
        <v>0</v>
      </c>
      <c r="J169" s="1209"/>
      <c r="K169" s="1210">
        <f>SUM(K166:L168)</f>
        <v>0</v>
      </c>
      <c r="L169" s="1209"/>
      <c r="M169" s="300"/>
      <c r="N169" s="300"/>
      <c r="O169" s="300"/>
      <c r="P169" s="300"/>
      <c r="Q169" s="301"/>
    </row>
    <row r="170" spans="1:17">
      <c r="G170" s="105"/>
      <c r="H170" s="105"/>
      <c r="I170" s="105"/>
      <c r="J170" s="105"/>
      <c r="K170" s="105"/>
      <c r="L170" s="105"/>
      <c r="M170" s="105"/>
      <c r="N170" s="105"/>
      <c r="O170" s="105"/>
      <c r="P170" s="105"/>
      <c r="Q170" s="105"/>
    </row>
    <row r="171" spans="1:17">
      <c r="G171" s="105"/>
      <c r="H171" s="105"/>
      <c r="I171" s="105"/>
      <c r="J171" s="105"/>
      <c r="K171" s="105"/>
      <c r="L171" s="105"/>
      <c r="M171" s="105"/>
      <c r="N171" s="105"/>
      <c r="O171" s="105"/>
      <c r="P171" s="105"/>
      <c r="Q171" s="105"/>
    </row>
    <row r="172" spans="1:17" ht="21" thickBot="1">
      <c r="A172" s="302" t="s">
        <v>179</v>
      </c>
      <c r="B172" s="303"/>
      <c r="C172" s="303"/>
      <c r="G172" s="105"/>
      <c r="H172" s="105"/>
      <c r="I172" s="105"/>
      <c r="J172" s="105"/>
      <c r="K172" s="105"/>
      <c r="L172" s="105"/>
      <c r="M172" s="105"/>
      <c r="N172" s="105"/>
      <c r="O172" s="105"/>
      <c r="P172" s="105"/>
      <c r="Q172" s="105"/>
    </row>
    <row r="173" spans="1:17" ht="18.75">
      <c r="A173" s="1160" t="s">
        <v>67</v>
      </c>
      <c r="B173" s="1161"/>
      <c r="C173" s="1161"/>
      <c r="D173" s="1161"/>
      <c r="E173" s="1161"/>
      <c r="F173" s="1162"/>
      <c r="G173" s="304"/>
      <c r="H173" s="304"/>
      <c r="I173" s="304"/>
      <c r="J173" s="304"/>
      <c r="K173" s="304"/>
      <c r="L173" s="304"/>
      <c r="M173" s="304"/>
      <c r="N173" s="304"/>
      <c r="O173" s="304"/>
      <c r="P173" s="304"/>
      <c r="Q173" s="304"/>
    </row>
    <row r="174" spans="1:17" ht="16.5">
      <c r="A174" s="305" t="s">
        <v>9</v>
      </c>
      <c r="B174" s="263" t="s">
        <v>180</v>
      </c>
      <c r="C174" s="263"/>
      <c r="D174" s="263" t="s">
        <v>181</v>
      </c>
      <c r="E174" s="306"/>
      <c r="F174" s="307"/>
      <c r="G174" s="304"/>
      <c r="H174" s="304"/>
      <c r="I174" s="304"/>
      <c r="J174" s="304"/>
      <c r="K174" s="304"/>
      <c r="L174" s="304"/>
      <c r="M174" s="304"/>
      <c r="N174" s="304"/>
      <c r="O174" s="304"/>
      <c r="P174" s="304"/>
      <c r="Q174" s="304"/>
    </row>
    <row r="175" spans="1:17" ht="16.5">
      <c r="A175" s="305" t="s">
        <v>10</v>
      </c>
      <c r="B175" s="263" t="s">
        <v>182</v>
      </c>
      <c r="C175" s="263"/>
      <c r="D175" s="263" t="s">
        <v>181</v>
      </c>
      <c r="E175" s="263"/>
      <c r="F175" s="307"/>
      <c r="G175" s="304"/>
      <c r="H175" s="304"/>
      <c r="I175" s="304"/>
      <c r="J175" s="304"/>
      <c r="K175" s="304"/>
      <c r="L175" s="304"/>
      <c r="M175" s="304"/>
      <c r="N175" s="304"/>
      <c r="O175" s="304"/>
      <c r="P175" s="304"/>
      <c r="Q175" s="304"/>
    </row>
    <row r="176" spans="1:17" ht="16.5">
      <c r="A176" s="305" t="s">
        <v>11</v>
      </c>
      <c r="B176" s="263" t="s">
        <v>183</v>
      </c>
      <c r="C176" s="263"/>
      <c r="D176" s="263" t="s">
        <v>184</v>
      </c>
      <c r="E176" s="306"/>
      <c r="F176" s="307"/>
      <c r="G176" s="304"/>
      <c r="H176" s="304"/>
      <c r="I176" s="304"/>
      <c r="J176" s="304"/>
      <c r="K176" s="304"/>
      <c r="L176" s="304"/>
      <c r="M176" s="304"/>
      <c r="N176" s="304"/>
      <c r="O176" s="304"/>
      <c r="P176" s="304"/>
      <c r="Q176" s="304"/>
    </row>
    <row r="177" spans="1:17" ht="16.5">
      <c r="A177" s="305" t="s">
        <v>14</v>
      </c>
      <c r="B177" s="263" t="s">
        <v>185</v>
      </c>
      <c r="C177" s="263"/>
      <c r="D177" s="263"/>
      <c r="E177" s="263"/>
      <c r="F177" s="307"/>
      <c r="G177" s="304"/>
      <c r="H177" s="304"/>
      <c r="I177" s="304"/>
      <c r="J177" s="304"/>
      <c r="K177" s="304"/>
      <c r="L177" s="304"/>
      <c r="M177" s="304"/>
      <c r="N177" s="304"/>
      <c r="O177" s="304"/>
      <c r="P177" s="304"/>
      <c r="Q177" s="304"/>
    </row>
    <row r="178" spans="1:17" ht="16.5">
      <c r="A178" s="305" t="s">
        <v>186</v>
      </c>
      <c r="B178" s="263" t="s">
        <v>187</v>
      </c>
      <c r="C178" s="263"/>
      <c r="D178" s="263" t="s">
        <v>188</v>
      </c>
      <c r="E178" s="306"/>
      <c r="F178" s="308" t="s">
        <v>189</v>
      </c>
      <c r="G178" s="304"/>
      <c r="H178" s="304"/>
      <c r="I178" s="304"/>
      <c r="J178" s="304"/>
      <c r="K178" s="304"/>
      <c r="L178" s="304"/>
      <c r="M178" s="304"/>
      <c r="N178" s="304"/>
      <c r="O178" s="304"/>
      <c r="P178" s="304"/>
      <c r="Q178" s="304"/>
    </row>
    <row r="179" spans="1:17" ht="16.5">
      <c r="A179" s="305" t="s">
        <v>190</v>
      </c>
      <c r="B179" s="263" t="s">
        <v>191</v>
      </c>
      <c r="C179" s="263"/>
      <c r="D179" s="263"/>
      <c r="E179" s="306"/>
      <c r="F179" s="308"/>
      <c r="G179" s="304"/>
      <c r="H179" s="304"/>
      <c r="I179" s="304"/>
      <c r="J179" s="304"/>
      <c r="K179" s="304"/>
      <c r="L179" s="304"/>
      <c r="M179" s="304"/>
      <c r="N179" s="304"/>
      <c r="O179" s="304"/>
      <c r="P179" s="304"/>
      <c r="Q179" s="304"/>
    </row>
    <row r="180" spans="1:17" ht="17.25" thickBot="1">
      <c r="A180" s="309" t="s">
        <v>192</v>
      </c>
      <c r="B180" s="310" t="s">
        <v>193</v>
      </c>
      <c r="C180" s="311"/>
      <c r="D180" s="310" t="s">
        <v>194</v>
      </c>
      <c r="E180" s="312"/>
      <c r="F180" s="313" t="s">
        <v>195</v>
      </c>
      <c r="G180" s="304"/>
      <c r="H180" s="304"/>
      <c r="I180" s="304"/>
      <c r="J180" s="304"/>
      <c r="K180" s="304"/>
      <c r="L180" s="304"/>
      <c r="M180" s="304"/>
      <c r="N180" s="304"/>
      <c r="O180" s="304"/>
      <c r="P180" s="304"/>
      <c r="Q180" s="304"/>
    </row>
    <row r="181" spans="1:17" ht="16.5">
      <c r="G181" s="304"/>
      <c r="H181" s="304"/>
      <c r="I181" s="304"/>
      <c r="J181" s="304"/>
      <c r="K181" s="304"/>
      <c r="L181" s="304"/>
      <c r="M181" s="304"/>
      <c r="N181" s="304"/>
      <c r="O181" s="304"/>
      <c r="P181" s="304"/>
      <c r="Q181" s="304"/>
    </row>
    <row r="182" spans="1:17" ht="21" thickBot="1">
      <c r="A182" s="302" t="s">
        <v>196</v>
      </c>
      <c r="B182" s="303"/>
      <c r="C182" s="303"/>
      <c r="G182" s="304"/>
      <c r="H182" s="304"/>
      <c r="I182" s="304"/>
      <c r="J182" s="304"/>
      <c r="K182" s="304"/>
      <c r="L182" s="304"/>
      <c r="M182" s="304"/>
      <c r="N182" s="304"/>
      <c r="O182" s="304"/>
      <c r="P182" s="304"/>
      <c r="Q182" s="304"/>
    </row>
    <row r="183" spans="1:17" ht="18.75">
      <c r="A183" s="1160" t="s">
        <v>67</v>
      </c>
      <c r="B183" s="1161"/>
      <c r="C183" s="1161"/>
      <c r="D183" s="1161"/>
      <c r="E183" s="1161"/>
      <c r="F183" s="1162"/>
      <c r="G183" s="304"/>
      <c r="H183" s="304"/>
      <c r="I183" s="304"/>
      <c r="J183" s="304"/>
      <c r="K183" s="304"/>
      <c r="L183" s="304"/>
      <c r="M183" s="304"/>
      <c r="N183" s="304"/>
      <c r="O183" s="304"/>
      <c r="P183" s="304"/>
      <c r="Q183" s="304"/>
    </row>
    <row r="184" spans="1:17" ht="16.5">
      <c r="A184" s="314"/>
      <c r="B184" s="315"/>
      <c r="C184" s="315"/>
      <c r="D184" s="316" t="s">
        <v>197</v>
      </c>
      <c r="E184" s="317" t="s">
        <v>198</v>
      </c>
      <c r="F184" s="318" t="s">
        <v>61</v>
      </c>
      <c r="G184" s="304"/>
      <c r="H184" s="304"/>
      <c r="I184" s="304"/>
      <c r="J184" s="304"/>
      <c r="K184" s="304"/>
      <c r="L184" s="304"/>
      <c r="M184" s="304"/>
      <c r="N184" s="304"/>
      <c r="O184" s="304"/>
      <c r="P184" s="304"/>
      <c r="Q184" s="304"/>
    </row>
    <row r="185" spans="1:17" ht="16.5">
      <c r="A185" s="314" t="s">
        <v>199</v>
      </c>
      <c r="B185" s="315"/>
      <c r="C185" s="315" t="s">
        <v>200</v>
      </c>
      <c r="D185" s="319">
        <v>9750649</v>
      </c>
      <c r="E185" s="319">
        <v>12725412</v>
      </c>
      <c r="F185" s="320">
        <v>22476061</v>
      </c>
      <c r="G185" s="304"/>
      <c r="H185" s="304"/>
      <c r="I185" s="304"/>
      <c r="J185" s="304"/>
      <c r="K185" s="304"/>
      <c r="L185" s="304"/>
      <c r="M185" s="304"/>
      <c r="N185" s="304"/>
      <c r="O185" s="304"/>
      <c r="P185" s="304"/>
      <c r="Q185" s="304"/>
    </row>
    <row r="186" spans="1:17" ht="16.5">
      <c r="A186" s="314" t="s">
        <v>199</v>
      </c>
      <c r="B186" s="315"/>
      <c r="C186" s="315" t="s">
        <v>201</v>
      </c>
      <c r="D186" s="321">
        <v>14666395</v>
      </c>
      <c r="E186" s="322">
        <v>16524210</v>
      </c>
      <c r="F186" s="320">
        <v>31190605</v>
      </c>
      <c r="G186" s="304"/>
      <c r="H186" s="304"/>
      <c r="I186" s="304"/>
      <c r="J186" s="304"/>
      <c r="K186" s="304"/>
      <c r="L186" s="304"/>
      <c r="M186" s="304"/>
      <c r="N186" s="304"/>
      <c r="O186" s="304"/>
      <c r="P186" s="304"/>
      <c r="Q186" s="304"/>
    </row>
    <row r="187" spans="1:17" ht="16.5">
      <c r="A187" s="314" t="s">
        <v>199</v>
      </c>
      <c r="B187" s="315"/>
      <c r="C187" s="323" t="s">
        <v>202</v>
      </c>
      <c r="D187" s="324">
        <v>12208522</v>
      </c>
      <c r="E187" s="325">
        <v>14624812</v>
      </c>
      <c r="F187" s="326">
        <v>26833334</v>
      </c>
      <c r="G187" s="304"/>
      <c r="H187" s="304"/>
      <c r="I187" s="304"/>
      <c r="J187" s="304"/>
      <c r="K187" s="304"/>
      <c r="L187" s="304"/>
      <c r="M187" s="304"/>
      <c r="N187" s="304"/>
      <c r="O187" s="304"/>
      <c r="P187" s="304"/>
      <c r="Q187" s="304"/>
    </row>
    <row r="188" spans="1:17" ht="17.25" thickBot="1">
      <c r="A188" s="327"/>
      <c r="B188" s="328"/>
      <c r="C188" s="329" t="s">
        <v>61</v>
      </c>
      <c r="D188" s="330">
        <v>36625566</v>
      </c>
      <c r="E188" s="331">
        <v>43874434</v>
      </c>
      <c r="F188" s="332">
        <v>80500000</v>
      </c>
      <c r="G188" s="304"/>
      <c r="H188" s="304"/>
      <c r="I188" s="304"/>
      <c r="J188" s="304"/>
      <c r="K188" s="304"/>
      <c r="L188" s="304"/>
      <c r="M188" s="304"/>
      <c r="N188" s="304"/>
      <c r="O188" s="304"/>
      <c r="P188" s="304"/>
      <c r="Q188" s="304"/>
    </row>
    <row r="189" spans="1:17" ht="16.5">
      <c r="G189" s="304"/>
      <c r="H189" s="304"/>
      <c r="I189" s="304"/>
      <c r="J189" s="304"/>
      <c r="K189" s="304"/>
      <c r="L189" s="304"/>
      <c r="M189" s="304"/>
      <c r="N189" s="304"/>
      <c r="O189" s="304"/>
      <c r="P189" s="304"/>
      <c r="Q189" s="304"/>
    </row>
    <row r="190" spans="1:17" ht="16.5">
      <c r="G190" s="304"/>
      <c r="H190" s="304"/>
      <c r="I190" s="304"/>
      <c r="J190" s="304"/>
      <c r="K190" s="304"/>
      <c r="L190" s="304"/>
      <c r="M190" s="304"/>
      <c r="N190" s="304"/>
      <c r="O190" s="304"/>
      <c r="P190" s="304"/>
      <c r="Q190" s="304"/>
    </row>
    <row r="191" spans="1:17" ht="21" thickBot="1">
      <c r="A191" s="333" t="s">
        <v>203</v>
      </c>
      <c r="B191" s="334"/>
      <c r="C191" s="334"/>
      <c r="D191" s="111"/>
      <c r="E191" s="111"/>
      <c r="F191" s="111"/>
      <c r="G191" s="335"/>
      <c r="H191" s="335"/>
      <c r="I191" s="335"/>
      <c r="J191" s="335"/>
      <c r="K191" s="335"/>
      <c r="L191" s="335"/>
      <c r="M191" s="335"/>
      <c r="N191" s="335"/>
      <c r="O191" s="335"/>
      <c r="P191" s="335"/>
      <c r="Q191" s="335"/>
    </row>
    <row r="192" spans="1:17" ht="18.75">
      <c r="A192" s="1211" t="s">
        <v>67</v>
      </c>
      <c r="B192" s="1212"/>
      <c r="C192" s="1212"/>
      <c r="D192" s="1212"/>
      <c r="E192" s="1212"/>
      <c r="F192" s="1212"/>
      <c r="G192" s="336"/>
      <c r="H192" s="336"/>
      <c r="I192" s="336"/>
      <c r="J192" s="336"/>
      <c r="K192" s="336"/>
      <c r="L192" s="336"/>
      <c r="M192" s="336"/>
      <c r="N192" s="336"/>
      <c r="O192" s="336"/>
      <c r="P192" s="336"/>
      <c r="Q192" s="337"/>
    </row>
    <row r="193" spans="1:17">
      <c r="A193" s="338" t="s">
        <v>204</v>
      </c>
      <c r="B193" s="339"/>
      <c r="C193" s="339"/>
      <c r="D193" s="340">
        <v>-2617572</v>
      </c>
      <c r="E193" s="1200" t="s">
        <v>205</v>
      </c>
      <c r="F193" s="1201"/>
      <c r="G193" s="1201"/>
      <c r="H193" s="1201"/>
      <c r="I193" s="1201"/>
      <c r="J193" s="1201"/>
      <c r="K193" s="1201"/>
      <c r="L193" s="1201"/>
      <c r="M193" s="1201"/>
      <c r="N193" s="1201"/>
      <c r="O193" s="1201"/>
      <c r="P193" s="1201"/>
      <c r="Q193" s="1202"/>
    </row>
    <row r="194" spans="1:17">
      <c r="A194" s="338"/>
      <c r="B194" s="339"/>
      <c r="C194" s="339"/>
      <c r="D194" s="341"/>
      <c r="E194" s="1201"/>
      <c r="F194" s="1201"/>
      <c r="G194" s="1201"/>
      <c r="H194" s="1201"/>
      <c r="I194" s="1201"/>
      <c r="J194" s="1201"/>
      <c r="K194" s="1201"/>
      <c r="L194" s="1201"/>
      <c r="M194" s="1201"/>
      <c r="N194" s="1201"/>
      <c r="O194" s="1201"/>
      <c r="P194" s="1201"/>
      <c r="Q194" s="1202"/>
    </row>
    <row r="195" spans="1:17">
      <c r="A195" s="236"/>
      <c r="B195" s="339"/>
      <c r="C195" s="339"/>
      <c r="D195" s="341"/>
      <c r="E195" s="1201"/>
      <c r="F195" s="1201"/>
      <c r="G195" s="1201"/>
      <c r="H195" s="1201"/>
      <c r="I195" s="1201"/>
      <c r="J195" s="1201"/>
      <c r="K195" s="1201"/>
      <c r="L195" s="1201"/>
      <c r="M195" s="1201"/>
      <c r="N195" s="1201"/>
      <c r="O195" s="1201"/>
      <c r="P195" s="1201"/>
      <c r="Q195" s="1202"/>
    </row>
    <row r="196" spans="1:17">
      <c r="A196" s="338"/>
      <c r="B196" s="339"/>
      <c r="C196" s="339"/>
      <c r="D196" s="341"/>
      <c r="E196" s="1201"/>
      <c r="F196" s="1201"/>
      <c r="G196" s="1201"/>
      <c r="H196" s="1201"/>
      <c r="I196" s="1201"/>
      <c r="J196" s="1201"/>
      <c r="K196" s="1201"/>
      <c r="L196" s="1201"/>
      <c r="M196" s="1201"/>
      <c r="N196" s="1201"/>
      <c r="O196" s="1201"/>
      <c r="P196" s="1201"/>
      <c r="Q196" s="1202"/>
    </row>
    <row r="197" spans="1:17">
      <c r="A197" s="338"/>
      <c r="B197" s="339"/>
      <c r="C197" s="339"/>
      <c r="D197" s="341"/>
      <c r="E197" s="1201"/>
      <c r="F197" s="1201"/>
      <c r="G197" s="1201"/>
      <c r="H197" s="1201"/>
      <c r="I197" s="1201"/>
      <c r="J197" s="1201"/>
      <c r="K197" s="1201"/>
      <c r="L197" s="1201"/>
      <c r="M197" s="1201"/>
      <c r="N197" s="1201"/>
      <c r="O197" s="1201"/>
      <c r="P197" s="1201"/>
      <c r="Q197" s="1202"/>
    </row>
    <row r="198" spans="1:17" ht="15.75" thickBot="1">
      <c r="A198" s="248"/>
      <c r="B198" s="183"/>
      <c r="C198" s="183"/>
      <c r="D198" s="183"/>
      <c r="E198" s="1203"/>
      <c r="F198" s="1203"/>
      <c r="G198" s="1203"/>
      <c r="H198" s="1203"/>
      <c r="I198" s="1203"/>
      <c r="J198" s="1203"/>
      <c r="K198" s="1203"/>
      <c r="L198" s="1203"/>
      <c r="M198" s="1203"/>
      <c r="N198" s="1203"/>
      <c r="O198" s="1203"/>
      <c r="P198" s="1203"/>
      <c r="Q198" s="1204"/>
    </row>
    <row r="199" spans="1:17" ht="16.5">
      <c r="G199" s="304"/>
      <c r="H199" s="304"/>
      <c r="I199" s="304"/>
      <c r="J199" s="304"/>
      <c r="K199" s="304"/>
      <c r="L199" s="304"/>
      <c r="M199" s="304"/>
      <c r="N199" s="304"/>
      <c r="O199" s="304"/>
      <c r="P199" s="304"/>
      <c r="Q199" s="304"/>
    </row>
    <row r="200" spans="1:17" ht="16.5">
      <c r="G200" s="304"/>
      <c r="H200" s="304"/>
      <c r="I200" s="304"/>
      <c r="J200" s="304"/>
      <c r="K200" s="304"/>
      <c r="L200" s="304"/>
      <c r="M200" s="304"/>
      <c r="N200" s="304"/>
      <c r="O200" s="304"/>
      <c r="P200" s="304"/>
      <c r="Q200" s="304"/>
    </row>
    <row r="201" spans="1:17" ht="20.25">
      <c r="A201" s="342" t="s">
        <v>206</v>
      </c>
      <c r="G201" s="304"/>
      <c r="H201" s="304"/>
      <c r="I201" s="304"/>
      <c r="J201" s="304"/>
      <c r="K201" s="304"/>
      <c r="L201" s="304"/>
      <c r="M201" s="304"/>
      <c r="N201" s="304"/>
      <c r="O201" s="304"/>
      <c r="P201" s="304"/>
      <c r="Q201" s="304"/>
    </row>
    <row r="202" spans="1:17" ht="6.75" customHeight="1" thickBot="1">
      <c r="A202" s="123"/>
      <c r="G202" s="304"/>
      <c r="H202" s="304"/>
      <c r="I202" s="304"/>
      <c r="J202" s="304"/>
      <c r="K202" s="304"/>
      <c r="L202" s="304"/>
      <c r="M202" s="304"/>
      <c r="N202" s="304"/>
      <c r="O202" s="304"/>
      <c r="P202" s="304"/>
      <c r="Q202" s="304"/>
    </row>
    <row r="203" spans="1:17" ht="18.75" thickBot="1">
      <c r="A203" s="1205" t="s">
        <v>207</v>
      </c>
      <c r="B203" s="1206"/>
      <c r="C203" s="1206"/>
      <c r="D203" s="1206"/>
      <c r="E203" s="1206"/>
      <c r="F203" s="1207"/>
      <c r="G203" s="1197"/>
      <c r="H203" s="1198"/>
      <c r="I203" s="1199"/>
      <c r="J203" s="1198"/>
      <c r="K203" s="1199"/>
      <c r="L203" s="1198"/>
      <c r="M203" s="289"/>
      <c r="N203" s="289"/>
      <c r="O203" s="289"/>
      <c r="P203" s="289"/>
      <c r="Q203" s="290"/>
    </row>
    <row r="204" spans="1:17" ht="26.25">
      <c r="A204" s="1160" t="s">
        <v>67</v>
      </c>
      <c r="B204" s="1161"/>
      <c r="C204" s="1161"/>
      <c r="D204" s="1161"/>
      <c r="E204" s="1161"/>
      <c r="F204" s="1162"/>
      <c r="G204" s="125" t="s">
        <v>68</v>
      </c>
      <c r="H204" s="125" t="s">
        <v>208</v>
      </c>
      <c r="I204" s="125" t="s">
        <v>209</v>
      </c>
      <c r="J204" s="343"/>
      <c r="K204" s="343"/>
      <c r="L204" s="343"/>
      <c r="M204" s="343"/>
      <c r="N204" s="343"/>
      <c r="O204" s="343"/>
      <c r="P204" s="343"/>
      <c r="Q204" s="344"/>
    </row>
    <row r="205" spans="1:17" s="5" customFormat="1" ht="18">
      <c r="A205" s="345"/>
      <c r="B205" s="346"/>
      <c r="C205" s="346"/>
      <c r="D205" s="346"/>
      <c r="E205" s="346"/>
      <c r="F205" s="347"/>
      <c r="G205" s="348"/>
      <c r="H205" s="348"/>
      <c r="I205" s="348"/>
      <c r="J205" s="349"/>
      <c r="K205" s="349"/>
      <c r="L205" s="349"/>
      <c r="M205" s="349"/>
      <c r="N205" s="349"/>
      <c r="O205" s="349"/>
      <c r="P205" s="349"/>
      <c r="Q205" s="350"/>
    </row>
    <row r="206" spans="1:17" s="5" customFormat="1" ht="18">
      <c r="A206" s="131">
        <v>6</v>
      </c>
      <c r="B206" s="346"/>
      <c r="C206" s="132" t="s">
        <v>210</v>
      </c>
      <c r="D206" s="346"/>
      <c r="E206" s="346"/>
      <c r="F206" s="177" t="s">
        <v>91</v>
      </c>
      <c r="G206" s="53">
        <v>8494209866</v>
      </c>
      <c r="H206" s="53">
        <v>301285.38</v>
      </c>
      <c r="I206" s="86">
        <f t="shared" ref="I206:I213" si="0">G206-H206</f>
        <v>8493908580.6199999</v>
      </c>
      <c r="J206" s="349"/>
      <c r="K206" s="349"/>
      <c r="L206" s="349"/>
      <c r="M206" s="349"/>
      <c r="N206" s="349"/>
      <c r="O206" s="349"/>
      <c r="P206" s="349"/>
      <c r="Q206" s="350"/>
    </row>
    <row r="207" spans="1:17" s="5" customFormat="1" ht="18">
      <c r="A207" s="131">
        <v>9</v>
      </c>
      <c r="B207" s="346"/>
      <c r="C207" s="132" t="s">
        <v>211</v>
      </c>
      <c r="D207" s="346"/>
      <c r="E207" s="346"/>
      <c r="F207" s="177" t="s">
        <v>212</v>
      </c>
      <c r="G207" s="53">
        <v>2895219919</v>
      </c>
      <c r="H207" s="53">
        <v>964.66</v>
      </c>
      <c r="I207" s="86">
        <f t="shared" si="0"/>
        <v>2895218954.3400002</v>
      </c>
      <c r="J207" s="349"/>
      <c r="K207" s="349"/>
      <c r="L207" s="349"/>
      <c r="M207" s="349"/>
      <c r="N207" s="349"/>
      <c r="O207" s="349"/>
      <c r="P207" s="349"/>
      <c r="Q207" s="350"/>
    </row>
    <row r="208" spans="1:17" s="5" customFormat="1" ht="18">
      <c r="A208" s="131">
        <v>10</v>
      </c>
      <c r="B208" s="346"/>
      <c r="C208" s="132" t="s">
        <v>213</v>
      </c>
      <c r="D208" s="346"/>
      <c r="E208" s="346"/>
      <c r="F208" s="177" t="s">
        <v>214</v>
      </c>
      <c r="G208" s="53">
        <v>24847329</v>
      </c>
      <c r="H208" s="53">
        <v>27512.76</v>
      </c>
      <c r="I208" s="86">
        <f t="shared" si="0"/>
        <v>24819816.239999998</v>
      </c>
      <c r="J208" s="349"/>
      <c r="K208" s="349"/>
      <c r="L208" s="349"/>
      <c r="M208" s="349"/>
      <c r="N208" s="349"/>
      <c r="O208" s="349"/>
      <c r="P208" s="349"/>
      <c r="Q208" s="350"/>
    </row>
    <row r="209" spans="1:17" s="5" customFormat="1" ht="18">
      <c r="A209" s="131">
        <v>23</v>
      </c>
      <c r="B209" s="346"/>
      <c r="C209" s="132" t="s">
        <v>215</v>
      </c>
      <c r="D209" s="346"/>
      <c r="E209" s="346"/>
      <c r="F209" s="177" t="s">
        <v>216</v>
      </c>
      <c r="G209" s="53">
        <f>308248689+18638863</f>
        <v>326887552</v>
      </c>
      <c r="H209" s="53">
        <v>301285</v>
      </c>
      <c r="I209" s="86">
        <f t="shared" si="0"/>
        <v>326586267</v>
      </c>
      <c r="J209" s="1147"/>
      <c r="K209" s="349"/>
      <c r="L209" s="349"/>
      <c r="M209" s="349"/>
      <c r="N209" s="349"/>
      <c r="O209" s="349"/>
      <c r="P209" s="349"/>
      <c r="Q209" s="350"/>
    </row>
    <row r="210" spans="1:17" ht="15.75">
      <c r="A210" s="131">
        <v>60</v>
      </c>
      <c r="B210" s="156"/>
      <c r="C210" s="132" t="s">
        <v>217</v>
      </c>
      <c r="D210" s="254"/>
      <c r="E210" s="190"/>
      <c r="F210" s="177" t="s">
        <v>218</v>
      </c>
      <c r="G210" s="53">
        <v>31874937</v>
      </c>
      <c r="H210" s="53">
        <v>155507.09</v>
      </c>
      <c r="I210" s="86">
        <f t="shared" si="0"/>
        <v>31719429.91</v>
      </c>
      <c r="J210" s="66"/>
      <c r="K210" s="66"/>
      <c r="L210" s="66"/>
      <c r="M210" s="66"/>
      <c r="N210" s="66"/>
      <c r="O210" s="66"/>
      <c r="P210" s="36"/>
      <c r="Q210" s="38"/>
    </row>
    <row r="211" spans="1:17" ht="15.75" customHeight="1">
      <c r="A211" s="156">
        <v>68</v>
      </c>
      <c r="B211" s="156"/>
      <c r="C211" s="132" t="s">
        <v>219</v>
      </c>
      <c r="D211" s="240"/>
      <c r="E211" s="240"/>
      <c r="F211" s="177" t="s">
        <v>220</v>
      </c>
      <c r="G211" s="53">
        <v>156729695</v>
      </c>
      <c r="H211" s="53">
        <v>-2649363.7000000011</v>
      </c>
      <c r="I211" s="86">
        <f t="shared" si="0"/>
        <v>159379058.69999999</v>
      </c>
      <c r="J211" s="66" t="s">
        <v>865</v>
      </c>
      <c r="K211" s="66"/>
      <c r="L211" s="66"/>
      <c r="M211" s="66"/>
      <c r="N211" s="66"/>
      <c r="O211" s="66"/>
      <c r="P211" s="66"/>
      <c r="Q211" s="67"/>
    </row>
    <row r="212" spans="1:17" ht="15.75" customHeight="1">
      <c r="A212" s="156">
        <v>87</v>
      </c>
      <c r="B212" s="156"/>
      <c r="C212" s="132" t="s">
        <v>221</v>
      </c>
      <c r="D212" s="240"/>
      <c r="E212" s="240"/>
      <c r="F212" s="177" t="s">
        <v>222</v>
      </c>
      <c r="G212" s="53">
        <v>9472095</v>
      </c>
      <c r="H212" s="53">
        <v>964.66</v>
      </c>
      <c r="I212" s="86">
        <f t="shared" si="0"/>
        <v>9471130.3399999999</v>
      </c>
      <c r="J212" s="36"/>
      <c r="K212" s="36"/>
      <c r="L212" s="36"/>
      <c r="M212" s="36"/>
      <c r="N212" s="36"/>
      <c r="O212" s="36"/>
      <c r="P212" s="36"/>
      <c r="Q212" s="38"/>
    </row>
    <row r="213" spans="1:17" ht="15.75" customHeight="1">
      <c r="A213" s="156">
        <f>A20</f>
        <v>88</v>
      </c>
      <c r="B213" s="156"/>
      <c r="C213" s="132" t="str">
        <f>C20</f>
        <v>Intangible Amortization</v>
      </c>
      <c r="D213" s="240"/>
      <c r="E213" s="162" t="str">
        <f>E20</f>
        <v>(Note A)</v>
      </c>
      <c r="F213" s="177" t="s">
        <v>223</v>
      </c>
      <c r="G213" s="53">
        <v>579347</v>
      </c>
      <c r="H213" s="53">
        <v>27512.76</v>
      </c>
      <c r="I213" s="86">
        <f t="shared" si="0"/>
        <v>551834.24</v>
      </c>
      <c r="J213" s="36"/>
      <c r="K213" s="36"/>
      <c r="L213" s="36"/>
      <c r="M213" s="36"/>
      <c r="N213" s="36"/>
      <c r="O213" s="36"/>
      <c r="P213" s="36"/>
      <c r="Q213" s="38"/>
    </row>
    <row r="214" spans="1:17" ht="16.5" thickBot="1">
      <c r="A214" s="167"/>
      <c r="B214" s="198"/>
      <c r="C214" s="169"/>
      <c r="D214" s="182"/>
      <c r="E214" s="182"/>
      <c r="F214" s="194"/>
      <c r="G214" s="74"/>
      <c r="H214" s="74"/>
      <c r="I214" s="351"/>
      <c r="J214" s="76"/>
      <c r="K214" s="76"/>
      <c r="L214" s="76"/>
      <c r="M214" s="76"/>
      <c r="N214" s="76"/>
      <c r="O214" s="76"/>
      <c r="P214" s="76"/>
      <c r="Q214" s="77"/>
    </row>
    <row r="215" spans="1:17" ht="16.5">
      <c r="G215" s="304"/>
      <c r="H215" s="304"/>
      <c r="I215" s="304"/>
      <c r="J215" s="304"/>
      <c r="K215" s="304"/>
      <c r="L215" s="304"/>
      <c r="M215" s="304"/>
      <c r="N215" s="304"/>
      <c r="O215" s="304"/>
      <c r="P215" s="304"/>
      <c r="Q215" s="304"/>
    </row>
    <row r="216" spans="1:17" ht="17.25" thickBot="1">
      <c r="G216" s="304"/>
      <c r="H216" s="304"/>
      <c r="I216" s="304"/>
      <c r="J216" s="304"/>
      <c r="K216" s="304"/>
      <c r="L216" s="304"/>
      <c r="M216" s="304"/>
      <c r="N216" s="304"/>
      <c r="O216" s="304"/>
      <c r="P216" s="304"/>
      <c r="Q216" s="304"/>
    </row>
    <row r="217" spans="1:17" ht="18.75" thickBot="1">
      <c r="A217" s="1216" t="s">
        <v>224</v>
      </c>
      <c r="B217" s="1217"/>
      <c r="C217" s="1217"/>
      <c r="D217" s="1217"/>
      <c r="E217" s="1217"/>
      <c r="F217" s="1218"/>
      <c r="G217" s="125"/>
      <c r="H217" s="125"/>
      <c r="I217" s="125"/>
      <c r="J217" s="343"/>
      <c r="K217" s="343"/>
      <c r="L217" s="343"/>
      <c r="M217" s="343"/>
      <c r="N217" s="343"/>
      <c r="O217" s="343"/>
      <c r="P217" s="343"/>
      <c r="Q217" s="344"/>
    </row>
    <row r="218" spans="1:17" ht="18">
      <c r="A218" s="1160" t="s">
        <v>67</v>
      </c>
      <c r="B218" s="1161"/>
      <c r="C218" s="1161"/>
      <c r="D218" s="1161"/>
      <c r="E218" s="1161"/>
      <c r="F218" s="1162"/>
      <c r="G218" s="125" t="s">
        <v>68</v>
      </c>
      <c r="H218" s="125" t="s">
        <v>225</v>
      </c>
      <c r="I218" s="125" t="s">
        <v>226</v>
      </c>
      <c r="J218" s="343"/>
      <c r="K218" s="343"/>
      <c r="L218" s="343"/>
      <c r="M218" s="343"/>
      <c r="N218" s="343"/>
      <c r="O218" s="343"/>
      <c r="P218" s="343"/>
      <c r="Q218" s="344"/>
    </row>
    <row r="219" spans="1:17" s="5" customFormat="1" ht="18">
      <c r="A219" s="345"/>
      <c r="B219" s="346"/>
      <c r="C219" s="346"/>
      <c r="D219" s="346"/>
      <c r="E219" s="346"/>
      <c r="F219" s="347"/>
      <c r="G219" s="348"/>
      <c r="H219" s="348"/>
      <c r="I219" s="348"/>
      <c r="J219" s="349"/>
      <c r="K219" s="349"/>
      <c r="L219" s="349"/>
      <c r="M219" s="349"/>
      <c r="N219" s="349"/>
      <c r="O219" s="349"/>
      <c r="P219" s="349"/>
      <c r="Q219" s="350"/>
    </row>
    <row r="220" spans="1:17" ht="15.75">
      <c r="A220" s="131">
        <v>6</v>
      </c>
      <c r="B220" s="156"/>
      <c r="C220" s="132" t="s">
        <v>210</v>
      </c>
      <c r="D220" s="254"/>
      <c r="E220" s="190"/>
      <c r="F220" s="177" t="s">
        <v>91</v>
      </c>
      <c r="G220" s="53">
        <v>8494209866</v>
      </c>
      <c r="H220" s="53">
        <f>3291402.77+258941.72+0.2</f>
        <v>3550344.6900000004</v>
      </c>
      <c r="I220" s="86">
        <f>G220-H220</f>
        <v>8490659521.3100004</v>
      </c>
      <c r="J220" s="36"/>
      <c r="K220" s="36" t="s">
        <v>227</v>
      </c>
      <c r="L220" s="36"/>
      <c r="M220" s="36"/>
      <c r="N220" s="36"/>
      <c r="O220" s="36"/>
      <c r="P220" s="36"/>
      <c r="Q220" s="38"/>
    </row>
    <row r="221" spans="1:17" ht="15.75">
      <c r="A221" s="131">
        <v>9</v>
      </c>
      <c r="B221" s="156"/>
      <c r="C221" s="132" t="s">
        <v>211</v>
      </c>
      <c r="D221" s="240"/>
      <c r="E221" s="240"/>
      <c r="F221" s="177" t="s">
        <v>212</v>
      </c>
      <c r="G221" s="53">
        <v>2895219919</v>
      </c>
      <c r="H221" s="53">
        <f>236867.08+171338.45</f>
        <v>408205.53</v>
      </c>
      <c r="I221" s="86">
        <f>G221-H221</f>
        <v>2894811713.4699998</v>
      </c>
      <c r="J221" s="36"/>
      <c r="K221" s="36" t="s">
        <v>228</v>
      </c>
      <c r="L221" s="36"/>
      <c r="M221" s="36"/>
      <c r="N221" s="36"/>
      <c r="O221" s="36"/>
      <c r="P221" s="36"/>
      <c r="Q221" s="38"/>
    </row>
    <row r="222" spans="1:17" ht="15.75">
      <c r="A222" s="131">
        <v>23</v>
      </c>
      <c r="B222" s="156"/>
      <c r="C222" s="132" t="s">
        <v>215</v>
      </c>
      <c r="D222" s="240"/>
      <c r="E222" s="240"/>
      <c r="F222" s="177" t="s">
        <v>216</v>
      </c>
      <c r="G222" s="53">
        <f>308248689+18638863</f>
        <v>326887552</v>
      </c>
      <c r="H222" s="53">
        <v>258941.72</v>
      </c>
      <c r="I222" s="86">
        <f t="shared" ref="I222:I223" si="1">G222-H222</f>
        <v>326628610.27999997</v>
      </c>
      <c r="J222" s="36"/>
      <c r="K222" s="36" t="s">
        <v>229</v>
      </c>
      <c r="L222" s="36"/>
      <c r="M222" s="36"/>
      <c r="N222" s="36"/>
      <c r="O222" s="36"/>
      <c r="P222" s="36"/>
      <c r="Q222" s="38"/>
    </row>
    <row r="223" spans="1:17" ht="16.5" thickBot="1">
      <c r="A223" s="167">
        <v>31</v>
      </c>
      <c r="B223" s="198"/>
      <c r="C223" s="169" t="s">
        <v>230</v>
      </c>
      <c r="D223" s="182"/>
      <c r="E223" s="182"/>
      <c r="F223" s="194" t="s">
        <v>231</v>
      </c>
      <c r="G223" s="74">
        <v>115712875</v>
      </c>
      <c r="H223" s="74">
        <f>171338.45+0.05</f>
        <v>171338.5</v>
      </c>
      <c r="I223" s="351">
        <f t="shared" si="1"/>
        <v>115541536.5</v>
      </c>
      <c r="J223" s="76"/>
      <c r="K223" s="76" t="s">
        <v>232</v>
      </c>
      <c r="L223" s="76"/>
      <c r="M223" s="76"/>
      <c r="N223" s="76"/>
      <c r="O223" s="76"/>
      <c r="P223" s="76"/>
      <c r="Q223" s="77"/>
    </row>
    <row r="224" spans="1:17" ht="15.75">
      <c r="A224" s="156"/>
      <c r="B224" s="156"/>
      <c r="C224" s="132"/>
      <c r="D224" s="240"/>
      <c r="E224" s="240"/>
      <c r="F224" s="132"/>
      <c r="G224" s="53"/>
      <c r="H224" s="53"/>
      <c r="I224" s="86"/>
      <c r="J224" s="36"/>
      <c r="K224" s="36"/>
      <c r="L224" s="36"/>
      <c r="M224" s="36"/>
      <c r="N224" s="36"/>
      <c r="O224" s="36"/>
      <c r="P224" s="36"/>
      <c r="Q224" s="36"/>
    </row>
    <row r="225" spans="1:18" ht="16.5" thickBot="1">
      <c r="A225" s="156"/>
      <c r="B225" s="156"/>
      <c r="C225" s="132"/>
      <c r="D225" s="240"/>
      <c r="E225" s="240"/>
      <c r="F225" s="132"/>
      <c r="G225" s="53"/>
      <c r="H225" s="53"/>
      <c r="I225" s="86"/>
      <c r="J225" s="36"/>
      <c r="K225" s="36"/>
      <c r="L225" s="36"/>
      <c r="M225" s="36"/>
      <c r="N225" s="36"/>
      <c r="O225" s="36"/>
      <c r="P225" s="36"/>
      <c r="Q225" s="36"/>
    </row>
    <row r="226" spans="1:18" ht="18.75" thickBot="1">
      <c r="A226" s="1216" t="s">
        <v>233</v>
      </c>
      <c r="B226" s="1217"/>
      <c r="C226" s="1217"/>
      <c r="D226" s="1217"/>
      <c r="E226" s="1217"/>
      <c r="F226" s="1218"/>
      <c r="G226" s="125"/>
      <c r="H226" s="125"/>
      <c r="I226" s="125"/>
      <c r="J226" s="343"/>
      <c r="K226" s="343"/>
      <c r="L226" s="343"/>
      <c r="M226" s="343"/>
      <c r="N226" s="343"/>
      <c r="O226" s="343"/>
      <c r="P226" s="343"/>
      <c r="Q226" s="344"/>
    </row>
    <row r="227" spans="1:18" ht="26.25">
      <c r="A227" s="1160"/>
      <c r="B227" s="1161"/>
      <c r="C227" s="1161" t="s">
        <v>234</v>
      </c>
      <c r="D227" s="1161"/>
      <c r="E227" s="1161"/>
      <c r="F227" s="1162"/>
      <c r="G227" s="125" t="s">
        <v>235</v>
      </c>
      <c r="H227" s="125" t="s">
        <v>225</v>
      </c>
      <c r="I227" s="125" t="s">
        <v>208</v>
      </c>
      <c r="J227" s="1115" t="s">
        <v>236</v>
      </c>
      <c r="K227" s="343"/>
      <c r="L227" s="343"/>
      <c r="M227" s="343"/>
      <c r="N227" s="343"/>
      <c r="O227" s="343"/>
      <c r="P227" s="343"/>
      <c r="Q227" s="344"/>
    </row>
    <row r="228" spans="1:18" ht="15.75">
      <c r="A228" s="365"/>
      <c r="B228" s="240"/>
      <c r="C228" s="240"/>
      <c r="D228" s="240"/>
      <c r="E228" s="240"/>
      <c r="F228" s="177"/>
      <c r="G228" s="53"/>
      <c r="H228" s="53"/>
      <c r="I228" s="86"/>
      <c r="J228" s="36"/>
      <c r="K228" s="36"/>
      <c r="L228" s="36"/>
      <c r="M228" s="36"/>
      <c r="N228" s="36"/>
      <c r="O228" s="36"/>
      <c r="P228" s="36"/>
      <c r="Q228" s="38"/>
    </row>
    <row r="229" spans="1:18" ht="27" customHeight="1">
      <c r="A229" s="131">
        <v>6</v>
      </c>
      <c r="B229" s="156"/>
      <c r="C229" s="132" t="s">
        <v>210</v>
      </c>
      <c r="D229" s="240"/>
      <c r="E229" s="240"/>
      <c r="F229" s="177" t="s">
        <v>91</v>
      </c>
      <c r="G229" s="53">
        <v>8494209866</v>
      </c>
      <c r="H229" s="53">
        <f>3291402.77+258941.72+0.2</f>
        <v>3550344.6900000004</v>
      </c>
      <c r="I229" s="86">
        <v>301285.38</v>
      </c>
      <c r="J229" s="86">
        <f>G229-H229-I229</f>
        <v>8490358235.9300003</v>
      </c>
      <c r="K229" s="1219" t="s">
        <v>237</v>
      </c>
      <c r="L229" s="1219"/>
      <c r="M229" s="1219"/>
      <c r="N229" s="1219"/>
      <c r="O229" s="1219"/>
      <c r="P229" s="1219"/>
      <c r="Q229" s="1220"/>
    </row>
    <row r="230" spans="1:18" ht="27" customHeight="1">
      <c r="A230" s="131"/>
      <c r="B230" s="156"/>
      <c r="C230" s="132"/>
      <c r="D230" s="240"/>
      <c r="E230" s="240"/>
      <c r="F230" s="177"/>
      <c r="G230" s="53"/>
      <c r="H230" s="53"/>
      <c r="I230" s="86"/>
      <c r="J230" s="86"/>
      <c r="K230" s="36"/>
      <c r="L230" s="36"/>
      <c r="M230" s="36"/>
      <c r="N230" s="36"/>
      <c r="O230" s="36"/>
      <c r="P230" s="36"/>
      <c r="Q230" s="38"/>
    </row>
    <row r="231" spans="1:18" ht="15.75">
      <c r="A231" s="131">
        <v>9</v>
      </c>
      <c r="B231" s="156"/>
      <c r="C231" s="132" t="s">
        <v>211</v>
      </c>
      <c r="D231" s="240"/>
      <c r="E231" s="240"/>
      <c r="F231" s="177" t="s">
        <v>212</v>
      </c>
      <c r="G231" s="53">
        <v>2895219919</v>
      </c>
      <c r="H231" s="53">
        <v>408206</v>
      </c>
      <c r="I231" s="86">
        <v>964.66</v>
      </c>
      <c r="J231" s="86">
        <f>G231-H231-I231</f>
        <v>2894810748.3400002</v>
      </c>
      <c r="K231" s="36" t="s">
        <v>238</v>
      </c>
      <c r="L231" s="36"/>
      <c r="M231" s="36"/>
      <c r="N231" s="36"/>
      <c r="O231" s="36"/>
      <c r="P231" s="36"/>
      <c r="Q231" s="38"/>
    </row>
    <row r="232" spans="1:18" ht="15.75">
      <c r="A232" s="131">
        <v>23</v>
      </c>
      <c r="B232" s="156"/>
      <c r="C232" s="132" t="s">
        <v>215</v>
      </c>
      <c r="D232" s="240"/>
      <c r="E232" s="240"/>
      <c r="F232" s="177" t="s">
        <v>216</v>
      </c>
      <c r="G232" s="53">
        <f>308248689+18638863</f>
        <v>326887552</v>
      </c>
      <c r="H232" s="53">
        <v>258941.72</v>
      </c>
      <c r="I232" s="86">
        <v>301285.38</v>
      </c>
      <c r="J232" s="86">
        <f>G232-H232-I232</f>
        <v>326327324.89999998</v>
      </c>
      <c r="K232" s="36" t="s">
        <v>239</v>
      </c>
      <c r="L232" s="36"/>
      <c r="M232" s="36"/>
      <c r="N232" s="36"/>
      <c r="O232" s="36"/>
      <c r="P232" s="36"/>
      <c r="Q232" s="38"/>
    </row>
    <row r="233" spans="1:18" ht="16.5" thickBot="1">
      <c r="A233" s="167">
        <v>31</v>
      </c>
      <c r="B233" s="198"/>
      <c r="C233" s="169" t="s">
        <v>240</v>
      </c>
      <c r="D233" s="182"/>
      <c r="E233" s="182"/>
      <c r="F233" s="194" t="s">
        <v>241</v>
      </c>
      <c r="G233" s="74">
        <v>115712875</v>
      </c>
      <c r="H233" s="74">
        <v>171339</v>
      </c>
      <c r="I233" s="351">
        <v>964.66</v>
      </c>
      <c r="J233" s="351">
        <f>G233-H233-I233</f>
        <v>115540571.34</v>
      </c>
      <c r="K233" s="76" t="s">
        <v>242</v>
      </c>
      <c r="L233" s="76"/>
      <c r="M233" s="76"/>
      <c r="N233" s="76"/>
      <c r="O233" s="76"/>
      <c r="P233" s="76"/>
      <c r="Q233" s="77"/>
    </row>
    <row r="234" spans="1:18" ht="15.75">
      <c r="A234" s="156"/>
      <c r="B234" s="156"/>
      <c r="C234" s="132"/>
      <c r="D234" s="240"/>
      <c r="E234" s="240"/>
      <c r="F234" s="132"/>
      <c r="G234" s="53"/>
      <c r="H234" s="53"/>
      <c r="I234" s="86"/>
      <c r="J234" s="36"/>
      <c r="K234" s="36"/>
      <c r="L234" s="36"/>
      <c r="M234" s="36"/>
      <c r="N234" s="36"/>
      <c r="O234" s="36"/>
      <c r="P234" s="36"/>
      <c r="Q234" s="36"/>
    </row>
    <row r="235" spans="1:18" ht="17.25" thickBot="1">
      <c r="G235" s="304"/>
      <c r="H235" s="304"/>
      <c r="I235" s="304"/>
      <c r="J235" s="304"/>
      <c r="K235" s="304"/>
      <c r="L235" s="304"/>
      <c r="M235" s="304"/>
      <c r="N235" s="304"/>
      <c r="O235" s="304"/>
      <c r="P235" s="304"/>
      <c r="Q235" s="304"/>
    </row>
    <row r="236" spans="1:18" ht="18.75" thickBot="1">
      <c r="A236" s="1205" t="s">
        <v>243</v>
      </c>
      <c r="B236" s="1206"/>
      <c r="C236" s="1206"/>
      <c r="D236" s="1206"/>
      <c r="E236" s="1206"/>
      <c r="F236" s="1207"/>
      <c r="G236" s="1197"/>
      <c r="H236" s="1198"/>
      <c r="I236" s="1199"/>
      <c r="J236" s="1198"/>
      <c r="K236" s="1199"/>
      <c r="L236" s="1198"/>
      <c r="M236" s="289"/>
      <c r="N236" s="289"/>
      <c r="O236" s="289"/>
      <c r="P236" s="289"/>
      <c r="Q236" s="290"/>
    </row>
    <row r="237" spans="1:18" ht="39">
      <c r="A237" s="1160" t="s">
        <v>67</v>
      </c>
      <c r="B237" s="1161"/>
      <c r="C237" s="1161"/>
      <c r="D237" s="1161"/>
      <c r="E237" s="1161"/>
      <c r="F237" s="1162"/>
      <c r="G237" s="125" t="s">
        <v>244</v>
      </c>
      <c r="H237" s="125" t="s">
        <v>245</v>
      </c>
      <c r="I237" s="125" t="s">
        <v>246</v>
      </c>
      <c r="J237" s="125" t="s">
        <v>247</v>
      </c>
      <c r="K237" s="1163" t="s">
        <v>248</v>
      </c>
      <c r="L237" s="1213"/>
      <c r="M237" s="1213"/>
      <c r="N237" s="1213"/>
      <c r="O237" s="1213"/>
      <c r="P237" s="1213"/>
      <c r="Q237" s="1214"/>
    </row>
    <row r="238" spans="1:18" s="5" customFormat="1" ht="10.5" customHeight="1">
      <c r="A238" s="345"/>
      <c r="B238" s="346"/>
      <c r="C238" s="346"/>
      <c r="D238" s="346"/>
      <c r="E238" s="346"/>
      <c r="F238" s="347"/>
      <c r="G238" s="348"/>
      <c r="H238" s="348"/>
      <c r="I238" s="348"/>
      <c r="J238" s="349"/>
      <c r="K238" s="349"/>
      <c r="L238" s="349"/>
      <c r="M238" s="349"/>
      <c r="N238" s="349"/>
      <c r="O238" s="349"/>
      <c r="P238" s="349"/>
      <c r="Q238" s="350"/>
    </row>
    <row r="239" spans="1:18" ht="120.75" customHeight="1">
      <c r="A239" s="131">
        <v>68</v>
      </c>
      <c r="B239" s="156"/>
      <c r="C239" s="132" t="s">
        <v>219</v>
      </c>
      <c r="D239" s="254"/>
      <c r="E239" s="190"/>
      <c r="F239" s="352" t="s">
        <v>249</v>
      </c>
      <c r="G239" s="53">
        <v>156729695</v>
      </c>
      <c r="H239" s="53">
        <v>27423342</v>
      </c>
      <c r="I239" s="86">
        <v>1830717</v>
      </c>
      <c r="J239" s="86">
        <v>1882600</v>
      </c>
      <c r="K239" s="1215" t="s">
        <v>864</v>
      </c>
      <c r="L239" s="1151"/>
      <c r="M239" s="1151"/>
      <c r="N239" s="1151"/>
      <c r="O239" s="1151"/>
      <c r="P239" s="1151"/>
      <c r="Q239" s="1171"/>
      <c r="R239" s="109"/>
    </row>
    <row r="240" spans="1:18" ht="16.5" thickBot="1">
      <c r="A240" s="167"/>
      <c r="B240" s="198"/>
      <c r="C240" s="169"/>
      <c r="D240" s="182"/>
      <c r="E240" s="182"/>
      <c r="F240" s="194"/>
      <c r="G240" s="74"/>
      <c r="H240" s="74"/>
      <c r="I240" s="351"/>
      <c r="J240" s="76"/>
      <c r="K240" s="76"/>
      <c r="L240" s="76"/>
      <c r="M240" s="76"/>
      <c r="N240" s="76"/>
      <c r="O240" s="76"/>
      <c r="P240" s="76"/>
      <c r="Q240" s="77"/>
    </row>
    <row r="241" spans="1:17" ht="16.5">
      <c r="G241" s="304"/>
      <c r="H241" s="304"/>
      <c r="I241" s="304"/>
      <c r="J241" s="304"/>
      <c r="K241" s="304"/>
      <c r="L241" s="304"/>
      <c r="M241" s="304"/>
      <c r="N241" s="304"/>
      <c r="O241" s="304"/>
      <c r="P241" s="304"/>
      <c r="Q241" s="304"/>
    </row>
    <row r="242" spans="1:17" ht="16.5">
      <c r="G242" s="304"/>
      <c r="H242" s="304"/>
      <c r="I242" s="304"/>
      <c r="J242" s="353"/>
      <c r="K242" s="304"/>
      <c r="L242" s="304"/>
      <c r="M242" s="304"/>
      <c r="N242" s="304"/>
      <c r="O242" s="304"/>
      <c r="P242" s="304"/>
      <c r="Q242" s="304"/>
    </row>
    <row r="243" spans="1:17" ht="17.25" thickBot="1">
      <c r="G243" s="304"/>
      <c r="H243" s="304"/>
      <c r="I243" s="304"/>
      <c r="J243" s="304"/>
      <c r="K243" s="304"/>
      <c r="L243" s="304"/>
      <c r="M243" s="304"/>
      <c r="N243" s="304"/>
      <c r="O243" s="304"/>
      <c r="P243" s="304"/>
      <c r="Q243" s="304"/>
    </row>
    <row r="244" spans="1:17" ht="19.5" thickBot="1">
      <c r="A244" s="1205" t="s">
        <v>250</v>
      </c>
      <c r="B244" s="1206"/>
      <c r="C244" s="1206"/>
      <c r="D244" s="1206"/>
      <c r="E244" s="1206"/>
      <c r="F244" s="1207"/>
      <c r="G244" s="304"/>
      <c r="H244" s="304"/>
      <c r="I244" s="304"/>
      <c r="J244" s="304"/>
      <c r="K244" s="304"/>
      <c r="L244" s="304"/>
      <c r="M244" s="304"/>
      <c r="N244" s="304"/>
      <c r="O244" s="304"/>
      <c r="P244" s="304"/>
      <c r="Q244" s="304"/>
    </row>
    <row r="245" spans="1:17" ht="16.5">
      <c r="G245" s="304"/>
      <c r="H245" s="304"/>
      <c r="I245" s="304"/>
      <c r="J245" s="304"/>
      <c r="K245" s="304"/>
      <c r="L245" s="304"/>
      <c r="M245" s="304"/>
      <c r="N245" s="304"/>
      <c r="O245" s="304"/>
      <c r="P245" s="304"/>
      <c r="Q245" s="304"/>
    </row>
    <row r="246" spans="1:17" ht="16.5">
      <c r="A246" t="s">
        <v>251</v>
      </c>
      <c r="C246" s="354" t="s">
        <v>252</v>
      </c>
      <c r="E246" s="89">
        <f>E254</f>
        <v>2936681.5758928</v>
      </c>
      <c r="G246" s="304"/>
      <c r="H246" s="304"/>
      <c r="I246" s="304"/>
      <c r="J246" s="304"/>
      <c r="K246" s="304"/>
      <c r="L246" s="304"/>
      <c r="M246" s="304"/>
      <c r="N246" s="304"/>
      <c r="O246" s="304"/>
      <c r="P246" s="304"/>
      <c r="Q246" s="304"/>
    </row>
    <row r="247" spans="1:17" ht="16.5">
      <c r="G247" s="304"/>
      <c r="H247" s="304"/>
      <c r="I247" s="304"/>
      <c r="J247" s="304"/>
      <c r="K247" s="304"/>
      <c r="L247" s="304"/>
      <c r="M247" s="304"/>
      <c r="N247" s="304"/>
      <c r="O247" s="304"/>
      <c r="P247" s="304"/>
      <c r="Q247" s="304"/>
    </row>
    <row r="248" spans="1:17" ht="16.5">
      <c r="D248" s="355" t="s">
        <v>253</v>
      </c>
      <c r="E248" s="356">
        <f>'3 - Revenue Credits'!D31</f>
        <v>10874987.32</v>
      </c>
      <c r="G248" s="304"/>
      <c r="H248" s="304"/>
      <c r="I248" s="304"/>
      <c r="J248" s="304"/>
      <c r="K248" s="304"/>
      <c r="L248" s="304"/>
      <c r="M248" s="304"/>
      <c r="N248" s="304"/>
      <c r="O248" s="304"/>
      <c r="P248" s="304"/>
      <c r="Q248" s="304"/>
    </row>
    <row r="249" spans="1:17" ht="16.5">
      <c r="D249" s="357" t="s">
        <v>254</v>
      </c>
      <c r="E249" s="358">
        <f>'ATT H-9A'!H221</f>
        <v>0.21</v>
      </c>
      <c r="G249" s="304"/>
      <c r="H249" s="304"/>
      <c r="I249" s="304"/>
      <c r="J249" s="304"/>
      <c r="K249" s="304"/>
      <c r="L249" s="304"/>
      <c r="M249" s="304"/>
      <c r="N249" s="304"/>
      <c r="O249" s="304"/>
      <c r="P249" s="304"/>
      <c r="Q249" s="304"/>
    </row>
    <row r="250" spans="1:17" ht="16.5">
      <c r="D250" s="359" t="s">
        <v>255</v>
      </c>
      <c r="E250" s="360">
        <f>E248*E249</f>
        <v>2283747.3372</v>
      </c>
      <c r="G250" s="304"/>
      <c r="H250" s="304"/>
      <c r="I250" s="304"/>
      <c r="J250" s="304"/>
      <c r="K250" s="304"/>
      <c r="L250" s="304"/>
      <c r="M250" s="304"/>
      <c r="N250" s="304"/>
      <c r="O250" s="304"/>
      <c r="P250" s="304"/>
      <c r="Q250" s="304"/>
    </row>
    <row r="251" spans="1:17" ht="16.5">
      <c r="D251" s="359" t="s">
        <v>256</v>
      </c>
      <c r="E251" s="360">
        <f>E248-E250</f>
        <v>8591239.9827999994</v>
      </c>
      <c r="G251" s="304"/>
      <c r="H251" s="304"/>
      <c r="I251" s="304"/>
      <c r="J251" s="304"/>
      <c r="K251" s="304"/>
      <c r="L251" s="304"/>
      <c r="M251" s="304"/>
      <c r="N251" s="304"/>
      <c r="O251" s="304"/>
      <c r="P251" s="304"/>
      <c r="Q251" s="304"/>
    </row>
    <row r="252" spans="1:17" ht="16.5">
      <c r="D252" s="359" t="s">
        <v>257</v>
      </c>
      <c r="E252" s="361">
        <f>'ATT H-9A'!$H$222</f>
        <v>7.5999999999999998E-2</v>
      </c>
      <c r="G252" s="304"/>
      <c r="H252" s="304"/>
      <c r="I252" s="304"/>
      <c r="J252" s="304"/>
      <c r="K252" s="304"/>
      <c r="L252" s="304"/>
      <c r="M252" s="304"/>
      <c r="N252" s="304"/>
      <c r="O252" s="304"/>
      <c r="P252" s="304"/>
      <c r="Q252" s="304"/>
    </row>
    <row r="253" spans="1:17" ht="16.5">
      <c r="D253" s="359" t="s">
        <v>258</v>
      </c>
      <c r="E253" s="360">
        <f>E251*E252</f>
        <v>652934.23869279993</v>
      </c>
      <c r="G253" s="304"/>
      <c r="H253" s="304"/>
      <c r="I253" s="304"/>
      <c r="J253" s="304"/>
      <c r="K253" s="304"/>
      <c r="L253" s="304"/>
      <c r="M253" s="304"/>
      <c r="N253" s="304"/>
      <c r="O253" s="304"/>
      <c r="P253" s="304"/>
      <c r="Q253" s="304"/>
    </row>
    <row r="254" spans="1:17" ht="17.25" thickBot="1">
      <c r="D254" s="359" t="s">
        <v>259</v>
      </c>
      <c r="E254" s="362">
        <f>E253+E250</f>
        <v>2936681.5758928</v>
      </c>
      <c r="G254" s="304"/>
      <c r="H254" s="304"/>
      <c r="I254" s="304"/>
      <c r="J254" s="304"/>
      <c r="K254" s="304"/>
      <c r="L254" s="304"/>
      <c r="M254" s="304"/>
      <c r="N254" s="304"/>
      <c r="O254" s="304"/>
      <c r="P254" s="304"/>
      <c r="Q254" s="304"/>
    </row>
    <row r="255" spans="1:17" ht="17.25" thickTop="1">
      <c r="G255" s="304"/>
      <c r="H255" s="304"/>
      <c r="I255" s="304"/>
      <c r="J255" s="304"/>
      <c r="K255" s="304"/>
      <c r="L255" s="304"/>
      <c r="M255" s="304"/>
      <c r="N255" s="304"/>
      <c r="O255" s="304"/>
      <c r="P255" s="304"/>
      <c r="Q255" s="304"/>
    </row>
    <row r="256" spans="1:17" ht="15.75">
      <c r="D256" s="363"/>
      <c r="E256" s="364"/>
      <c r="F256" s="364"/>
      <c r="G256" s="364"/>
      <c r="H256" s="364"/>
    </row>
    <row r="257" spans="4:8" ht="15.75">
      <c r="D257" s="363"/>
      <c r="E257" s="364"/>
      <c r="F257" s="364"/>
      <c r="G257" s="364"/>
      <c r="H257" s="364"/>
    </row>
    <row r="258" spans="4:8" ht="15.75">
      <c r="D258" s="363"/>
      <c r="E258" s="364"/>
      <c r="F258" s="364"/>
      <c r="G258" s="364"/>
      <c r="H258" s="364"/>
    </row>
    <row r="259" spans="4:8" ht="15.75">
      <c r="D259" s="363"/>
      <c r="E259" s="364"/>
      <c r="F259" s="364"/>
      <c r="G259" s="364"/>
      <c r="H259" s="364"/>
    </row>
    <row r="260" spans="4:8" ht="15.75">
      <c r="D260" s="363"/>
      <c r="E260" s="364"/>
      <c r="F260" s="364"/>
      <c r="G260" s="364"/>
      <c r="H260" s="364"/>
    </row>
    <row r="261" spans="4:8" ht="15.75">
      <c r="D261" s="363"/>
      <c r="E261" s="364"/>
      <c r="F261" s="364"/>
      <c r="G261" s="364"/>
      <c r="H261" s="364"/>
    </row>
    <row r="262" spans="4:8" ht="15.75">
      <c r="D262" s="363"/>
      <c r="E262" s="364"/>
      <c r="F262" s="364"/>
      <c r="G262" s="364"/>
      <c r="H262" s="364"/>
    </row>
    <row r="263" spans="4:8" ht="15.75">
      <c r="D263" s="363"/>
      <c r="E263" s="364"/>
      <c r="F263" s="364"/>
      <c r="G263" s="364"/>
      <c r="H263" s="364"/>
    </row>
    <row r="264" spans="4:8" ht="15.75">
      <c r="D264" s="363"/>
      <c r="E264" s="364"/>
      <c r="F264" s="364"/>
      <c r="G264" s="364"/>
      <c r="H264" s="364"/>
    </row>
    <row r="265" spans="4:8" ht="15.75">
      <c r="D265" s="363"/>
      <c r="E265" s="364"/>
      <c r="F265" s="364"/>
      <c r="G265" s="364"/>
      <c r="H265" s="364"/>
    </row>
    <row r="266" spans="4:8" ht="15.75">
      <c r="D266" s="363"/>
      <c r="E266" s="364"/>
      <c r="F266" s="364"/>
      <c r="G266" s="364"/>
      <c r="H266" s="364"/>
    </row>
    <row r="267" spans="4:8" ht="15.75">
      <c r="D267" s="363"/>
      <c r="E267" s="364"/>
      <c r="F267" s="364"/>
      <c r="G267" s="364"/>
      <c r="H267" s="364"/>
    </row>
    <row r="268" spans="4:8" ht="15.75">
      <c r="D268" s="363"/>
      <c r="E268" s="364"/>
      <c r="F268" s="364"/>
      <c r="G268" s="364"/>
      <c r="H268" s="364"/>
    </row>
    <row r="269" spans="4:8" ht="15.75">
      <c r="D269" s="363"/>
      <c r="E269" s="364"/>
      <c r="F269" s="364"/>
      <c r="G269" s="364"/>
      <c r="H269" s="364"/>
    </row>
    <row r="270" spans="4:8" ht="15.75">
      <c r="D270" s="363"/>
      <c r="E270" s="364"/>
      <c r="F270" s="364"/>
      <c r="G270" s="364"/>
      <c r="H270" s="364"/>
    </row>
    <row r="271" spans="4:8" ht="15.75">
      <c r="D271" s="363"/>
      <c r="E271" s="364"/>
      <c r="F271" s="364"/>
      <c r="G271" s="364"/>
      <c r="H271" s="364"/>
    </row>
    <row r="272" spans="4:8" ht="15.75">
      <c r="D272" s="363"/>
      <c r="E272" s="364"/>
      <c r="F272" s="364"/>
      <c r="G272" s="364"/>
      <c r="H272" s="364"/>
    </row>
    <row r="273" spans="4:8" ht="15.75">
      <c r="D273" s="363"/>
      <c r="E273" s="364"/>
      <c r="F273" s="364"/>
      <c r="G273" s="364"/>
      <c r="H273" s="364"/>
    </row>
    <row r="274" spans="4:8" ht="15.75">
      <c r="D274" s="363"/>
      <c r="E274" s="364"/>
      <c r="F274" s="364"/>
      <c r="G274" s="364"/>
      <c r="H274" s="364"/>
    </row>
    <row r="275" spans="4:8" ht="15.75">
      <c r="D275" s="363"/>
      <c r="E275" s="364"/>
      <c r="F275" s="364"/>
      <c r="G275" s="364"/>
      <c r="H275" s="364"/>
    </row>
    <row r="276" spans="4:8" ht="15.75">
      <c r="D276" s="363"/>
      <c r="E276" s="364"/>
      <c r="F276" s="364"/>
      <c r="G276" s="364"/>
      <c r="H276" s="364"/>
    </row>
    <row r="277" spans="4:8" ht="15.75">
      <c r="D277" s="363"/>
      <c r="E277" s="364"/>
      <c r="F277" s="364"/>
      <c r="G277" s="364"/>
      <c r="H277" s="364"/>
    </row>
    <row r="278" spans="4:8" ht="15.75">
      <c r="D278" s="363"/>
      <c r="E278" s="364"/>
      <c r="F278" s="364"/>
      <c r="G278" s="364"/>
      <c r="H278" s="364"/>
    </row>
    <row r="279" spans="4:8" ht="15.75">
      <c r="D279" s="363"/>
      <c r="E279" s="364"/>
      <c r="F279" s="364"/>
      <c r="G279" s="364"/>
      <c r="H279" s="364"/>
    </row>
    <row r="280" spans="4:8" ht="15.75">
      <c r="D280" s="363"/>
      <c r="E280" s="364"/>
      <c r="F280" s="364"/>
      <c r="G280" s="364"/>
      <c r="H280" s="364"/>
    </row>
    <row r="281" spans="4:8" ht="15.75">
      <c r="D281" s="363"/>
      <c r="E281" s="364"/>
      <c r="F281" s="364"/>
      <c r="G281" s="364"/>
      <c r="H281" s="364"/>
    </row>
    <row r="282" spans="4:8" ht="15.75">
      <c r="D282" s="363"/>
      <c r="E282" s="364"/>
      <c r="F282" s="364"/>
      <c r="G282" s="364"/>
      <c r="H282" s="364"/>
    </row>
    <row r="283" spans="4:8" ht="15.75">
      <c r="D283" s="363"/>
      <c r="E283" s="364"/>
      <c r="F283" s="364"/>
      <c r="G283" s="364"/>
      <c r="H283" s="364"/>
    </row>
    <row r="284" spans="4:8" ht="15.75">
      <c r="D284" s="363"/>
      <c r="E284" s="364"/>
      <c r="F284" s="364"/>
      <c r="G284" s="364"/>
      <c r="H284" s="364"/>
    </row>
    <row r="285" spans="4:8" ht="15.75">
      <c r="D285" s="363"/>
      <c r="E285" s="364"/>
      <c r="F285" s="364"/>
      <c r="G285" s="364"/>
      <c r="H285" s="364"/>
    </row>
    <row r="286" spans="4:8" ht="15.75">
      <c r="D286" s="363"/>
      <c r="E286" s="364"/>
      <c r="F286" s="364"/>
      <c r="G286" s="364"/>
      <c r="H286" s="364"/>
    </row>
    <row r="287" spans="4:8">
      <c r="D287" s="94"/>
    </row>
    <row r="323" spans="3:3" ht="15.75">
      <c r="C323" s="8"/>
    </row>
  </sheetData>
  <mergeCells count="117">
    <mergeCell ref="A237:F237"/>
    <mergeCell ref="K237:Q237"/>
    <mergeCell ref="K239:Q239"/>
    <mergeCell ref="A244:F244"/>
    <mergeCell ref="A217:F217"/>
    <mergeCell ref="A218:F218"/>
    <mergeCell ref="A236:F236"/>
    <mergeCell ref="G236:H236"/>
    <mergeCell ref="I236:J236"/>
    <mergeCell ref="K236:L236"/>
    <mergeCell ref="A226:F226"/>
    <mergeCell ref="A227:F227"/>
    <mergeCell ref="K229:Q229"/>
    <mergeCell ref="E193:Q198"/>
    <mergeCell ref="A203:F203"/>
    <mergeCell ref="G203:H203"/>
    <mergeCell ref="I203:J203"/>
    <mergeCell ref="K203:L203"/>
    <mergeCell ref="A204:F204"/>
    <mergeCell ref="G169:H169"/>
    <mergeCell ref="I169:J169"/>
    <mergeCell ref="K169:L169"/>
    <mergeCell ref="A173:F173"/>
    <mergeCell ref="A183:F183"/>
    <mergeCell ref="A192:F192"/>
    <mergeCell ref="G166:H166"/>
    <mergeCell ref="I166:J166"/>
    <mergeCell ref="K166:L166"/>
    <mergeCell ref="G167:H167"/>
    <mergeCell ref="I167:J167"/>
    <mergeCell ref="K167:L167"/>
    <mergeCell ref="A159:F159"/>
    <mergeCell ref="H159:Q159"/>
    <mergeCell ref="H161:Q161"/>
    <mergeCell ref="G165:H165"/>
    <mergeCell ref="I165:J165"/>
    <mergeCell ref="K165:L165"/>
    <mergeCell ref="H144:Q144"/>
    <mergeCell ref="H146:Q146"/>
    <mergeCell ref="H147:Q147"/>
    <mergeCell ref="A151:F151"/>
    <mergeCell ref="H151:Q151"/>
    <mergeCell ref="H153:Q153"/>
    <mergeCell ref="H129:Q129"/>
    <mergeCell ref="H130:Q130"/>
    <mergeCell ref="H131:Q131"/>
    <mergeCell ref="H132:Q132"/>
    <mergeCell ref="A136:F136"/>
    <mergeCell ref="A142:F142"/>
    <mergeCell ref="H142:Q142"/>
    <mergeCell ref="A122:F122"/>
    <mergeCell ref="H122:Q122"/>
    <mergeCell ref="H124:Q124"/>
    <mergeCell ref="H126:Q126"/>
    <mergeCell ref="H127:Q127"/>
    <mergeCell ref="H128:Q128"/>
    <mergeCell ref="A99:F99"/>
    <mergeCell ref="J99:Q99"/>
    <mergeCell ref="J105:Q105"/>
    <mergeCell ref="A109:F109"/>
    <mergeCell ref="H109:Q109"/>
    <mergeCell ref="H111:Q111"/>
    <mergeCell ref="H87:Q87"/>
    <mergeCell ref="H88:Q88"/>
    <mergeCell ref="H89:Q89"/>
    <mergeCell ref="H90:Q90"/>
    <mergeCell ref="H91:Q91"/>
    <mergeCell ref="H92:Q92"/>
    <mergeCell ref="J76:Q76"/>
    <mergeCell ref="A80:F80"/>
    <mergeCell ref="H80:Q80"/>
    <mergeCell ref="H82:Q82"/>
    <mergeCell ref="H84:Q84"/>
    <mergeCell ref="H85:Q85"/>
    <mergeCell ref="J63:Q63"/>
    <mergeCell ref="A67:F67"/>
    <mergeCell ref="L67:Q67"/>
    <mergeCell ref="L69:Q69"/>
    <mergeCell ref="L70:Q70"/>
    <mergeCell ref="A74:F74"/>
    <mergeCell ref="J74:Q74"/>
    <mergeCell ref="J49:Q49"/>
    <mergeCell ref="A53:F53"/>
    <mergeCell ref="J53:Q53"/>
    <mergeCell ref="J57:Q57"/>
    <mergeCell ref="A61:F61"/>
    <mergeCell ref="J61:Q61"/>
    <mergeCell ref="J41:Q41"/>
    <mergeCell ref="J43:Q43"/>
    <mergeCell ref="A47:F47"/>
    <mergeCell ref="J47:Q47"/>
    <mergeCell ref="J48:Q48"/>
    <mergeCell ref="J29:Q29"/>
    <mergeCell ref="A36:F36"/>
    <mergeCell ref="J36:Q36"/>
    <mergeCell ref="J37:Q37"/>
    <mergeCell ref="J38:Q38"/>
    <mergeCell ref="J39:Q39"/>
    <mergeCell ref="J27:Q27"/>
    <mergeCell ref="J28:Q28"/>
    <mergeCell ref="J11:Q11"/>
    <mergeCell ref="J13:Q13"/>
    <mergeCell ref="J15:Q15"/>
    <mergeCell ref="J18:Q18"/>
    <mergeCell ref="J19:Q19"/>
    <mergeCell ref="J20:Q20"/>
    <mergeCell ref="J40:Q40"/>
    <mergeCell ref="A5:F5"/>
    <mergeCell ref="J5:Q5"/>
    <mergeCell ref="J6:Q6"/>
    <mergeCell ref="J7:Q7"/>
    <mergeCell ref="J8:Q8"/>
    <mergeCell ref="J9:Q9"/>
    <mergeCell ref="J21:Q21"/>
    <mergeCell ref="J22:Q22"/>
    <mergeCell ref="A26:F26"/>
    <mergeCell ref="J26:Q26"/>
  </mergeCells>
  <pageMargins left="0.25" right="0.25" top="0.75" bottom="0.75" header="0.5" footer="0.5"/>
  <pageSetup scale="46" fitToHeight="0" orientation="landscape" r:id="rId1"/>
  <rowBreaks count="5" manualBreakCount="5">
    <brk id="50" max="17" man="1"/>
    <brk id="96" max="17" man="1"/>
    <brk id="140" max="17" man="1"/>
    <brk id="188" max="17" man="1"/>
    <brk id="241"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9"/>
  <sheetViews>
    <sheetView showGridLines="0" zoomScaleNormal="100" zoomScaleSheetLayoutView="99" workbookViewId="0"/>
  </sheetViews>
  <sheetFormatPr defaultRowHeight="12.75"/>
  <cols>
    <col min="1" max="1" width="37" style="1116" customWidth="1"/>
    <col min="2" max="2" width="16" style="1116" bestFit="1" customWidth="1"/>
    <col min="3" max="3" width="5.85546875" style="1116" customWidth="1"/>
    <col min="4" max="4" width="16" style="1116" bestFit="1" customWidth="1"/>
    <col min="5" max="5" width="6.5703125" style="1116" customWidth="1"/>
    <col min="6" max="6" width="16" style="1116" bestFit="1" customWidth="1"/>
    <col min="7" max="7" width="5.85546875" style="1116" customWidth="1"/>
    <col min="8" max="8" width="15" style="1116" bestFit="1" customWidth="1"/>
    <col min="9" max="9" width="5.42578125" style="1116" customWidth="1"/>
    <col min="10" max="10" width="16" style="1116" bestFit="1" customWidth="1"/>
    <col min="11" max="16384" width="9.140625" style="1116"/>
  </cols>
  <sheetData>
    <row r="1" spans="1:11" ht="18">
      <c r="A1" s="1221" t="s">
        <v>493</v>
      </c>
      <c r="B1" s="1222"/>
      <c r="C1" s="1222"/>
      <c r="D1" s="1222"/>
      <c r="E1" s="1222"/>
      <c r="F1" s="1222"/>
      <c r="G1" s="1222"/>
    </row>
    <row r="2" spans="1:11">
      <c r="H2" s="1117"/>
      <c r="I2" s="1118"/>
      <c r="J2" s="1119"/>
    </row>
    <row r="3" spans="1:11">
      <c r="A3" s="1120" t="s">
        <v>842</v>
      </c>
      <c r="H3" s="1117"/>
      <c r="I3" s="1118"/>
      <c r="J3" s="1119"/>
    </row>
    <row r="4" spans="1:11">
      <c r="A4" s="1118"/>
      <c r="B4" s="1118"/>
      <c r="C4" s="1118"/>
      <c r="D4" s="1118"/>
      <c r="E4" s="1118"/>
      <c r="F4" s="1118"/>
      <c r="G4" s="1118"/>
      <c r="H4" s="1118"/>
      <c r="I4" s="1118"/>
      <c r="J4" s="1119"/>
    </row>
    <row r="6" spans="1:11">
      <c r="A6" s="1119"/>
      <c r="B6" s="1121" t="s">
        <v>843</v>
      </c>
      <c r="C6" s="1121"/>
      <c r="D6" s="1122" t="s">
        <v>844</v>
      </c>
      <c r="E6" s="1122"/>
      <c r="F6" s="1122"/>
      <c r="G6" s="1122"/>
      <c r="H6" s="1122"/>
      <c r="I6" s="1122"/>
      <c r="J6" s="1121"/>
    </row>
    <row r="7" spans="1:11">
      <c r="A7" s="1119"/>
      <c r="B7" s="1121" t="s">
        <v>845</v>
      </c>
      <c r="C7" s="1121"/>
      <c r="D7" s="1122" t="s">
        <v>846</v>
      </c>
      <c r="E7" s="1122"/>
      <c r="F7" s="1122" t="s">
        <v>198</v>
      </c>
      <c r="G7" s="1122"/>
      <c r="H7" s="1122" t="s">
        <v>847</v>
      </c>
      <c r="I7" s="1122"/>
      <c r="J7" s="1123" t="s">
        <v>61</v>
      </c>
    </row>
    <row r="8" spans="1:11">
      <c r="A8" s="1119"/>
      <c r="B8" s="1124"/>
      <c r="C8" s="1124"/>
      <c r="D8" s="1125"/>
      <c r="E8" s="1125"/>
      <c r="F8" s="1125"/>
      <c r="G8" s="1125"/>
      <c r="H8" s="1125"/>
      <c r="I8" s="1125"/>
      <c r="J8" s="1126"/>
    </row>
    <row r="9" spans="1:11" ht="15">
      <c r="A9" s="1127" t="s">
        <v>848</v>
      </c>
      <c r="B9" s="1128">
        <v>6721922</v>
      </c>
      <c r="C9" s="1129"/>
      <c r="D9" s="1128">
        <v>6040279</v>
      </c>
      <c r="E9" s="1130"/>
      <c r="F9" s="1128">
        <v>11559004</v>
      </c>
      <c r="G9" s="1130"/>
      <c r="H9" s="1131">
        <v>2731918</v>
      </c>
      <c r="I9" s="1132"/>
      <c r="J9" s="1132">
        <f>SUM(B9:H9)</f>
        <v>27053123</v>
      </c>
      <c r="K9" s="1133"/>
    </row>
    <row r="10" spans="1:11" ht="14.25">
      <c r="A10" s="1127"/>
      <c r="B10" s="1132"/>
      <c r="C10" s="1132"/>
      <c r="D10" s="1134"/>
      <c r="E10" s="1134"/>
      <c r="F10" s="1134"/>
      <c r="G10" s="1134"/>
      <c r="H10" s="1135"/>
      <c r="I10" s="1134"/>
      <c r="J10" s="1132">
        <f t="shared" ref="J10:J39" si="0">SUM(B10:H10)</f>
        <v>0</v>
      </c>
      <c r="K10" s="1133"/>
    </row>
    <row r="11" spans="1:11" ht="14.25">
      <c r="A11" s="1127" t="s">
        <v>849</v>
      </c>
      <c r="B11" s="1136">
        <v>5753548</v>
      </c>
      <c r="C11" s="1132"/>
      <c r="D11" s="1136">
        <v>4160116</v>
      </c>
      <c r="E11" s="1134"/>
      <c r="F11" s="1136">
        <v>8276756</v>
      </c>
      <c r="G11" s="1134"/>
      <c r="H11" s="1135">
        <v>3721474</v>
      </c>
      <c r="I11" s="1134"/>
      <c r="J11" s="1132">
        <f t="shared" si="0"/>
        <v>21911894</v>
      </c>
      <c r="K11" s="1133"/>
    </row>
    <row r="12" spans="1:11" ht="14.25">
      <c r="A12" s="1127"/>
      <c r="B12" s="1134">
        <v>0</v>
      </c>
      <c r="C12" s="1132"/>
      <c r="D12" s="1134">
        <v>0</v>
      </c>
      <c r="E12" s="1134"/>
      <c r="F12" s="1134">
        <v>0</v>
      </c>
      <c r="G12" s="1134"/>
      <c r="H12" s="1135">
        <v>0</v>
      </c>
      <c r="I12" s="1134"/>
      <c r="J12" s="1132">
        <f t="shared" si="0"/>
        <v>0</v>
      </c>
      <c r="K12" s="1133"/>
    </row>
    <row r="13" spans="1:11" ht="14.25">
      <c r="A13" s="1127" t="s">
        <v>850</v>
      </c>
      <c r="B13" s="1136">
        <v>16768656</v>
      </c>
      <c r="C13" s="1132"/>
      <c r="D13" s="1136">
        <v>13558856</v>
      </c>
      <c r="E13" s="1134"/>
      <c r="F13" s="1136">
        <v>23867875</v>
      </c>
      <c r="G13" s="1134"/>
      <c r="H13" s="1135">
        <v>15207024</v>
      </c>
      <c r="I13" s="1134"/>
      <c r="J13" s="1132">
        <f t="shared" si="0"/>
        <v>69402411</v>
      </c>
      <c r="K13" s="1133"/>
    </row>
    <row r="14" spans="1:11" ht="14.25">
      <c r="A14" s="1127"/>
      <c r="B14" s="1134">
        <v>0</v>
      </c>
      <c r="C14" s="1132"/>
      <c r="D14" s="1134">
        <v>0</v>
      </c>
      <c r="E14" s="1134"/>
      <c r="F14" s="1134">
        <v>0</v>
      </c>
      <c r="G14" s="1134"/>
      <c r="H14" s="1135">
        <v>0</v>
      </c>
      <c r="I14" s="1134"/>
      <c r="J14" s="1132">
        <f t="shared" si="0"/>
        <v>0</v>
      </c>
      <c r="K14" s="1133"/>
    </row>
    <row r="15" spans="1:11" ht="14.25">
      <c r="A15" s="1127" t="s">
        <v>851</v>
      </c>
      <c r="B15" s="1136">
        <v>292642</v>
      </c>
      <c r="C15" s="1132"/>
      <c r="D15" s="1136">
        <v>563869</v>
      </c>
      <c r="E15" s="1134"/>
      <c r="F15" s="1136">
        <v>-390363</v>
      </c>
      <c r="G15" s="1134"/>
      <c r="H15" s="1135">
        <v>-5012</v>
      </c>
      <c r="I15" s="1134"/>
      <c r="J15" s="1132">
        <f t="shared" si="0"/>
        <v>461136</v>
      </c>
      <c r="K15" s="1133"/>
    </row>
    <row r="16" spans="1:11" ht="14.25">
      <c r="A16" s="1127"/>
      <c r="B16" s="1134">
        <v>0</v>
      </c>
      <c r="C16" s="1132"/>
      <c r="D16" s="1134">
        <v>0</v>
      </c>
      <c r="E16" s="1134"/>
      <c r="F16" s="1134">
        <v>0</v>
      </c>
      <c r="G16" s="1134"/>
      <c r="H16" s="1135">
        <v>0</v>
      </c>
      <c r="I16" s="1134"/>
      <c r="J16" s="1132">
        <f t="shared" si="0"/>
        <v>0</v>
      </c>
      <c r="K16" s="1133"/>
    </row>
    <row r="17" spans="1:11" ht="14.25">
      <c r="A17" s="1127" t="s">
        <v>852</v>
      </c>
      <c r="B17" s="1136">
        <v>-1116564</v>
      </c>
      <c r="C17" s="1132"/>
      <c r="D17" s="1136">
        <v>-1258037</v>
      </c>
      <c r="E17" s="1134"/>
      <c r="F17" s="1136">
        <v>-540100</v>
      </c>
      <c r="G17" s="1134"/>
      <c r="H17" s="1135">
        <v>5485522</v>
      </c>
      <c r="I17" s="1134"/>
      <c r="J17" s="1132">
        <f t="shared" si="0"/>
        <v>2570821</v>
      </c>
      <c r="K17" s="1133"/>
    </row>
    <row r="18" spans="1:11" ht="14.25">
      <c r="A18" s="1127"/>
      <c r="B18" s="1134">
        <v>0</v>
      </c>
      <c r="C18" s="1132"/>
      <c r="D18" s="1134">
        <v>0</v>
      </c>
      <c r="E18" s="1134"/>
      <c r="F18" s="1134">
        <v>0</v>
      </c>
      <c r="G18" s="1134"/>
      <c r="H18" s="1135">
        <v>0</v>
      </c>
      <c r="I18" s="1134"/>
      <c r="J18" s="1132">
        <f t="shared" si="0"/>
        <v>0</v>
      </c>
      <c r="K18" s="1133"/>
    </row>
    <row r="19" spans="1:11" ht="14.25">
      <c r="A19" s="1127" t="s">
        <v>853</v>
      </c>
      <c r="B19" s="1136">
        <v>2170665</v>
      </c>
      <c r="C19" s="1132"/>
      <c r="D19" s="1136">
        <v>1000599</v>
      </c>
      <c r="E19" s="1134"/>
      <c r="F19" s="1136">
        <v>4150743</v>
      </c>
      <c r="G19" s="1134"/>
      <c r="H19" s="1135">
        <v>6816457</v>
      </c>
      <c r="I19" s="1134"/>
      <c r="J19" s="1132">
        <f t="shared" si="0"/>
        <v>14138464</v>
      </c>
      <c r="K19" s="1133"/>
    </row>
    <row r="20" spans="1:11" ht="14.25">
      <c r="A20" s="1127"/>
      <c r="B20" s="1134"/>
      <c r="C20" s="1132"/>
      <c r="D20" s="1134"/>
      <c r="E20" s="1134"/>
      <c r="F20" s="1134"/>
      <c r="G20" s="1134"/>
      <c r="H20" s="1135"/>
      <c r="I20" s="1134"/>
      <c r="J20" s="1132">
        <f t="shared" si="0"/>
        <v>0</v>
      </c>
      <c r="K20" s="1133"/>
    </row>
    <row r="21" spans="1:11" ht="15">
      <c r="A21" s="1127" t="s">
        <v>854</v>
      </c>
      <c r="B21" s="1128">
        <v>52746755</v>
      </c>
      <c r="C21" s="1130"/>
      <c r="D21" s="1128">
        <v>47419527</v>
      </c>
      <c r="E21" s="1137"/>
      <c r="F21" s="1128">
        <v>45717038</v>
      </c>
      <c r="G21" s="1137"/>
      <c r="H21" s="1131">
        <v>2626</v>
      </c>
      <c r="I21" s="1134"/>
      <c r="J21" s="1132">
        <f t="shared" si="0"/>
        <v>145885946</v>
      </c>
      <c r="K21" s="1133"/>
    </row>
    <row r="22" spans="1:11" ht="14.25">
      <c r="A22" s="1127"/>
      <c r="B22" s="1134"/>
      <c r="C22" s="1132"/>
      <c r="D22" s="1134"/>
      <c r="E22" s="1134"/>
      <c r="F22" s="1134"/>
      <c r="G22" s="1134"/>
      <c r="H22" s="1135">
        <v>0</v>
      </c>
      <c r="I22" s="1134"/>
      <c r="J22" s="1132">
        <f t="shared" si="0"/>
        <v>0</v>
      </c>
      <c r="K22" s="1133"/>
    </row>
    <row r="23" spans="1:11" ht="15">
      <c r="A23" s="1127" t="s">
        <v>855</v>
      </c>
      <c r="B23" s="1128">
        <v>17257383</v>
      </c>
      <c r="C23" s="1130"/>
      <c r="D23" s="1128">
        <v>13248946</v>
      </c>
      <c r="E23" s="1137"/>
      <c r="F23" s="1128">
        <v>32727761</v>
      </c>
      <c r="G23" s="1137"/>
      <c r="H23" s="1131">
        <v>10871056</v>
      </c>
      <c r="I23" s="1134"/>
      <c r="J23" s="1132">
        <f t="shared" si="0"/>
        <v>74105146</v>
      </c>
      <c r="K23" s="1133"/>
    </row>
    <row r="24" spans="1:11" ht="15">
      <c r="A24" s="1127"/>
      <c r="B24" s="1137">
        <v>0</v>
      </c>
      <c r="C24" s="1130"/>
      <c r="D24" s="1137">
        <v>0</v>
      </c>
      <c r="E24" s="1137"/>
      <c r="F24" s="1137">
        <v>0</v>
      </c>
      <c r="G24" s="1137"/>
      <c r="H24" s="1131">
        <v>0</v>
      </c>
      <c r="I24" s="1134"/>
      <c r="J24" s="1132">
        <f t="shared" si="0"/>
        <v>0</v>
      </c>
      <c r="K24" s="1133"/>
    </row>
    <row r="25" spans="1:11" ht="15">
      <c r="A25" s="1127" t="s">
        <v>856</v>
      </c>
      <c r="B25" s="1128">
        <v>3411728</v>
      </c>
      <c r="C25" s="1130"/>
      <c r="D25" s="1128">
        <v>2935223</v>
      </c>
      <c r="E25" s="1137"/>
      <c r="F25" s="1128">
        <v>5190824</v>
      </c>
      <c r="G25" s="1137"/>
      <c r="H25" s="1131">
        <v>626833</v>
      </c>
      <c r="I25" s="1134"/>
      <c r="J25" s="1132">
        <f t="shared" si="0"/>
        <v>12164608</v>
      </c>
      <c r="K25" s="1133"/>
    </row>
    <row r="26" spans="1:11" ht="15">
      <c r="A26" s="1127"/>
      <c r="B26" s="1137">
        <v>0</v>
      </c>
      <c r="C26" s="1130"/>
      <c r="D26" s="1137">
        <v>0</v>
      </c>
      <c r="E26" s="1137"/>
      <c r="F26" s="1137">
        <v>0</v>
      </c>
      <c r="G26" s="1137"/>
      <c r="H26" s="1131">
        <v>0</v>
      </c>
      <c r="I26" s="1134"/>
      <c r="J26" s="1132">
        <f t="shared" si="0"/>
        <v>0</v>
      </c>
      <c r="K26" s="1133"/>
    </row>
    <row r="27" spans="1:11" ht="15">
      <c r="A27" s="1127" t="s">
        <v>857</v>
      </c>
      <c r="B27" s="1128">
        <v>2358711</v>
      </c>
      <c r="C27" s="1130"/>
      <c r="D27" s="1128">
        <v>2065133</v>
      </c>
      <c r="E27" s="1137"/>
      <c r="F27" s="1128">
        <v>2509472</v>
      </c>
      <c r="G27" s="1137"/>
      <c r="H27" s="1131">
        <v>346</v>
      </c>
      <c r="I27" s="1134"/>
      <c r="J27" s="1132">
        <f t="shared" si="0"/>
        <v>6933662</v>
      </c>
      <c r="K27" s="1133"/>
    </row>
    <row r="28" spans="1:11" ht="15">
      <c r="A28" s="1127"/>
      <c r="B28" s="1137">
        <v>0</v>
      </c>
      <c r="C28" s="1130"/>
      <c r="D28" s="1137">
        <v>0</v>
      </c>
      <c r="E28" s="1137"/>
      <c r="F28" s="1137">
        <v>0</v>
      </c>
      <c r="G28" s="1137"/>
      <c r="H28" s="1131">
        <v>0</v>
      </c>
      <c r="I28" s="1134"/>
      <c r="J28" s="1132">
        <f t="shared" si="0"/>
        <v>0</v>
      </c>
      <c r="K28" s="1133"/>
    </row>
    <row r="29" spans="1:11" ht="15">
      <c r="A29" s="1127" t="s">
        <v>858</v>
      </c>
      <c r="B29" s="1128">
        <v>481504</v>
      </c>
      <c r="C29" s="1130"/>
      <c r="D29" s="1128">
        <v>493828</v>
      </c>
      <c r="E29" s="1137"/>
      <c r="F29" s="1128">
        <v>775837</v>
      </c>
      <c r="G29" s="1137"/>
      <c r="H29" s="1131">
        <v>0</v>
      </c>
      <c r="I29" s="1134"/>
      <c r="J29" s="1132">
        <f t="shared" si="0"/>
        <v>1751169</v>
      </c>
      <c r="K29" s="1133"/>
    </row>
    <row r="30" spans="1:11" ht="15">
      <c r="A30" s="1127"/>
      <c r="B30" s="1137">
        <v>0</v>
      </c>
      <c r="C30" s="1130"/>
      <c r="D30" s="1137">
        <v>0</v>
      </c>
      <c r="E30" s="1137"/>
      <c r="F30" s="1137">
        <v>0</v>
      </c>
      <c r="G30" s="1137"/>
      <c r="H30" s="1131">
        <v>0</v>
      </c>
      <c r="I30" s="1134"/>
      <c r="J30" s="1132">
        <f t="shared" si="0"/>
        <v>0</v>
      </c>
      <c r="K30" s="1133"/>
    </row>
    <row r="31" spans="1:11" ht="15">
      <c r="A31" s="1127" t="s">
        <v>859</v>
      </c>
      <c r="B31" s="1128">
        <f>44391826-1</f>
        <v>44391825</v>
      </c>
      <c r="C31" s="1130"/>
      <c r="D31" s="1128">
        <f>35785750-1</f>
        <v>35785749</v>
      </c>
      <c r="E31" s="1137"/>
      <c r="F31" s="1128">
        <f>58175753+2</f>
        <v>58175755</v>
      </c>
      <c r="G31" s="1137"/>
      <c r="H31" s="1131">
        <f>2973978+3</f>
        <v>2973981</v>
      </c>
      <c r="I31" s="1134"/>
      <c r="J31" s="1132">
        <f t="shared" si="0"/>
        <v>141327310</v>
      </c>
      <c r="K31" s="1133"/>
    </row>
    <row r="32" spans="1:11" ht="15">
      <c r="A32" s="1127"/>
      <c r="B32" s="1137">
        <v>0</v>
      </c>
      <c r="C32" s="1130"/>
      <c r="D32" s="1137">
        <v>0</v>
      </c>
      <c r="E32" s="1137"/>
      <c r="F32" s="1137">
        <v>0</v>
      </c>
      <c r="G32" s="1137"/>
      <c r="H32" s="1131">
        <v>0</v>
      </c>
      <c r="I32" s="1134"/>
      <c r="J32" s="1132">
        <f t="shared" si="0"/>
        <v>0</v>
      </c>
      <c r="K32" s="1133"/>
    </row>
    <row r="33" spans="1:11" ht="15">
      <c r="A33" s="1127" t="s">
        <v>860</v>
      </c>
      <c r="B33" s="1128">
        <v>241911</v>
      </c>
      <c r="C33" s="1130"/>
      <c r="D33" s="1128">
        <v>194452</v>
      </c>
      <c r="E33" s="1137"/>
      <c r="F33" s="1128">
        <v>414624</v>
      </c>
      <c r="G33" s="1137"/>
      <c r="H33" s="1131">
        <v>0</v>
      </c>
      <c r="I33" s="1134"/>
      <c r="J33" s="1132">
        <f t="shared" si="0"/>
        <v>850987</v>
      </c>
      <c r="K33" s="1133"/>
    </row>
    <row r="34" spans="1:11" ht="15">
      <c r="A34" s="1127"/>
      <c r="B34" s="1137">
        <v>0</v>
      </c>
      <c r="C34" s="1130"/>
      <c r="D34" s="1137">
        <v>0</v>
      </c>
      <c r="E34" s="1137"/>
      <c r="F34" s="1137">
        <v>0</v>
      </c>
      <c r="G34" s="1137"/>
      <c r="H34" s="1131">
        <v>0</v>
      </c>
      <c r="I34" s="1134"/>
      <c r="J34" s="1132">
        <f t="shared" si="0"/>
        <v>0</v>
      </c>
      <c r="K34" s="1133"/>
    </row>
    <row r="35" spans="1:11" ht="15">
      <c r="A35" s="1127" t="s">
        <v>861</v>
      </c>
      <c r="B35" s="1128">
        <v>174619</v>
      </c>
      <c r="C35" s="1130"/>
      <c r="D35" s="1128">
        <v>133726</v>
      </c>
      <c r="E35" s="1137"/>
      <c r="F35" s="1128">
        <v>128150</v>
      </c>
      <c r="G35" s="1137"/>
      <c r="H35" s="1131">
        <v>0</v>
      </c>
      <c r="I35" s="1134"/>
      <c r="J35" s="1132">
        <f t="shared" si="0"/>
        <v>436495</v>
      </c>
      <c r="K35" s="1133"/>
    </row>
    <row r="36" spans="1:11" ht="15">
      <c r="A36" s="1127"/>
      <c r="B36" s="1137">
        <v>0</v>
      </c>
      <c r="C36" s="1130"/>
      <c r="D36" s="1137">
        <v>0</v>
      </c>
      <c r="E36" s="1137"/>
      <c r="F36" s="1137">
        <v>0</v>
      </c>
      <c r="G36" s="1137"/>
      <c r="H36" s="1131">
        <v>0</v>
      </c>
      <c r="I36" s="1134"/>
      <c r="J36" s="1132">
        <f t="shared" si="0"/>
        <v>0</v>
      </c>
      <c r="K36" s="1133"/>
    </row>
    <row r="37" spans="1:11" ht="15">
      <c r="A37" s="1127" t="s">
        <v>862</v>
      </c>
      <c r="B37" s="1128">
        <v>13261385</v>
      </c>
      <c r="C37" s="1130"/>
      <c r="D37" s="1128">
        <v>8972178</v>
      </c>
      <c r="E37" s="1137"/>
      <c r="F37" s="1128">
        <v>22145832</v>
      </c>
      <c r="G37" s="1137"/>
      <c r="H37" s="1131">
        <v>0</v>
      </c>
      <c r="I37" s="1134"/>
      <c r="J37" s="1132">
        <f t="shared" si="0"/>
        <v>44379395</v>
      </c>
      <c r="K37" s="1133">
        <v>0</v>
      </c>
    </row>
    <row r="38" spans="1:11" ht="15">
      <c r="A38" s="1127"/>
      <c r="B38" s="1137">
        <v>0</v>
      </c>
      <c r="C38" s="1130"/>
      <c r="D38" s="1137">
        <v>0</v>
      </c>
      <c r="E38" s="1137"/>
      <c r="F38" s="1137">
        <v>0</v>
      </c>
      <c r="G38" s="1137"/>
      <c r="H38" s="1138">
        <v>0</v>
      </c>
      <c r="I38" s="1134"/>
      <c r="J38" s="1132">
        <f t="shared" si="0"/>
        <v>0</v>
      </c>
      <c r="K38" s="1133"/>
    </row>
    <row r="39" spans="1:11" ht="15">
      <c r="A39" s="1127" t="s">
        <v>863</v>
      </c>
      <c r="B39" s="1128">
        <v>146800</v>
      </c>
      <c r="C39" s="1130"/>
      <c r="D39" s="1128">
        <v>96476</v>
      </c>
      <c r="E39" s="1137"/>
      <c r="F39" s="1128">
        <v>4309323</v>
      </c>
      <c r="G39" s="1137"/>
      <c r="H39" s="1131">
        <v>849170</v>
      </c>
      <c r="I39" s="1134"/>
      <c r="J39" s="1132">
        <f t="shared" si="0"/>
        <v>5401769</v>
      </c>
      <c r="K39" s="1133">
        <v>0</v>
      </c>
    </row>
    <row r="40" spans="1:11">
      <c r="A40" s="1139"/>
      <c r="B40" s="1140"/>
      <c r="C40" s="1140"/>
      <c r="D40" s="1140"/>
      <c r="E40" s="1140"/>
      <c r="F40" s="1140"/>
      <c r="G40" s="1140"/>
      <c r="H40" s="1141"/>
      <c r="I40" s="1141"/>
      <c r="J40" s="1140"/>
      <c r="K40" s="1142"/>
    </row>
    <row r="41" spans="1:11" ht="13.5" thickBot="1">
      <c r="A41" s="1139" t="s">
        <v>61</v>
      </c>
      <c r="B41" s="1143">
        <f>SUM(B9:B39)</f>
        <v>165063490</v>
      </c>
      <c r="C41" s="1143"/>
      <c r="D41" s="1143">
        <f>SUM(D9:D39)</f>
        <v>135410920</v>
      </c>
      <c r="E41" s="1143"/>
      <c r="F41" s="1143">
        <f>SUM(F9:F39)</f>
        <v>219018531</v>
      </c>
      <c r="G41" s="1143"/>
      <c r="H41" s="1143">
        <f>SUM(H9:H39)</f>
        <v>49281395</v>
      </c>
      <c r="I41" s="1143"/>
      <c r="J41" s="1143">
        <f>SUM(J9:J39)</f>
        <v>568774336</v>
      </c>
      <c r="K41" s="1142"/>
    </row>
    <row r="42" spans="1:11" ht="13.5" thickTop="1">
      <c r="B42" s="1140"/>
      <c r="C42" s="1140"/>
      <c r="D42" s="1140"/>
      <c r="E42" s="1140"/>
      <c r="F42" s="1140"/>
      <c r="G42" s="1140"/>
      <c r="H42" s="1141" t="s">
        <v>108</v>
      </c>
      <c r="I42" s="1141"/>
      <c r="J42" s="1140"/>
    </row>
    <row r="43" spans="1:11">
      <c r="B43" s="1140"/>
      <c r="C43" s="1140"/>
      <c r="D43" s="1140"/>
      <c r="E43" s="1140"/>
      <c r="F43" s="1140"/>
      <c r="G43" s="1140"/>
      <c r="H43" s="1141"/>
      <c r="I43" s="1141"/>
      <c r="J43" s="1140"/>
    </row>
    <row r="44" spans="1:11">
      <c r="B44" s="1140"/>
      <c r="C44" s="1140"/>
      <c r="D44" s="1140"/>
      <c r="E44" s="1140"/>
      <c r="F44" s="1140"/>
      <c r="G44" s="1140"/>
      <c r="H44" s="1141"/>
      <c r="I44" s="1141"/>
      <c r="J44" s="1140"/>
    </row>
    <row r="45" spans="1:11">
      <c r="B45" s="1140"/>
      <c r="C45" s="1140"/>
      <c r="D45" s="1140"/>
      <c r="E45" s="1140"/>
      <c r="F45" s="1140"/>
      <c r="G45" s="1140"/>
      <c r="H45" s="1141"/>
      <c r="I45" s="1141"/>
      <c r="J45" s="1140"/>
    </row>
    <row r="46" spans="1:11">
      <c r="B46" s="1140"/>
      <c r="C46" s="1140"/>
      <c r="D46" s="1140"/>
      <c r="E46" s="1140"/>
      <c r="F46" s="1140"/>
      <c r="G46" s="1140"/>
      <c r="H46" s="1141"/>
      <c r="I46" s="1141"/>
      <c r="J46" s="1140"/>
    </row>
    <row r="47" spans="1:11">
      <c r="B47" s="1140"/>
      <c r="C47" s="1140"/>
      <c r="D47" s="1140"/>
      <c r="E47" s="1140"/>
      <c r="F47" s="1140"/>
      <c r="G47" s="1140"/>
      <c r="H47" s="1141"/>
      <c r="I47" s="1141"/>
      <c r="J47" s="1140"/>
    </row>
    <row r="48" spans="1:11">
      <c r="B48" s="1140"/>
      <c r="C48" s="1140"/>
      <c r="D48" s="1140"/>
      <c r="E48" s="1140"/>
      <c r="F48" s="1140"/>
      <c r="G48" s="1140"/>
      <c r="H48" s="1141"/>
      <c r="I48" s="1141"/>
      <c r="J48" s="1140"/>
    </row>
    <row r="49" spans="2:10">
      <c r="B49" s="1140"/>
      <c r="C49" s="1140"/>
      <c r="D49" s="1140"/>
      <c r="E49" s="1140"/>
      <c r="F49" s="1140"/>
      <c r="G49" s="1140"/>
      <c r="H49" s="1141"/>
      <c r="I49" s="1141"/>
      <c r="J49" s="1140"/>
    </row>
    <row r="50" spans="2:10">
      <c r="B50" s="1140"/>
      <c r="C50" s="1140"/>
      <c r="D50" s="1140"/>
      <c r="E50" s="1140"/>
      <c r="F50" s="1140"/>
      <c r="G50" s="1140"/>
      <c r="H50" s="1141"/>
      <c r="I50" s="1141"/>
      <c r="J50" s="1140"/>
    </row>
    <row r="51" spans="2:10">
      <c r="B51" s="1140"/>
      <c r="C51" s="1140"/>
      <c r="D51" s="1140"/>
      <c r="E51" s="1140"/>
      <c r="F51" s="1140"/>
      <c r="G51" s="1140"/>
      <c r="H51" s="1141"/>
      <c r="I51" s="1141"/>
      <c r="J51" s="1140"/>
    </row>
    <row r="52" spans="2:10">
      <c r="B52" s="1140"/>
      <c r="C52" s="1140"/>
      <c r="D52" s="1140"/>
      <c r="E52" s="1140"/>
      <c r="F52" s="1140"/>
      <c r="G52" s="1140"/>
      <c r="H52" s="1141"/>
      <c r="I52" s="1141"/>
      <c r="J52" s="1140"/>
    </row>
    <row r="53" spans="2:10">
      <c r="B53" s="1140"/>
      <c r="C53" s="1140"/>
      <c r="D53" s="1140"/>
      <c r="E53" s="1140"/>
      <c r="F53" s="1140"/>
      <c r="G53" s="1140"/>
      <c r="H53" s="1141"/>
      <c r="I53" s="1141"/>
      <c r="J53" s="1140"/>
    </row>
    <row r="54" spans="2:10">
      <c r="B54" s="1140"/>
      <c r="C54" s="1140"/>
      <c r="D54" s="1140"/>
      <c r="E54" s="1140"/>
      <c r="F54" s="1140"/>
      <c r="G54" s="1140"/>
      <c r="H54" s="1141"/>
      <c r="I54" s="1141"/>
      <c r="J54" s="1140"/>
    </row>
    <row r="55" spans="2:10">
      <c r="B55" s="1140"/>
      <c r="C55" s="1140"/>
      <c r="D55" s="1140"/>
      <c r="E55" s="1140"/>
      <c r="F55" s="1140"/>
      <c r="G55" s="1140"/>
      <c r="H55" s="1141"/>
      <c r="I55" s="1141"/>
      <c r="J55" s="1140"/>
    </row>
    <row r="56" spans="2:10">
      <c r="B56" s="1140"/>
      <c r="C56" s="1140"/>
      <c r="D56" s="1140"/>
      <c r="E56" s="1140"/>
      <c r="F56" s="1140"/>
      <c r="G56" s="1140"/>
      <c r="H56" s="1141"/>
      <c r="I56" s="1141"/>
      <c r="J56" s="1140"/>
    </row>
    <row r="57" spans="2:10">
      <c r="B57" s="1140"/>
      <c r="C57" s="1140"/>
      <c r="D57" s="1140"/>
      <c r="E57" s="1140"/>
      <c r="F57" s="1140"/>
      <c r="G57" s="1140"/>
      <c r="H57" s="1141"/>
      <c r="I57" s="1141"/>
      <c r="J57" s="1140"/>
    </row>
    <row r="58" spans="2:10">
      <c r="B58" s="1140"/>
      <c r="C58" s="1140"/>
      <c r="D58" s="1140"/>
      <c r="E58" s="1140"/>
      <c r="F58" s="1140"/>
      <c r="G58" s="1140"/>
      <c r="H58" s="1141"/>
      <c r="I58" s="1141"/>
      <c r="J58" s="1140"/>
    </row>
    <row r="59" spans="2:10">
      <c r="B59" s="1140"/>
      <c r="C59" s="1140"/>
      <c r="D59" s="1140"/>
      <c r="E59" s="1140"/>
      <c r="F59" s="1140"/>
      <c r="G59" s="1140"/>
      <c r="H59" s="1141"/>
      <c r="I59" s="1141"/>
      <c r="J59" s="1140"/>
    </row>
    <row r="60" spans="2:10">
      <c r="B60" s="1140"/>
      <c r="C60" s="1140"/>
      <c r="D60" s="1140"/>
      <c r="E60" s="1140"/>
      <c r="F60" s="1140"/>
      <c r="G60" s="1140"/>
      <c r="H60" s="1141"/>
      <c r="I60" s="1141"/>
      <c r="J60" s="1140"/>
    </row>
    <row r="61" spans="2:10">
      <c r="B61" s="1140"/>
      <c r="C61" s="1140"/>
      <c r="D61" s="1140"/>
      <c r="E61" s="1140"/>
      <c r="F61" s="1140"/>
      <c r="G61" s="1140"/>
      <c r="H61" s="1141"/>
      <c r="I61" s="1141"/>
      <c r="J61" s="1140"/>
    </row>
    <row r="62" spans="2:10">
      <c r="B62" s="1140"/>
      <c r="C62" s="1140"/>
      <c r="D62" s="1140"/>
      <c r="E62" s="1140"/>
      <c r="F62" s="1140"/>
      <c r="G62" s="1140"/>
      <c r="H62" s="1141"/>
      <c r="I62" s="1141"/>
      <c r="J62" s="1140"/>
    </row>
    <row r="63" spans="2:10">
      <c r="B63" s="1140"/>
      <c r="C63" s="1140"/>
      <c r="D63" s="1140"/>
      <c r="E63" s="1140"/>
      <c r="F63" s="1140"/>
      <c r="G63" s="1140"/>
      <c r="H63" s="1141"/>
      <c r="I63" s="1141"/>
      <c r="J63" s="1140"/>
    </row>
    <row r="64" spans="2:10">
      <c r="B64" s="1140"/>
      <c r="C64" s="1140"/>
      <c r="D64" s="1140"/>
      <c r="E64" s="1140"/>
      <c r="F64" s="1140"/>
      <c r="G64" s="1140"/>
      <c r="H64" s="1141"/>
      <c r="I64" s="1141"/>
      <c r="J64" s="1140"/>
    </row>
    <row r="65" spans="2:10">
      <c r="B65" s="1140"/>
      <c r="C65" s="1140"/>
      <c r="D65" s="1140"/>
      <c r="E65" s="1140"/>
      <c r="F65" s="1140"/>
      <c r="G65" s="1140"/>
      <c r="H65" s="1141"/>
      <c r="I65" s="1141"/>
      <c r="J65" s="1140"/>
    </row>
    <row r="66" spans="2:10">
      <c r="B66" s="1140"/>
      <c r="C66" s="1140"/>
      <c r="D66" s="1140"/>
      <c r="E66" s="1140"/>
      <c r="F66" s="1140"/>
      <c r="G66" s="1140"/>
      <c r="H66" s="1141"/>
      <c r="I66" s="1141"/>
      <c r="J66" s="1140"/>
    </row>
    <row r="67" spans="2:10">
      <c r="B67" s="1140"/>
      <c r="C67" s="1140"/>
      <c r="D67" s="1140"/>
      <c r="E67" s="1140"/>
      <c r="F67" s="1140"/>
      <c r="G67" s="1140"/>
      <c r="H67" s="1141"/>
      <c r="I67" s="1141"/>
      <c r="J67" s="1140"/>
    </row>
    <row r="68" spans="2:10">
      <c r="B68" s="1140"/>
      <c r="C68" s="1140"/>
      <c r="D68" s="1140"/>
      <c r="E68" s="1140"/>
      <c r="F68" s="1140"/>
      <c r="G68" s="1140"/>
      <c r="H68" s="1141"/>
      <c r="I68" s="1141"/>
      <c r="J68" s="1140"/>
    </row>
    <row r="69" spans="2:10">
      <c r="B69" s="1140"/>
      <c r="C69" s="1140"/>
      <c r="D69" s="1140"/>
      <c r="E69" s="1140"/>
      <c r="F69" s="1140"/>
      <c r="G69" s="1140"/>
      <c r="H69" s="1141"/>
      <c r="I69" s="1141"/>
      <c r="J69" s="1140"/>
    </row>
    <row r="70" spans="2:10">
      <c r="B70" s="1140"/>
      <c r="C70" s="1140"/>
      <c r="D70" s="1140"/>
      <c r="E70" s="1140"/>
      <c r="F70" s="1140"/>
      <c r="G70" s="1140"/>
      <c r="H70" s="1141"/>
      <c r="I70" s="1141"/>
      <c r="J70" s="1140"/>
    </row>
    <row r="71" spans="2:10">
      <c r="B71" s="1140"/>
      <c r="C71" s="1140"/>
      <c r="D71" s="1140"/>
      <c r="E71" s="1140"/>
      <c r="F71" s="1140"/>
      <c r="G71" s="1140"/>
      <c r="H71" s="1141"/>
      <c r="I71" s="1141"/>
      <c r="J71" s="1140"/>
    </row>
    <row r="72" spans="2:10">
      <c r="B72" s="1140"/>
      <c r="C72" s="1140"/>
      <c r="D72" s="1140"/>
      <c r="E72" s="1140"/>
      <c r="F72" s="1140"/>
      <c r="G72" s="1140"/>
      <c r="H72" s="1141"/>
      <c r="I72" s="1141"/>
      <c r="J72" s="1140"/>
    </row>
    <row r="73" spans="2:10">
      <c r="B73" s="1140"/>
      <c r="C73" s="1140"/>
      <c r="D73" s="1140"/>
      <c r="E73" s="1140"/>
      <c r="F73" s="1140"/>
      <c r="G73" s="1140"/>
      <c r="H73" s="1141"/>
      <c r="I73" s="1141"/>
      <c r="J73" s="1140"/>
    </row>
    <row r="74" spans="2:10">
      <c r="B74" s="1140"/>
      <c r="C74" s="1140"/>
      <c r="D74" s="1140"/>
      <c r="E74" s="1140"/>
      <c r="F74" s="1140"/>
      <c r="G74" s="1140"/>
      <c r="H74" s="1141"/>
      <c r="I74" s="1141"/>
      <c r="J74" s="1140"/>
    </row>
    <row r="75" spans="2:10">
      <c r="B75" s="1140"/>
      <c r="C75" s="1140"/>
      <c r="D75" s="1140"/>
      <c r="E75" s="1140"/>
      <c r="F75" s="1140"/>
      <c r="G75" s="1140"/>
      <c r="H75" s="1141"/>
      <c r="I75" s="1141"/>
      <c r="J75" s="1140"/>
    </row>
    <row r="76" spans="2:10">
      <c r="B76" s="1140"/>
      <c r="C76" s="1140"/>
      <c r="D76" s="1140"/>
      <c r="E76" s="1140"/>
      <c r="F76" s="1140"/>
      <c r="G76" s="1140"/>
      <c r="H76" s="1141"/>
      <c r="I76" s="1141"/>
      <c r="J76" s="1140"/>
    </row>
    <row r="77" spans="2:10">
      <c r="B77" s="1140"/>
      <c r="C77" s="1140"/>
      <c r="D77" s="1140"/>
      <c r="E77" s="1140"/>
      <c r="F77" s="1140"/>
      <c r="G77" s="1140"/>
      <c r="H77" s="1141"/>
      <c r="I77" s="1141"/>
      <c r="J77" s="1140"/>
    </row>
    <row r="78" spans="2:10">
      <c r="B78" s="1140"/>
      <c r="C78" s="1140"/>
      <c r="D78" s="1140"/>
      <c r="E78" s="1140"/>
      <c r="F78" s="1140"/>
      <c r="G78" s="1140"/>
      <c r="H78" s="1141"/>
      <c r="I78" s="1141"/>
      <c r="J78" s="1140"/>
    </row>
    <row r="79" spans="2:10">
      <c r="B79" s="1140"/>
      <c r="C79" s="1140"/>
      <c r="D79" s="1140"/>
      <c r="E79" s="1140"/>
      <c r="F79" s="1140"/>
      <c r="G79" s="1140"/>
      <c r="H79" s="1141"/>
      <c r="I79" s="1141"/>
      <c r="J79" s="1140"/>
    </row>
    <row r="80" spans="2:10">
      <c r="B80" s="1140"/>
      <c r="C80" s="1140"/>
      <c r="D80" s="1140"/>
      <c r="E80" s="1140"/>
      <c r="F80" s="1140"/>
      <c r="G80" s="1140"/>
      <c r="H80" s="1141"/>
      <c r="I80" s="1141"/>
      <c r="J80" s="1140"/>
    </row>
    <row r="81" spans="2:10">
      <c r="B81" s="1140"/>
      <c r="C81" s="1140"/>
      <c r="D81" s="1140"/>
      <c r="E81" s="1140"/>
      <c r="F81" s="1140"/>
      <c r="G81" s="1140"/>
      <c r="H81" s="1141"/>
      <c r="I81" s="1141"/>
      <c r="J81" s="1140"/>
    </row>
    <row r="82" spans="2:10">
      <c r="B82" s="1140"/>
      <c r="C82" s="1140"/>
      <c r="D82" s="1140"/>
      <c r="E82" s="1140"/>
      <c r="F82" s="1140"/>
      <c r="G82" s="1140"/>
      <c r="H82" s="1141"/>
      <c r="I82" s="1141"/>
      <c r="J82" s="1140"/>
    </row>
    <row r="83" spans="2:10">
      <c r="B83" s="1140"/>
      <c r="C83" s="1140"/>
      <c r="D83" s="1140"/>
      <c r="E83" s="1140"/>
      <c r="F83" s="1140"/>
      <c r="G83" s="1140"/>
      <c r="H83" s="1141"/>
      <c r="I83" s="1141"/>
      <c r="J83" s="1140"/>
    </row>
    <row r="84" spans="2:10">
      <c r="B84" s="1140"/>
      <c r="C84" s="1140"/>
      <c r="D84" s="1140"/>
      <c r="E84" s="1140"/>
      <c r="F84" s="1140"/>
      <c r="G84" s="1140"/>
      <c r="H84" s="1141"/>
      <c r="I84" s="1141"/>
      <c r="J84" s="1140"/>
    </row>
    <row r="85" spans="2:10">
      <c r="B85" s="1140"/>
      <c r="C85" s="1140"/>
      <c r="D85" s="1140"/>
      <c r="E85" s="1140"/>
      <c r="F85" s="1140"/>
      <c r="G85" s="1140"/>
      <c r="H85" s="1141"/>
      <c r="I85" s="1141"/>
      <c r="J85" s="1140"/>
    </row>
    <row r="86" spans="2:10">
      <c r="B86" s="1140"/>
      <c r="C86" s="1140"/>
      <c r="D86" s="1140"/>
      <c r="E86" s="1140"/>
      <c r="F86" s="1140"/>
      <c r="G86" s="1140"/>
      <c r="H86" s="1141"/>
      <c r="I86" s="1141"/>
      <c r="J86" s="1140"/>
    </row>
    <row r="87" spans="2:10">
      <c r="B87" s="1140"/>
      <c r="C87" s="1140"/>
      <c r="D87" s="1140"/>
      <c r="E87" s="1140"/>
      <c r="F87" s="1140"/>
      <c r="G87" s="1140"/>
      <c r="H87" s="1141"/>
      <c r="I87" s="1141"/>
      <c r="J87" s="1140"/>
    </row>
    <row r="88" spans="2:10">
      <c r="B88" s="1140"/>
      <c r="C88" s="1140"/>
      <c r="D88" s="1140"/>
      <c r="E88" s="1140"/>
      <c r="F88" s="1140"/>
      <c r="G88" s="1140"/>
      <c r="H88" s="1141"/>
      <c r="I88" s="1141"/>
      <c r="J88" s="1140"/>
    </row>
    <row r="89" spans="2:10">
      <c r="B89" s="1140"/>
      <c r="C89" s="1140"/>
      <c r="D89" s="1140"/>
      <c r="E89" s="1140"/>
      <c r="F89" s="1140"/>
      <c r="G89" s="1140"/>
      <c r="H89" s="1141"/>
      <c r="I89" s="1141"/>
      <c r="J89" s="1140"/>
    </row>
    <row r="90" spans="2:10">
      <c r="B90" s="1140"/>
      <c r="C90" s="1140"/>
      <c r="D90" s="1140"/>
      <c r="E90" s="1140"/>
      <c r="F90" s="1140"/>
      <c r="G90" s="1140"/>
      <c r="H90" s="1141"/>
      <c r="I90" s="1141"/>
      <c r="J90" s="1140"/>
    </row>
    <row r="91" spans="2:10">
      <c r="B91" s="1140"/>
      <c r="C91" s="1140"/>
      <c r="D91" s="1140"/>
      <c r="E91" s="1140"/>
      <c r="F91" s="1140"/>
      <c r="G91" s="1140"/>
      <c r="H91" s="1141"/>
      <c r="I91" s="1141"/>
      <c r="J91" s="1140"/>
    </row>
    <row r="92" spans="2:10">
      <c r="B92" s="1140"/>
      <c r="C92" s="1140"/>
      <c r="D92" s="1140"/>
      <c r="E92" s="1140"/>
      <c r="F92" s="1140"/>
      <c r="G92" s="1140"/>
      <c r="H92" s="1141"/>
      <c r="I92" s="1141"/>
      <c r="J92" s="1140"/>
    </row>
    <row r="93" spans="2:10">
      <c r="B93" s="1140"/>
      <c r="C93" s="1140"/>
      <c r="D93" s="1140"/>
      <c r="E93" s="1140"/>
      <c r="F93" s="1140"/>
      <c r="G93" s="1140"/>
      <c r="H93" s="1141"/>
      <c r="I93" s="1141"/>
      <c r="J93" s="1140"/>
    </row>
    <row r="94" spans="2:10">
      <c r="B94" s="1140"/>
      <c r="C94" s="1140"/>
      <c r="D94" s="1140"/>
      <c r="E94" s="1140"/>
      <c r="F94" s="1140"/>
      <c r="G94" s="1140"/>
      <c r="H94" s="1141"/>
      <c r="I94" s="1141"/>
      <c r="J94" s="1140"/>
    </row>
    <row r="95" spans="2:10">
      <c r="B95" s="1140"/>
      <c r="C95" s="1140"/>
      <c r="D95" s="1140"/>
      <c r="E95" s="1140"/>
      <c r="F95" s="1140"/>
      <c r="G95" s="1140"/>
      <c r="H95" s="1141"/>
      <c r="I95" s="1141"/>
      <c r="J95" s="1140"/>
    </row>
    <row r="96" spans="2:10">
      <c r="B96" s="1140"/>
      <c r="C96" s="1140"/>
      <c r="D96" s="1140"/>
      <c r="E96" s="1140"/>
      <c r="F96" s="1140"/>
      <c r="G96" s="1140"/>
      <c r="H96" s="1141"/>
      <c r="I96" s="1141"/>
      <c r="J96" s="1140"/>
    </row>
    <row r="97" spans="2:10">
      <c r="B97" s="1140"/>
      <c r="C97" s="1140"/>
      <c r="D97" s="1140"/>
      <c r="E97" s="1140"/>
      <c r="F97" s="1140"/>
      <c r="G97" s="1140"/>
      <c r="H97" s="1141"/>
      <c r="I97" s="1141"/>
      <c r="J97" s="1140"/>
    </row>
    <row r="98" spans="2:10">
      <c r="B98" s="1140"/>
      <c r="C98" s="1140"/>
      <c r="D98" s="1140"/>
      <c r="E98" s="1140"/>
      <c r="F98" s="1140"/>
      <c r="G98" s="1140"/>
      <c r="H98" s="1141"/>
      <c r="I98" s="1141"/>
      <c r="J98" s="1140"/>
    </row>
    <row r="99" spans="2:10">
      <c r="B99" s="1140"/>
      <c r="C99" s="1140"/>
      <c r="D99" s="1140"/>
      <c r="E99" s="1140"/>
      <c r="F99" s="1140"/>
      <c r="G99" s="1140"/>
      <c r="H99" s="1141"/>
      <c r="I99" s="1141"/>
      <c r="J99" s="1140"/>
    </row>
    <row r="100" spans="2:10">
      <c r="B100" s="1140"/>
      <c r="C100" s="1140"/>
      <c r="D100" s="1140"/>
      <c r="E100" s="1140"/>
      <c r="F100" s="1140"/>
      <c r="G100" s="1140"/>
      <c r="H100" s="1141"/>
      <c r="I100" s="1141"/>
      <c r="J100" s="1140"/>
    </row>
    <row r="101" spans="2:10">
      <c r="B101" s="1140"/>
      <c r="C101" s="1140"/>
      <c r="D101" s="1140"/>
      <c r="E101" s="1140"/>
      <c r="F101" s="1140"/>
      <c r="G101" s="1140"/>
      <c r="H101" s="1141"/>
      <c r="I101" s="1141"/>
      <c r="J101" s="1140"/>
    </row>
    <row r="102" spans="2:10">
      <c r="B102" s="1140"/>
      <c r="C102" s="1140"/>
      <c r="D102" s="1140"/>
      <c r="E102" s="1140"/>
      <c r="F102" s="1140"/>
      <c r="G102" s="1140"/>
      <c r="H102" s="1141"/>
      <c r="I102" s="1141"/>
      <c r="J102" s="1140"/>
    </row>
    <row r="103" spans="2:10">
      <c r="B103" s="1140"/>
      <c r="C103" s="1140"/>
      <c r="D103" s="1140"/>
      <c r="E103" s="1140"/>
      <c r="F103" s="1140"/>
      <c r="G103" s="1140"/>
      <c r="H103" s="1141"/>
      <c r="I103" s="1141"/>
      <c r="J103" s="1140"/>
    </row>
    <row r="104" spans="2:10">
      <c r="B104" s="1140"/>
      <c r="C104" s="1140"/>
      <c r="D104" s="1140"/>
      <c r="E104" s="1140"/>
      <c r="F104" s="1140"/>
      <c r="G104" s="1140"/>
      <c r="H104" s="1141"/>
      <c r="I104" s="1141"/>
      <c r="J104" s="1140"/>
    </row>
    <row r="105" spans="2:10">
      <c r="B105" s="1140"/>
      <c r="C105" s="1140"/>
      <c r="D105" s="1140"/>
      <c r="E105" s="1140"/>
      <c r="F105" s="1140"/>
      <c r="G105" s="1140"/>
      <c r="H105" s="1141"/>
      <c r="I105" s="1141"/>
      <c r="J105" s="1140"/>
    </row>
    <row r="106" spans="2:10">
      <c r="B106" s="1140"/>
      <c r="C106" s="1140"/>
      <c r="D106" s="1140"/>
      <c r="E106" s="1140"/>
      <c r="F106" s="1140"/>
      <c r="G106" s="1140"/>
      <c r="H106" s="1141"/>
      <c r="I106" s="1141"/>
      <c r="J106" s="1140"/>
    </row>
    <row r="107" spans="2:10">
      <c r="B107" s="1140"/>
      <c r="C107" s="1140"/>
      <c r="D107" s="1140"/>
      <c r="E107" s="1140"/>
      <c r="F107" s="1140"/>
      <c r="G107" s="1140"/>
      <c r="H107" s="1141"/>
      <c r="I107" s="1141"/>
      <c r="J107" s="1140"/>
    </row>
    <row r="108" spans="2:10">
      <c r="B108" s="1140"/>
      <c r="C108" s="1140"/>
      <c r="D108" s="1140"/>
      <c r="E108" s="1140"/>
      <c r="F108" s="1140"/>
      <c r="G108" s="1140"/>
      <c r="H108" s="1141"/>
      <c r="I108" s="1141"/>
      <c r="J108" s="1140"/>
    </row>
    <row r="109" spans="2:10">
      <c r="B109" s="1140"/>
      <c r="C109" s="1140"/>
      <c r="D109" s="1140"/>
      <c r="E109" s="1140"/>
      <c r="F109" s="1140"/>
      <c r="G109" s="1140"/>
      <c r="H109" s="1141"/>
      <c r="I109" s="1141"/>
      <c r="J109" s="1140"/>
    </row>
    <row r="110" spans="2:10">
      <c r="B110" s="1140"/>
      <c r="C110" s="1140"/>
      <c r="D110" s="1140"/>
      <c r="E110" s="1140"/>
      <c r="F110" s="1140"/>
      <c r="G110" s="1140"/>
      <c r="H110" s="1141"/>
      <c r="I110" s="1141"/>
      <c r="J110" s="1140"/>
    </row>
    <row r="111" spans="2:10">
      <c r="B111" s="1140"/>
      <c r="C111" s="1140"/>
      <c r="D111" s="1140"/>
      <c r="E111" s="1140"/>
      <c r="F111" s="1140"/>
      <c r="G111" s="1140"/>
      <c r="H111" s="1141"/>
      <c r="I111" s="1141"/>
      <c r="J111" s="1140"/>
    </row>
    <row r="112" spans="2:10">
      <c r="B112" s="1140"/>
      <c r="C112" s="1140"/>
      <c r="D112" s="1140"/>
      <c r="E112" s="1140"/>
      <c r="F112" s="1140"/>
      <c r="G112" s="1140"/>
      <c r="H112" s="1141"/>
      <c r="I112" s="1141"/>
      <c r="J112" s="1140"/>
    </row>
    <row r="113" spans="2:10">
      <c r="B113" s="1140"/>
      <c r="C113" s="1140"/>
      <c r="D113" s="1140"/>
      <c r="E113" s="1140"/>
      <c r="F113" s="1140"/>
      <c r="G113" s="1140"/>
      <c r="H113" s="1141"/>
      <c r="I113" s="1141"/>
      <c r="J113" s="1140"/>
    </row>
    <row r="114" spans="2:10">
      <c r="B114" s="1140"/>
      <c r="C114" s="1140"/>
      <c r="D114" s="1140"/>
      <c r="E114" s="1140"/>
      <c r="F114" s="1140"/>
      <c r="G114" s="1140"/>
      <c r="H114" s="1141"/>
      <c r="I114" s="1141"/>
      <c r="J114" s="1140"/>
    </row>
    <row r="115" spans="2:10">
      <c r="B115" s="1140"/>
      <c r="C115" s="1140"/>
      <c r="D115" s="1140"/>
      <c r="E115" s="1140"/>
      <c r="F115" s="1140"/>
      <c r="G115" s="1140"/>
      <c r="H115" s="1141"/>
      <c r="I115" s="1141"/>
      <c r="J115" s="1140"/>
    </row>
    <row r="116" spans="2:10">
      <c r="B116" s="1140"/>
      <c r="C116" s="1140"/>
      <c r="D116" s="1140"/>
      <c r="E116" s="1140"/>
      <c r="F116" s="1140"/>
      <c r="G116" s="1140"/>
      <c r="H116" s="1141"/>
      <c r="I116" s="1141"/>
      <c r="J116" s="1140"/>
    </row>
    <row r="117" spans="2:10">
      <c r="B117" s="1140"/>
      <c r="C117" s="1140"/>
      <c r="D117" s="1140"/>
      <c r="E117" s="1140"/>
      <c r="F117" s="1140"/>
      <c r="G117" s="1140"/>
      <c r="H117" s="1141"/>
      <c r="I117" s="1141"/>
      <c r="J117" s="1140"/>
    </row>
    <row r="118" spans="2:10">
      <c r="B118" s="1140"/>
      <c r="C118" s="1140"/>
      <c r="D118" s="1140"/>
      <c r="E118" s="1140"/>
      <c r="F118" s="1140"/>
      <c r="G118" s="1140"/>
      <c r="H118" s="1141"/>
      <c r="I118" s="1141"/>
      <c r="J118" s="1140"/>
    </row>
    <row r="119" spans="2:10">
      <c r="B119" s="1140"/>
      <c r="C119" s="1140"/>
      <c r="D119" s="1140"/>
      <c r="E119" s="1140"/>
      <c r="F119" s="1140"/>
      <c r="G119" s="1140"/>
      <c r="H119" s="1141"/>
      <c r="I119" s="1141"/>
      <c r="J119" s="1140"/>
    </row>
    <row r="120" spans="2:10">
      <c r="B120" s="1140"/>
      <c r="C120" s="1140"/>
      <c r="D120" s="1140"/>
      <c r="E120" s="1140"/>
      <c r="F120" s="1140"/>
      <c r="G120" s="1140"/>
      <c r="H120" s="1141"/>
      <c r="I120" s="1141"/>
      <c r="J120" s="1140"/>
    </row>
    <row r="121" spans="2:10">
      <c r="B121" s="1140"/>
      <c r="C121" s="1140"/>
      <c r="D121" s="1140"/>
      <c r="E121" s="1140"/>
      <c r="F121" s="1140"/>
      <c r="G121" s="1140"/>
      <c r="H121" s="1141"/>
      <c r="I121" s="1141"/>
      <c r="J121" s="1140"/>
    </row>
    <row r="122" spans="2:10">
      <c r="B122" s="1140"/>
      <c r="C122" s="1140"/>
      <c r="D122" s="1140"/>
      <c r="E122" s="1140"/>
      <c r="F122" s="1140"/>
      <c r="G122" s="1140"/>
      <c r="H122" s="1141"/>
      <c r="I122" s="1141"/>
      <c r="J122" s="1140"/>
    </row>
    <row r="123" spans="2:10">
      <c r="B123" s="1140"/>
      <c r="C123" s="1140"/>
      <c r="D123" s="1140"/>
      <c r="E123" s="1140"/>
      <c r="F123" s="1140"/>
      <c r="G123" s="1140"/>
      <c r="H123" s="1141"/>
      <c r="I123" s="1141"/>
      <c r="J123" s="1140"/>
    </row>
    <row r="124" spans="2:10">
      <c r="B124" s="1140"/>
      <c r="C124" s="1140"/>
      <c r="D124" s="1140"/>
      <c r="E124" s="1140"/>
      <c r="F124" s="1140"/>
      <c r="G124" s="1140"/>
      <c r="H124" s="1141"/>
      <c r="I124" s="1141"/>
      <c r="J124" s="1140"/>
    </row>
    <row r="125" spans="2:10">
      <c r="B125" s="1140"/>
      <c r="C125" s="1140"/>
      <c r="D125" s="1140"/>
      <c r="E125" s="1140"/>
      <c r="F125" s="1140"/>
      <c r="G125" s="1140"/>
      <c r="H125" s="1141"/>
      <c r="I125" s="1141"/>
      <c r="J125" s="1140"/>
    </row>
    <row r="126" spans="2:10">
      <c r="B126" s="1140"/>
      <c r="C126" s="1140"/>
      <c r="D126" s="1140"/>
      <c r="E126" s="1140"/>
      <c r="F126" s="1140"/>
      <c r="G126" s="1140"/>
      <c r="H126" s="1141"/>
      <c r="I126" s="1141"/>
      <c r="J126" s="1140"/>
    </row>
    <row r="127" spans="2:10">
      <c r="B127" s="1140"/>
      <c r="C127" s="1140"/>
      <c r="D127" s="1140"/>
      <c r="E127" s="1140"/>
      <c r="F127" s="1140"/>
      <c r="G127" s="1140"/>
      <c r="H127" s="1141"/>
      <c r="I127" s="1141"/>
      <c r="J127" s="1140"/>
    </row>
    <row r="128" spans="2:10">
      <c r="B128" s="1140"/>
      <c r="C128" s="1140"/>
      <c r="D128" s="1140"/>
      <c r="E128" s="1140"/>
      <c r="F128" s="1140"/>
      <c r="G128" s="1140"/>
      <c r="H128" s="1141"/>
      <c r="I128" s="1141"/>
      <c r="J128" s="1140"/>
    </row>
    <row r="129" spans="2:10">
      <c r="B129" s="1140"/>
      <c r="C129" s="1140"/>
      <c r="D129" s="1140"/>
      <c r="E129" s="1140"/>
      <c r="F129" s="1140"/>
      <c r="G129" s="1140"/>
      <c r="H129" s="1141"/>
      <c r="I129" s="1141"/>
      <c r="J129" s="1140"/>
    </row>
    <row r="130" spans="2:10">
      <c r="B130" s="1140"/>
      <c r="C130" s="1140"/>
      <c r="D130" s="1140"/>
      <c r="E130" s="1140"/>
      <c r="F130" s="1140"/>
      <c r="G130" s="1140"/>
      <c r="H130" s="1141"/>
      <c r="I130" s="1141"/>
      <c r="J130" s="1140"/>
    </row>
    <row r="131" spans="2:10">
      <c r="B131" s="1140"/>
      <c r="C131" s="1140"/>
      <c r="D131" s="1140"/>
      <c r="E131" s="1140"/>
      <c r="F131" s="1140"/>
      <c r="G131" s="1140"/>
      <c r="H131" s="1141"/>
      <c r="I131" s="1141"/>
      <c r="J131" s="1140"/>
    </row>
    <row r="132" spans="2:10">
      <c r="B132" s="1140"/>
      <c r="C132" s="1140"/>
      <c r="D132" s="1140"/>
      <c r="E132" s="1140"/>
      <c r="F132" s="1140"/>
      <c r="G132" s="1140"/>
      <c r="H132" s="1141"/>
      <c r="I132" s="1141"/>
      <c r="J132" s="1140"/>
    </row>
    <row r="133" spans="2:10">
      <c r="B133" s="1140"/>
      <c r="C133" s="1140"/>
      <c r="D133" s="1140"/>
      <c r="E133" s="1140"/>
      <c r="F133" s="1140"/>
      <c r="G133" s="1140"/>
      <c r="H133" s="1141"/>
      <c r="I133" s="1141"/>
      <c r="J133" s="1140"/>
    </row>
    <row r="134" spans="2:10">
      <c r="B134" s="1140"/>
      <c r="C134" s="1140"/>
      <c r="D134" s="1140"/>
      <c r="E134" s="1140"/>
      <c r="F134" s="1140"/>
      <c r="G134" s="1140"/>
      <c r="H134" s="1141"/>
      <c r="I134" s="1141"/>
      <c r="J134" s="1140"/>
    </row>
    <row r="135" spans="2:10">
      <c r="B135" s="1140"/>
      <c r="C135" s="1140"/>
      <c r="D135" s="1140"/>
      <c r="E135" s="1140"/>
      <c r="F135" s="1140"/>
      <c r="G135" s="1140"/>
      <c r="H135" s="1141"/>
      <c r="I135" s="1141"/>
      <c r="J135" s="1140"/>
    </row>
    <row r="136" spans="2:10">
      <c r="B136" s="1140"/>
      <c r="C136" s="1140"/>
      <c r="D136" s="1140"/>
      <c r="E136" s="1140"/>
      <c r="F136" s="1140"/>
      <c r="G136" s="1140"/>
      <c r="H136" s="1141"/>
      <c r="I136" s="1141"/>
      <c r="J136" s="1140"/>
    </row>
    <row r="137" spans="2:10">
      <c r="B137" s="1140"/>
      <c r="C137" s="1140"/>
      <c r="D137" s="1140"/>
      <c r="E137" s="1140"/>
      <c r="F137" s="1140"/>
      <c r="G137" s="1140"/>
      <c r="H137" s="1141"/>
      <c r="I137" s="1141"/>
      <c r="J137" s="1140"/>
    </row>
    <row r="138" spans="2:10">
      <c r="B138" s="1140"/>
      <c r="C138" s="1140"/>
      <c r="D138" s="1140"/>
      <c r="E138" s="1140"/>
      <c r="F138" s="1140"/>
      <c r="G138" s="1140"/>
      <c r="H138" s="1141"/>
      <c r="I138" s="1141"/>
      <c r="J138" s="1140"/>
    </row>
    <row r="139" spans="2:10">
      <c r="B139" s="1140"/>
      <c r="C139" s="1140"/>
      <c r="D139" s="1140"/>
      <c r="E139" s="1140"/>
      <c r="F139" s="1140"/>
      <c r="G139" s="1140"/>
      <c r="H139" s="1141"/>
      <c r="I139" s="1141"/>
      <c r="J139" s="1140"/>
    </row>
    <row r="140" spans="2:10">
      <c r="B140" s="1140"/>
      <c r="C140" s="1140"/>
      <c r="D140" s="1140"/>
      <c r="E140" s="1140"/>
      <c r="F140" s="1140"/>
      <c r="G140" s="1140"/>
      <c r="H140" s="1141"/>
      <c r="I140" s="1141"/>
      <c r="J140" s="1140"/>
    </row>
    <row r="141" spans="2:10">
      <c r="B141" s="1140"/>
      <c r="C141" s="1140"/>
      <c r="D141" s="1140"/>
      <c r="E141" s="1140"/>
      <c r="F141" s="1140"/>
      <c r="G141" s="1140"/>
      <c r="H141" s="1141"/>
      <c r="I141" s="1141"/>
      <c r="J141" s="1140"/>
    </row>
    <row r="142" spans="2:10">
      <c r="B142" s="1140"/>
      <c r="C142" s="1140"/>
      <c r="D142" s="1140"/>
      <c r="E142" s="1140"/>
      <c r="F142" s="1140"/>
      <c r="G142" s="1140"/>
      <c r="H142" s="1141"/>
      <c r="I142" s="1141"/>
      <c r="J142" s="1140"/>
    </row>
    <row r="143" spans="2:10">
      <c r="B143" s="1140"/>
      <c r="C143" s="1140"/>
      <c r="D143" s="1140"/>
      <c r="E143" s="1140"/>
      <c r="F143" s="1140"/>
      <c r="G143" s="1140"/>
      <c r="H143" s="1141"/>
      <c r="I143" s="1141"/>
      <c r="J143" s="1140"/>
    </row>
    <row r="144" spans="2:10">
      <c r="B144" s="1140"/>
      <c r="C144" s="1140"/>
      <c r="D144" s="1140"/>
      <c r="E144" s="1140"/>
      <c r="F144" s="1140"/>
      <c r="G144" s="1140"/>
      <c r="H144" s="1141"/>
      <c r="I144" s="1141"/>
      <c r="J144" s="1140"/>
    </row>
    <row r="145" spans="2:10">
      <c r="B145" s="1140"/>
      <c r="C145" s="1140"/>
      <c r="D145" s="1140"/>
      <c r="E145" s="1140"/>
      <c r="F145" s="1140"/>
      <c r="G145" s="1140"/>
      <c r="H145" s="1141"/>
      <c r="I145" s="1141"/>
      <c r="J145" s="1140"/>
    </row>
    <row r="146" spans="2:10">
      <c r="B146" s="1140"/>
      <c r="C146" s="1140"/>
      <c r="D146" s="1140"/>
      <c r="E146" s="1140"/>
      <c r="F146" s="1140"/>
      <c r="G146" s="1140"/>
      <c r="H146" s="1141"/>
      <c r="I146" s="1141"/>
      <c r="J146" s="1140"/>
    </row>
    <row r="147" spans="2:10">
      <c r="B147" s="1140"/>
      <c r="C147" s="1140"/>
      <c r="D147" s="1140"/>
      <c r="E147" s="1140"/>
      <c r="F147" s="1140"/>
      <c r="G147" s="1140"/>
      <c r="H147" s="1141"/>
      <c r="I147" s="1141"/>
      <c r="J147" s="1140"/>
    </row>
    <row r="148" spans="2:10">
      <c r="B148" s="1140"/>
      <c r="C148" s="1140"/>
      <c r="D148" s="1140"/>
      <c r="E148" s="1140"/>
      <c r="F148" s="1140"/>
      <c r="G148" s="1140"/>
      <c r="H148" s="1141"/>
      <c r="I148" s="1141"/>
      <c r="J148" s="1140"/>
    </row>
    <row r="149" spans="2:10">
      <c r="B149" s="1140"/>
      <c r="C149" s="1140"/>
      <c r="D149" s="1140"/>
      <c r="E149" s="1140"/>
      <c r="F149" s="1140"/>
      <c r="G149" s="1140"/>
      <c r="H149" s="1141"/>
      <c r="I149" s="1141"/>
      <c r="J149" s="1140"/>
    </row>
    <row r="150" spans="2:10">
      <c r="B150" s="1140"/>
      <c r="C150" s="1140"/>
      <c r="D150" s="1140"/>
      <c r="E150" s="1140"/>
      <c r="F150" s="1140"/>
      <c r="G150" s="1140"/>
      <c r="H150" s="1141"/>
      <c r="I150" s="1141"/>
      <c r="J150" s="1140"/>
    </row>
    <row r="151" spans="2:10">
      <c r="B151" s="1140"/>
      <c r="C151" s="1140"/>
      <c r="D151" s="1140"/>
      <c r="E151" s="1140"/>
      <c r="F151" s="1140"/>
      <c r="G151" s="1140"/>
      <c r="H151" s="1141"/>
      <c r="I151" s="1141"/>
      <c r="J151" s="1140"/>
    </row>
    <row r="152" spans="2:10">
      <c r="B152" s="1140"/>
      <c r="C152" s="1140"/>
      <c r="D152" s="1140"/>
      <c r="E152" s="1140"/>
      <c r="F152" s="1140"/>
      <c r="G152" s="1140"/>
      <c r="H152" s="1141"/>
      <c r="I152" s="1141"/>
      <c r="J152" s="1140"/>
    </row>
    <row r="153" spans="2:10">
      <c r="B153" s="1140"/>
      <c r="C153" s="1140"/>
      <c r="D153" s="1140"/>
      <c r="E153" s="1140"/>
      <c r="F153" s="1140"/>
      <c r="G153" s="1140"/>
      <c r="H153" s="1141"/>
      <c r="I153" s="1141"/>
      <c r="J153" s="1140"/>
    </row>
    <row r="154" spans="2:10">
      <c r="B154" s="1140"/>
      <c r="C154" s="1140"/>
      <c r="D154" s="1140"/>
      <c r="E154" s="1140"/>
      <c r="F154" s="1140"/>
      <c r="G154" s="1140"/>
      <c r="H154" s="1141"/>
      <c r="I154" s="1141"/>
      <c r="J154" s="1140"/>
    </row>
    <row r="155" spans="2:10">
      <c r="B155" s="1140"/>
      <c r="C155" s="1140"/>
      <c r="D155" s="1140"/>
      <c r="E155" s="1140"/>
      <c r="F155" s="1140"/>
      <c r="G155" s="1140"/>
      <c r="H155" s="1141"/>
      <c r="I155" s="1141"/>
      <c r="J155" s="1140"/>
    </row>
    <row r="156" spans="2:10">
      <c r="B156" s="1140"/>
      <c r="C156" s="1140"/>
      <c r="D156" s="1140"/>
      <c r="E156" s="1140"/>
      <c r="F156" s="1140"/>
      <c r="G156" s="1140"/>
      <c r="H156" s="1141"/>
      <c r="I156" s="1141"/>
      <c r="J156" s="1140"/>
    </row>
    <row r="157" spans="2:10">
      <c r="B157" s="1140"/>
      <c r="C157" s="1140"/>
      <c r="D157" s="1140"/>
      <c r="E157" s="1140"/>
      <c r="F157" s="1140"/>
      <c r="G157" s="1140"/>
      <c r="H157" s="1141"/>
      <c r="I157" s="1141"/>
      <c r="J157" s="1140"/>
    </row>
    <row r="158" spans="2:10">
      <c r="B158" s="1140"/>
      <c r="C158" s="1140"/>
      <c r="D158" s="1140"/>
      <c r="E158" s="1140"/>
      <c r="F158" s="1140"/>
      <c r="G158" s="1140"/>
      <c r="H158" s="1141"/>
      <c r="I158" s="1141"/>
      <c r="J158" s="1140"/>
    </row>
    <row r="159" spans="2:10">
      <c r="B159" s="1140"/>
      <c r="C159" s="1140"/>
      <c r="D159" s="1140"/>
      <c r="E159" s="1140"/>
      <c r="F159" s="1140"/>
      <c r="G159" s="1140"/>
      <c r="H159" s="1141"/>
      <c r="I159" s="1141"/>
      <c r="J159" s="1140"/>
    </row>
    <row r="160" spans="2:10">
      <c r="B160" s="1140"/>
      <c r="C160" s="1140"/>
      <c r="D160" s="1140"/>
      <c r="E160" s="1140"/>
      <c r="F160" s="1140"/>
      <c r="G160" s="1140"/>
      <c r="H160" s="1141"/>
      <c r="I160" s="1141"/>
      <c r="J160" s="1140"/>
    </row>
    <row r="161" spans="1:10">
      <c r="B161" s="1140"/>
      <c r="C161" s="1140"/>
      <c r="D161" s="1140"/>
      <c r="E161" s="1140"/>
      <c r="F161" s="1140"/>
      <c r="G161" s="1140"/>
      <c r="H161" s="1141"/>
      <c r="I161" s="1141"/>
      <c r="J161" s="1140"/>
    </row>
    <row r="162" spans="1:10">
      <c r="B162" s="1140"/>
      <c r="C162" s="1140"/>
      <c r="D162" s="1140"/>
      <c r="E162" s="1140"/>
      <c r="F162" s="1140"/>
      <c r="G162" s="1140"/>
      <c r="H162" s="1141"/>
      <c r="I162" s="1141"/>
      <c r="J162" s="1140"/>
    </row>
    <row r="163" spans="1:10">
      <c r="B163" s="1140"/>
      <c r="C163" s="1140"/>
      <c r="D163" s="1140"/>
      <c r="E163" s="1140"/>
      <c r="F163" s="1140"/>
      <c r="G163" s="1140"/>
      <c r="H163" s="1141"/>
      <c r="I163" s="1141"/>
      <c r="J163" s="1140"/>
    </row>
    <row r="164" spans="1:10">
      <c r="B164" s="1140"/>
      <c r="C164" s="1140"/>
      <c r="D164" s="1140"/>
      <c r="E164" s="1140"/>
      <c r="F164" s="1140"/>
      <c r="G164" s="1140"/>
      <c r="H164" s="1141"/>
      <c r="I164" s="1141"/>
      <c r="J164" s="1140"/>
    </row>
    <row r="165" spans="1:10">
      <c r="B165" s="1140"/>
      <c r="C165" s="1140"/>
      <c r="D165" s="1140"/>
      <c r="E165" s="1140"/>
      <c r="F165" s="1140"/>
      <c r="G165" s="1140"/>
      <c r="H165" s="1141"/>
      <c r="I165" s="1141"/>
      <c r="J165" s="1140"/>
    </row>
    <row r="166" spans="1:10">
      <c r="B166" s="1140"/>
      <c r="C166" s="1140"/>
      <c r="D166" s="1140"/>
      <c r="E166" s="1140"/>
      <c r="F166" s="1140"/>
      <c r="G166" s="1140"/>
      <c r="H166" s="1141"/>
      <c r="I166" s="1141"/>
      <c r="J166" s="1140"/>
    </row>
    <row r="167" spans="1:10">
      <c r="B167" s="1140"/>
      <c r="C167" s="1140"/>
      <c r="D167" s="1140"/>
      <c r="E167" s="1140"/>
      <c r="F167" s="1140"/>
      <c r="G167" s="1140"/>
      <c r="H167" s="1141"/>
      <c r="I167" s="1141"/>
      <c r="J167" s="1140"/>
    </row>
    <row r="168" spans="1:10">
      <c r="B168" s="1140"/>
      <c r="C168" s="1140"/>
      <c r="D168" s="1140"/>
      <c r="E168" s="1140"/>
      <c r="F168" s="1140"/>
      <c r="G168" s="1140"/>
      <c r="H168" s="1141"/>
      <c r="I168" s="1141"/>
      <c r="J168" s="1140"/>
    </row>
    <row r="169" spans="1:10">
      <c r="A169" s="1139"/>
      <c r="B169" s="1140"/>
      <c r="C169" s="1140"/>
      <c r="D169" s="1140"/>
      <c r="E169" s="1140"/>
      <c r="F169" s="1140"/>
      <c r="G169" s="1140"/>
      <c r="H169" s="1140"/>
      <c r="I169" s="1140"/>
      <c r="J169" s="1140"/>
    </row>
    <row r="170" spans="1:10">
      <c r="A170" s="1139"/>
      <c r="B170" s="1140"/>
      <c r="C170" s="1140"/>
      <c r="D170" s="1140"/>
      <c r="E170" s="1140"/>
      <c r="F170" s="1140"/>
      <c r="G170" s="1140"/>
      <c r="H170" s="1140"/>
      <c r="I170" s="1140"/>
      <c r="J170" s="1140"/>
    </row>
    <row r="171" spans="1:10">
      <c r="A171" s="1139"/>
      <c r="B171" s="1144"/>
      <c r="C171" s="1144"/>
      <c r="D171" s="1144"/>
      <c r="E171" s="1144"/>
      <c r="F171" s="1144"/>
      <c r="G171" s="1144"/>
      <c r="H171" s="1140"/>
      <c r="I171" s="1140"/>
      <c r="J171" s="1140"/>
    </row>
    <row r="172" spans="1:10">
      <c r="A172" s="1139"/>
      <c r="B172" s="1140"/>
      <c r="C172" s="1140"/>
      <c r="D172" s="1140"/>
      <c r="E172" s="1140"/>
      <c r="F172" s="1140"/>
      <c r="G172" s="1140"/>
      <c r="H172" s="1140"/>
      <c r="I172" s="1140"/>
      <c r="J172" s="1140"/>
    </row>
    <row r="173" spans="1:10">
      <c r="A173" s="1139"/>
      <c r="B173" s="1140"/>
      <c r="C173" s="1140"/>
      <c r="D173" s="1140"/>
      <c r="E173" s="1140"/>
      <c r="F173" s="1140"/>
      <c r="G173" s="1140"/>
      <c r="H173" s="1140"/>
      <c r="I173" s="1140"/>
      <c r="J173" s="1140"/>
    </row>
    <row r="174" spans="1:10">
      <c r="A174" s="1139"/>
      <c r="B174" s="1140"/>
      <c r="C174" s="1140"/>
      <c r="D174" s="1140"/>
      <c r="E174" s="1140"/>
      <c r="F174" s="1140"/>
      <c r="G174" s="1140"/>
      <c r="H174" s="1140"/>
      <c r="I174" s="1140"/>
      <c r="J174" s="1140"/>
    </row>
    <row r="175" spans="1:10">
      <c r="A175" s="1139"/>
      <c r="B175" s="1140"/>
      <c r="C175" s="1140"/>
      <c r="D175" s="1140"/>
      <c r="E175" s="1140"/>
      <c r="F175" s="1140"/>
      <c r="G175" s="1140"/>
      <c r="H175" s="1140"/>
      <c r="I175" s="1140"/>
      <c r="J175" s="1140"/>
    </row>
    <row r="176" spans="1:10">
      <c r="A176" s="1139"/>
      <c r="B176" s="1140"/>
      <c r="C176" s="1140"/>
      <c r="D176" s="1140"/>
      <c r="E176" s="1140"/>
      <c r="F176" s="1140"/>
      <c r="G176" s="1140"/>
      <c r="H176" s="1140"/>
      <c r="I176" s="1140"/>
      <c r="J176" s="1140"/>
    </row>
    <row r="177" spans="1:10">
      <c r="A177" s="1139"/>
      <c r="B177" s="1140"/>
      <c r="C177" s="1140"/>
      <c r="D177" s="1140"/>
      <c r="E177" s="1140"/>
      <c r="F177" s="1140"/>
      <c r="G177" s="1140"/>
      <c r="H177" s="1140"/>
      <c r="I177" s="1140"/>
      <c r="J177" s="1140"/>
    </row>
    <row r="178" spans="1:10">
      <c r="A178" s="1139"/>
      <c r="B178" s="1140"/>
      <c r="C178" s="1140"/>
      <c r="D178" s="1140"/>
      <c r="E178" s="1140"/>
      <c r="F178" s="1140"/>
      <c r="G178" s="1140"/>
      <c r="H178" s="1140"/>
      <c r="I178" s="1140"/>
      <c r="J178" s="1140"/>
    </row>
    <row r="179" spans="1:10">
      <c r="A179" s="1139"/>
      <c r="B179" s="1140"/>
      <c r="C179" s="1140"/>
      <c r="D179" s="1140"/>
      <c r="E179" s="1140"/>
      <c r="F179" s="1140"/>
      <c r="G179" s="1140"/>
      <c r="H179" s="1140"/>
      <c r="I179" s="1140"/>
      <c r="J179" s="1140"/>
    </row>
    <row r="180" spans="1:10">
      <c r="A180" s="1139"/>
      <c r="B180" s="1140"/>
      <c r="C180" s="1140"/>
      <c r="D180" s="1140"/>
      <c r="E180" s="1140"/>
      <c r="F180" s="1140"/>
      <c r="G180" s="1140"/>
      <c r="H180" s="1140"/>
      <c r="I180" s="1140"/>
      <c r="J180" s="1140"/>
    </row>
    <row r="181" spans="1:10">
      <c r="A181" s="1139"/>
      <c r="B181" s="1140"/>
      <c r="C181" s="1140"/>
      <c r="D181" s="1140"/>
      <c r="E181" s="1140"/>
      <c r="F181" s="1140"/>
      <c r="G181" s="1140"/>
      <c r="H181" s="1140"/>
      <c r="I181" s="1140"/>
      <c r="J181" s="1140"/>
    </row>
    <row r="182" spans="1:10">
      <c r="A182" s="1139"/>
      <c r="B182" s="1140"/>
      <c r="C182" s="1140"/>
      <c r="D182" s="1140"/>
      <c r="E182" s="1140"/>
      <c r="F182" s="1140"/>
      <c r="G182" s="1140"/>
      <c r="H182" s="1140"/>
      <c r="I182" s="1140"/>
      <c r="J182" s="1140"/>
    </row>
    <row r="183" spans="1:10">
      <c r="A183" s="1139"/>
      <c r="B183" s="1140"/>
      <c r="C183" s="1140"/>
      <c r="D183" s="1140"/>
      <c r="E183" s="1140"/>
      <c r="F183" s="1140"/>
      <c r="G183" s="1140"/>
      <c r="H183" s="1140"/>
      <c r="I183" s="1140"/>
      <c r="J183" s="1140"/>
    </row>
    <row r="184" spans="1:10">
      <c r="A184" s="1139"/>
      <c r="B184" s="1140"/>
      <c r="C184" s="1140"/>
      <c r="D184" s="1140"/>
      <c r="E184" s="1140"/>
      <c r="F184" s="1140"/>
      <c r="G184" s="1140"/>
      <c r="H184" s="1140"/>
      <c r="I184" s="1140"/>
      <c r="J184" s="1140"/>
    </row>
    <row r="185" spans="1:10">
      <c r="A185" s="1139"/>
      <c r="B185" s="1140"/>
      <c r="C185" s="1140"/>
      <c r="D185" s="1140"/>
      <c r="E185" s="1140"/>
      <c r="F185" s="1140"/>
      <c r="G185" s="1140"/>
      <c r="H185" s="1140"/>
      <c r="I185" s="1140"/>
      <c r="J185" s="1140"/>
    </row>
    <row r="186" spans="1:10">
      <c r="A186" s="1139"/>
      <c r="B186" s="1140"/>
      <c r="C186" s="1140"/>
      <c r="D186" s="1140"/>
      <c r="E186" s="1140"/>
      <c r="F186" s="1140"/>
      <c r="G186" s="1140"/>
      <c r="H186" s="1140"/>
      <c r="I186" s="1140"/>
      <c r="J186" s="1140"/>
    </row>
    <row r="187" spans="1:10">
      <c r="A187" s="1139"/>
      <c r="B187" s="1140"/>
      <c r="C187" s="1140"/>
      <c r="D187" s="1140"/>
      <c r="E187" s="1140"/>
      <c r="F187" s="1140"/>
      <c r="G187" s="1140"/>
      <c r="H187" s="1140"/>
      <c r="I187" s="1140"/>
      <c r="J187" s="1140"/>
    </row>
    <row r="188" spans="1:10">
      <c r="A188" s="1139"/>
      <c r="B188" s="1140"/>
      <c r="C188" s="1140"/>
      <c r="D188" s="1140"/>
      <c r="E188" s="1140"/>
      <c r="F188" s="1140"/>
      <c r="G188" s="1140"/>
      <c r="H188" s="1140"/>
      <c r="I188" s="1140"/>
      <c r="J188" s="1140"/>
    </row>
    <row r="189" spans="1:10">
      <c r="A189" s="1139"/>
      <c r="B189" s="1140"/>
      <c r="C189" s="1140"/>
      <c r="D189" s="1140"/>
      <c r="E189" s="1140"/>
      <c r="F189" s="1140"/>
      <c r="G189" s="1140"/>
      <c r="H189" s="1140"/>
      <c r="I189" s="1140"/>
      <c r="J189" s="1140"/>
    </row>
    <row r="190" spans="1:10">
      <c r="A190" s="1139"/>
      <c r="B190" s="1140"/>
      <c r="C190" s="1140"/>
      <c r="D190" s="1140"/>
      <c r="E190" s="1140"/>
      <c r="F190" s="1140"/>
      <c r="G190" s="1140"/>
      <c r="H190" s="1140"/>
      <c r="I190" s="1140"/>
      <c r="J190" s="1140"/>
    </row>
    <row r="191" spans="1:10">
      <c r="A191" s="1139"/>
      <c r="B191" s="1140"/>
      <c r="C191" s="1140"/>
      <c r="D191" s="1140"/>
      <c r="E191" s="1140"/>
      <c r="F191" s="1140"/>
      <c r="G191" s="1140"/>
      <c r="H191" s="1140"/>
      <c r="I191" s="1140"/>
      <c r="J191" s="1140"/>
    </row>
    <row r="192" spans="1:10">
      <c r="A192" s="1139"/>
      <c r="B192" s="1140"/>
      <c r="C192" s="1140"/>
      <c r="D192" s="1140"/>
      <c r="E192" s="1140"/>
      <c r="F192" s="1140"/>
      <c r="G192" s="1140"/>
      <c r="H192" s="1140"/>
      <c r="I192" s="1140"/>
      <c r="J192" s="1140"/>
    </row>
    <row r="193" spans="1:10">
      <c r="A193" s="1139"/>
      <c r="B193" s="1140"/>
      <c r="C193" s="1140"/>
      <c r="D193" s="1140"/>
      <c r="E193" s="1140"/>
      <c r="F193" s="1140"/>
      <c r="G193" s="1140"/>
      <c r="H193" s="1140"/>
      <c r="I193" s="1140"/>
      <c r="J193" s="1140"/>
    </row>
    <row r="194" spans="1:10">
      <c r="A194" s="1139"/>
      <c r="B194" s="1140"/>
      <c r="C194" s="1140"/>
      <c r="D194" s="1140"/>
      <c r="E194" s="1140"/>
      <c r="F194" s="1140"/>
      <c r="G194" s="1140"/>
      <c r="H194" s="1140"/>
      <c r="I194" s="1140"/>
      <c r="J194" s="1140"/>
    </row>
    <row r="195" spans="1:10">
      <c r="A195" s="1139"/>
      <c r="B195" s="1140"/>
      <c r="C195" s="1140"/>
      <c r="D195" s="1140"/>
      <c r="E195" s="1140"/>
      <c r="F195" s="1140"/>
      <c r="G195" s="1140"/>
      <c r="H195" s="1140"/>
      <c r="I195" s="1140"/>
      <c r="J195" s="1140"/>
    </row>
    <row r="196" spans="1:10">
      <c r="A196" s="1139"/>
      <c r="B196" s="1140"/>
      <c r="C196" s="1140"/>
      <c r="D196" s="1140"/>
      <c r="E196" s="1140"/>
      <c r="F196" s="1140"/>
      <c r="G196" s="1140"/>
      <c r="H196" s="1140"/>
      <c r="I196" s="1140"/>
      <c r="J196" s="1140"/>
    </row>
    <row r="197" spans="1:10">
      <c r="A197" s="1139"/>
      <c r="B197" s="1140"/>
      <c r="C197" s="1140"/>
      <c r="D197" s="1140"/>
      <c r="E197" s="1140"/>
      <c r="F197" s="1140"/>
      <c r="G197" s="1140"/>
      <c r="H197" s="1140"/>
      <c r="I197" s="1140"/>
      <c r="J197" s="1140"/>
    </row>
    <row r="198" spans="1:10">
      <c r="A198" s="1145"/>
      <c r="B198" s="1146"/>
      <c r="C198" s="1146"/>
      <c r="D198" s="1146"/>
      <c r="E198" s="1146"/>
      <c r="F198" s="1146"/>
      <c r="G198" s="1146"/>
      <c r="H198" s="1146"/>
      <c r="I198" s="1146"/>
      <c r="J198" s="1146"/>
    </row>
    <row r="199" spans="1:10">
      <c r="A199" s="1139"/>
      <c r="B199" s="1140"/>
      <c r="C199" s="1140"/>
      <c r="D199" s="1140"/>
      <c r="E199" s="1140"/>
      <c r="F199" s="1140"/>
      <c r="G199" s="1140"/>
      <c r="H199" s="1140"/>
      <c r="I199" s="1140"/>
      <c r="J199" s="1140"/>
    </row>
  </sheetData>
  <mergeCells count="1">
    <mergeCell ref="A1:G1"/>
  </mergeCells>
  <printOptions horizontalCentered="1"/>
  <pageMargins left="0.5" right="0.5" top="1" bottom="0.5" header="0.5" footer="0.5"/>
  <pageSetup scale="56" fitToHeight="2" orientation="portrait" r:id="rId1"/>
  <headerFooter alignWithMargins="0"/>
  <rowBreaks count="2" manualBreakCount="2">
    <brk id="42" max="16383" man="1"/>
    <brk id="9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0"/>
  <sheetViews>
    <sheetView zoomScaleNormal="100" workbookViewId="0"/>
  </sheetViews>
  <sheetFormatPr defaultRowHeight="12.75"/>
  <cols>
    <col min="1" max="1" width="4.140625" style="368" customWidth="1"/>
    <col min="2" max="2" width="4.7109375" style="368" customWidth="1"/>
    <col min="3" max="3" width="7.140625" style="368" customWidth="1"/>
    <col min="4" max="4" width="13" style="366" customWidth="1"/>
    <col min="5" max="5" width="14.140625" style="366" customWidth="1"/>
    <col min="6" max="6" width="17.42578125" style="366" customWidth="1"/>
    <col min="7" max="7" width="15.140625" style="366" customWidth="1"/>
    <col min="8" max="8" width="12.42578125" style="366" customWidth="1"/>
    <col min="9" max="9" width="12.28515625" style="366" customWidth="1"/>
    <col min="10" max="10" width="15.5703125" style="366" customWidth="1"/>
    <col min="11" max="11" width="15.42578125" style="366" customWidth="1"/>
    <col min="12" max="12" width="15.85546875" style="366" customWidth="1"/>
    <col min="13" max="13" width="11.85546875" style="366" customWidth="1"/>
    <col min="14" max="14" width="13.42578125" style="366" customWidth="1"/>
    <col min="15" max="15" width="14.5703125" style="366" bestFit="1" customWidth="1"/>
    <col min="16" max="16" width="12.140625" style="366" bestFit="1" customWidth="1"/>
    <col min="17" max="17" width="12" style="366" bestFit="1" customWidth="1"/>
    <col min="18" max="18" width="9.7109375" style="366" bestFit="1" customWidth="1"/>
    <col min="19" max="16384" width="9.140625" style="366"/>
  </cols>
  <sheetData>
    <row r="1" spans="1:29" ht="18">
      <c r="A1" s="1223" t="str">
        <f>'ATT H-9A'!A4</f>
        <v>Potomac Electric Power Company</v>
      </c>
      <c r="B1" s="1224"/>
      <c r="C1" s="1224"/>
      <c r="D1" s="1224"/>
      <c r="E1" s="1224"/>
      <c r="F1" s="1224"/>
      <c r="G1" s="1224"/>
      <c r="H1" s="1224"/>
      <c r="I1" s="1224"/>
      <c r="J1" s="1224"/>
    </row>
    <row r="2" spans="1:29">
      <c r="A2" s="367"/>
    </row>
    <row r="3" spans="1:29" ht="18">
      <c r="A3" s="1225" t="s">
        <v>260</v>
      </c>
      <c r="B3" s="1225"/>
      <c r="C3" s="1225"/>
      <c r="D3" s="1225"/>
      <c r="E3" s="1225"/>
      <c r="F3" s="1225"/>
      <c r="G3" s="1225"/>
      <c r="H3" s="1225"/>
      <c r="I3" s="1226"/>
      <c r="J3" s="1226"/>
    </row>
    <row r="4" spans="1:29">
      <c r="K4" s="369"/>
      <c r="L4" s="370"/>
    </row>
    <row r="5" spans="1:29" ht="16.5">
      <c r="J5" s="371"/>
      <c r="K5" s="369"/>
      <c r="L5" s="370"/>
    </row>
    <row r="6" spans="1:29" ht="13.5">
      <c r="A6" s="372" t="s">
        <v>261</v>
      </c>
      <c r="B6" s="372" t="s">
        <v>262</v>
      </c>
      <c r="C6" s="372" t="s">
        <v>263</v>
      </c>
      <c r="D6" s="372" t="s">
        <v>264</v>
      </c>
      <c r="E6" s="373"/>
      <c r="F6" s="373"/>
      <c r="G6" s="373"/>
      <c r="H6" s="373"/>
      <c r="I6" s="373"/>
      <c r="J6" s="374"/>
      <c r="K6" s="369"/>
      <c r="L6" s="370"/>
      <c r="M6" s="373"/>
      <c r="N6" s="373"/>
      <c r="O6" s="373"/>
      <c r="P6" s="373"/>
      <c r="Q6" s="373"/>
      <c r="R6" s="373"/>
      <c r="S6" s="373"/>
      <c r="T6" s="373"/>
      <c r="U6" s="373"/>
      <c r="V6" s="373"/>
      <c r="W6" s="373"/>
      <c r="X6" s="373"/>
      <c r="Y6" s="373"/>
      <c r="Z6" s="373"/>
      <c r="AA6" s="373"/>
      <c r="AB6" s="373"/>
      <c r="AC6" s="375"/>
    </row>
    <row r="7" spans="1:29" ht="13.5">
      <c r="B7" s="372"/>
      <c r="C7" s="372"/>
      <c r="D7" s="373"/>
      <c r="E7" s="373"/>
      <c r="F7" s="373"/>
      <c r="G7" s="373"/>
      <c r="H7" s="373"/>
      <c r="I7" s="373"/>
      <c r="J7" s="374"/>
      <c r="K7" s="369"/>
      <c r="L7" s="373"/>
      <c r="M7" s="373"/>
      <c r="N7" s="373"/>
      <c r="O7" s="373"/>
      <c r="P7" s="373"/>
      <c r="Q7" s="373"/>
      <c r="R7" s="373"/>
      <c r="S7" s="373"/>
      <c r="T7" s="373"/>
      <c r="U7" s="373"/>
      <c r="V7" s="373"/>
      <c r="W7" s="373"/>
      <c r="X7" s="373"/>
      <c r="Y7" s="373"/>
      <c r="Z7" s="373"/>
      <c r="AA7" s="373"/>
      <c r="AB7" s="373"/>
      <c r="AC7" s="375"/>
    </row>
    <row r="8" spans="1:29" ht="13.5">
      <c r="A8" s="376" t="s">
        <v>265</v>
      </c>
      <c r="B8" s="372"/>
      <c r="C8" s="372"/>
      <c r="D8" s="373"/>
      <c r="E8" s="373"/>
      <c r="F8" s="373"/>
      <c r="G8" s="373"/>
      <c r="H8" s="373"/>
      <c r="I8" s="373"/>
      <c r="J8" s="374"/>
      <c r="K8" s="369"/>
      <c r="L8" s="373"/>
      <c r="M8" s="373"/>
      <c r="N8" s="373"/>
      <c r="O8" s="373"/>
      <c r="P8" s="373"/>
      <c r="Q8" s="373"/>
      <c r="R8" s="373"/>
      <c r="S8" s="373"/>
      <c r="T8" s="373"/>
      <c r="U8" s="373"/>
      <c r="V8" s="373"/>
      <c r="W8" s="373"/>
      <c r="X8" s="373"/>
      <c r="Y8" s="373"/>
      <c r="Z8" s="373"/>
      <c r="AA8" s="373"/>
      <c r="AB8" s="373"/>
      <c r="AC8" s="375"/>
    </row>
    <row r="9" spans="1:29" ht="13.5">
      <c r="A9" s="372">
        <v>1</v>
      </c>
      <c r="B9" s="372" t="s">
        <v>266</v>
      </c>
      <c r="C9" s="377" t="s">
        <v>267</v>
      </c>
      <c r="D9" s="378" t="s">
        <v>268</v>
      </c>
      <c r="E9" s="373"/>
      <c r="F9" s="373"/>
      <c r="G9" s="373"/>
      <c r="H9" s="373"/>
      <c r="I9" s="373"/>
      <c r="J9" s="373"/>
      <c r="K9" s="373"/>
      <c r="L9" s="373"/>
      <c r="M9" s="373"/>
      <c r="N9" s="373"/>
      <c r="O9" s="373"/>
      <c r="P9" s="373"/>
      <c r="Q9" s="373"/>
      <c r="R9" s="373"/>
      <c r="S9" s="373"/>
      <c r="T9" s="373"/>
      <c r="U9" s="373"/>
      <c r="V9" s="373"/>
      <c r="W9" s="373"/>
      <c r="X9" s="373"/>
      <c r="Y9" s="373"/>
      <c r="Z9" s="373"/>
      <c r="AA9" s="373"/>
      <c r="AB9" s="373"/>
      <c r="AC9" s="375"/>
    </row>
    <row r="10" spans="1:29" ht="13.5">
      <c r="A10" s="372">
        <v>2</v>
      </c>
      <c r="B10" s="372" t="str">
        <f>+B9</f>
        <v>April</v>
      </c>
      <c r="C10" s="377" t="str">
        <f>+C9</f>
        <v>Year 2</v>
      </c>
      <c r="D10" s="378" t="s">
        <v>269</v>
      </c>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5"/>
    </row>
    <row r="11" spans="1:29" ht="13.5">
      <c r="A11" s="372">
        <v>3</v>
      </c>
      <c r="B11" s="372" t="s">
        <v>266</v>
      </c>
      <c r="C11" s="377" t="str">
        <f>+C10</f>
        <v>Year 2</v>
      </c>
      <c r="D11" s="378" t="s">
        <v>270</v>
      </c>
      <c r="E11" s="373"/>
      <c r="F11" s="373"/>
      <c r="G11" s="373"/>
      <c r="H11" s="373"/>
      <c r="I11" s="373"/>
      <c r="J11" s="373"/>
      <c r="K11" s="373"/>
      <c r="L11" s="373"/>
      <c r="M11" s="373"/>
      <c r="N11" s="373"/>
      <c r="O11" s="373"/>
      <c r="P11" s="373"/>
      <c r="Q11" s="373"/>
      <c r="R11" s="373"/>
      <c r="S11" s="373"/>
      <c r="T11" s="373"/>
      <c r="U11" s="373"/>
      <c r="V11" s="373"/>
      <c r="W11" s="373"/>
      <c r="X11" s="373"/>
      <c r="Y11" s="373"/>
      <c r="Z11" s="373"/>
      <c r="AA11" s="373"/>
      <c r="AB11" s="373"/>
      <c r="AC11" s="375"/>
    </row>
    <row r="12" spans="1:29" ht="13.5">
      <c r="A12" s="372">
        <v>4</v>
      </c>
      <c r="B12" s="372" t="s">
        <v>271</v>
      </c>
      <c r="C12" s="377" t="str">
        <f>+C11</f>
        <v>Year 2</v>
      </c>
      <c r="D12" s="378" t="s">
        <v>272</v>
      </c>
      <c r="E12" s="373"/>
      <c r="F12" s="373"/>
      <c r="G12" s="373"/>
      <c r="H12" s="373"/>
      <c r="I12" s="373"/>
      <c r="J12" s="373"/>
      <c r="K12" s="373"/>
      <c r="L12" s="373"/>
      <c r="M12" s="373"/>
      <c r="N12" s="373"/>
      <c r="O12" s="373"/>
      <c r="P12" s="373"/>
      <c r="Q12" s="373"/>
      <c r="R12" s="373"/>
      <c r="S12" s="373"/>
      <c r="T12" s="373"/>
      <c r="U12" s="373"/>
      <c r="V12" s="373"/>
      <c r="W12" s="373"/>
      <c r="X12" s="373"/>
      <c r="Y12" s="373"/>
      <c r="Z12" s="373"/>
      <c r="AA12" s="373"/>
      <c r="AB12" s="373"/>
      <c r="AC12" s="375"/>
    </row>
    <row r="13" spans="1:29" ht="13.5">
      <c r="A13" s="372">
        <v>5</v>
      </c>
      <c r="B13" s="379" t="s">
        <v>273</v>
      </c>
      <c r="C13" s="377" t="str">
        <f>+C12</f>
        <v>Year 2</v>
      </c>
      <c r="D13" s="378" t="s">
        <v>274</v>
      </c>
      <c r="E13" s="373"/>
      <c r="F13" s="373"/>
      <c r="G13" s="373"/>
      <c r="H13" s="373"/>
      <c r="I13" s="373"/>
      <c r="J13" s="373"/>
      <c r="K13" s="373"/>
      <c r="L13" s="373"/>
      <c r="M13" s="373"/>
      <c r="N13" s="373"/>
      <c r="O13" s="373"/>
      <c r="P13" s="373"/>
      <c r="Q13" s="373"/>
      <c r="R13" s="373"/>
      <c r="S13" s="373"/>
      <c r="T13" s="373"/>
      <c r="U13" s="373"/>
      <c r="V13" s="373"/>
      <c r="W13" s="373"/>
      <c r="X13" s="373"/>
      <c r="Y13" s="373"/>
      <c r="Z13" s="373"/>
      <c r="AA13" s="373"/>
      <c r="AB13" s="373"/>
      <c r="AC13" s="375"/>
    </row>
    <row r="14" spans="1:29" ht="13.5">
      <c r="A14" s="372"/>
      <c r="B14" s="372"/>
      <c r="C14" s="377"/>
      <c r="D14" s="378"/>
      <c r="E14" s="373"/>
      <c r="F14" s="373"/>
      <c r="G14" s="373"/>
      <c r="H14" s="373"/>
      <c r="I14" s="373"/>
      <c r="J14" s="373"/>
      <c r="K14" s="373"/>
      <c r="L14" s="373"/>
      <c r="M14" s="373"/>
      <c r="N14" s="373"/>
      <c r="O14" s="373"/>
      <c r="P14" s="373"/>
      <c r="Q14" s="373"/>
      <c r="R14" s="373"/>
      <c r="S14" s="373"/>
      <c r="T14" s="373"/>
      <c r="U14" s="373"/>
      <c r="V14" s="373"/>
      <c r="W14" s="373"/>
      <c r="X14" s="373"/>
      <c r="Y14" s="373"/>
      <c r="Z14" s="373"/>
      <c r="AA14" s="373"/>
      <c r="AB14" s="373"/>
      <c r="AC14" s="375"/>
    </row>
    <row r="15" spans="1:29" ht="13.5">
      <c r="A15" s="372">
        <v>6</v>
      </c>
      <c r="B15" s="372" t="str">
        <f>+B9</f>
        <v>April</v>
      </c>
      <c r="C15" s="377" t="s">
        <v>275</v>
      </c>
      <c r="D15" s="378" t="s">
        <v>276</v>
      </c>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5"/>
    </row>
    <row r="16" spans="1:29" ht="13.5">
      <c r="A16" s="372">
        <v>7</v>
      </c>
      <c r="B16" s="372" t="str">
        <f>+B18</f>
        <v>April</v>
      </c>
      <c r="C16" s="377" t="str">
        <f>+C18</f>
        <v>Year 3</v>
      </c>
      <c r="D16" s="378" t="s">
        <v>277</v>
      </c>
      <c r="E16" s="380"/>
      <c r="F16" s="380"/>
      <c r="G16" s="380"/>
      <c r="H16" s="380"/>
      <c r="I16" s="380"/>
      <c r="J16" s="380"/>
      <c r="K16" s="373"/>
      <c r="L16" s="373"/>
      <c r="M16" s="373"/>
      <c r="N16" s="373"/>
      <c r="O16" s="373"/>
      <c r="P16" s="373"/>
      <c r="Q16" s="373"/>
      <c r="R16" s="373"/>
      <c r="S16" s="373"/>
      <c r="T16" s="373"/>
      <c r="U16" s="373"/>
      <c r="V16" s="373"/>
      <c r="W16" s="373"/>
      <c r="X16" s="373"/>
      <c r="Y16" s="373"/>
      <c r="Z16" s="373"/>
      <c r="AA16" s="373"/>
      <c r="AB16" s="373"/>
      <c r="AC16" s="375"/>
    </row>
    <row r="17" spans="1:29" ht="13.5">
      <c r="A17" s="372"/>
      <c r="B17" s="372"/>
      <c r="C17" s="377"/>
      <c r="D17" s="378" t="s">
        <v>278</v>
      </c>
      <c r="E17" s="380"/>
      <c r="F17" s="380"/>
      <c r="G17" s="380"/>
      <c r="H17" s="380"/>
      <c r="I17" s="380"/>
      <c r="J17" s="380"/>
      <c r="K17" s="373"/>
      <c r="L17" s="373"/>
      <c r="M17" s="373"/>
      <c r="N17" s="373"/>
      <c r="O17" s="373"/>
      <c r="P17" s="373"/>
      <c r="Q17" s="373"/>
      <c r="R17" s="373"/>
      <c r="S17" s="373"/>
      <c r="T17" s="373"/>
      <c r="U17" s="373"/>
      <c r="V17" s="373"/>
      <c r="W17" s="373"/>
      <c r="X17" s="373"/>
      <c r="Y17" s="373"/>
      <c r="Z17" s="373"/>
      <c r="AA17" s="373"/>
      <c r="AB17" s="373"/>
      <c r="AC17" s="375"/>
    </row>
    <row r="18" spans="1:29" ht="13.5">
      <c r="A18" s="372">
        <v>8</v>
      </c>
      <c r="B18" s="372" t="str">
        <f>+B15</f>
        <v>April</v>
      </c>
      <c r="C18" s="377" t="str">
        <f>+C15</f>
        <v>Year 3</v>
      </c>
      <c r="D18" s="378" t="s">
        <v>279</v>
      </c>
      <c r="E18" s="373"/>
      <c r="F18" s="373"/>
      <c r="G18" s="373"/>
      <c r="H18" s="373"/>
      <c r="I18" s="373"/>
      <c r="J18" s="373"/>
      <c r="K18" s="373"/>
      <c r="L18" s="373"/>
      <c r="M18" s="373"/>
      <c r="N18" s="373"/>
      <c r="O18" s="373"/>
      <c r="P18" s="373"/>
      <c r="Q18" s="373"/>
      <c r="R18" s="373"/>
      <c r="S18" s="373"/>
      <c r="T18" s="373"/>
      <c r="U18" s="373"/>
      <c r="V18" s="373"/>
      <c r="W18" s="373"/>
      <c r="X18" s="373"/>
      <c r="Y18" s="373"/>
      <c r="Z18" s="373"/>
      <c r="AA18" s="373"/>
      <c r="AB18" s="373"/>
      <c r="AC18" s="375"/>
    </row>
    <row r="19" spans="1:29" ht="13.5">
      <c r="A19" s="372">
        <v>9</v>
      </c>
      <c r="B19" s="372" t="str">
        <f>+B16</f>
        <v>April</v>
      </c>
      <c r="C19" s="377" t="str">
        <f>+C16</f>
        <v>Year 3</v>
      </c>
      <c r="D19" s="378" t="s">
        <v>280</v>
      </c>
      <c r="E19" s="373"/>
      <c r="F19" s="373"/>
      <c r="G19" s="373"/>
      <c r="H19" s="373"/>
      <c r="I19" s="373"/>
      <c r="J19" s="373"/>
      <c r="K19" s="373"/>
      <c r="L19" s="373"/>
      <c r="M19" s="373"/>
      <c r="N19" s="373"/>
      <c r="O19" s="373"/>
      <c r="P19" s="373"/>
      <c r="Q19" s="373"/>
      <c r="R19" s="373"/>
      <c r="S19" s="373"/>
      <c r="T19" s="373"/>
      <c r="U19" s="373"/>
      <c r="V19" s="373"/>
      <c r="W19" s="373"/>
      <c r="X19" s="373"/>
      <c r="Y19" s="373"/>
      <c r="Z19" s="373"/>
      <c r="AA19" s="373"/>
      <c r="AB19" s="373"/>
      <c r="AC19" s="375"/>
    </row>
    <row r="20" spans="1:29" ht="13.5">
      <c r="A20" s="372">
        <v>10</v>
      </c>
      <c r="B20" s="372" t="str">
        <f>+B12</f>
        <v>May</v>
      </c>
      <c r="C20" s="377" t="str">
        <f>+C19</f>
        <v>Year 3</v>
      </c>
      <c r="D20" s="378" t="s">
        <v>281</v>
      </c>
      <c r="E20" s="373"/>
      <c r="F20" s="373"/>
      <c r="G20" s="373"/>
      <c r="H20" s="373"/>
      <c r="I20" s="373"/>
      <c r="J20" s="373"/>
      <c r="K20" s="373"/>
      <c r="L20" s="373"/>
      <c r="M20" s="373"/>
      <c r="N20" s="373"/>
      <c r="O20" s="373"/>
      <c r="P20" s="373"/>
      <c r="Q20" s="373"/>
      <c r="R20" s="373"/>
      <c r="S20" s="373"/>
      <c r="T20" s="373"/>
      <c r="U20" s="373"/>
      <c r="V20" s="373"/>
      <c r="W20" s="373"/>
      <c r="X20" s="373"/>
      <c r="Y20" s="373"/>
      <c r="Z20" s="373"/>
      <c r="AA20" s="373"/>
      <c r="AB20" s="373"/>
      <c r="AC20" s="375"/>
    </row>
    <row r="21" spans="1:29" ht="13.5">
      <c r="A21" s="372">
        <v>11</v>
      </c>
      <c r="B21" s="379" t="str">
        <f>+B13</f>
        <v>June</v>
      </c>
      <c r="C21" s="377" t="str">
        <f>+C20</f>
        <v>Year 3</v>
      </c>
      <c r="D21" s="378" t="s">
        <v>282</v>
      </c>
      <c r="E21" s="373"/>
      <c r="F21" s="373"/>
      <c r="G21" s="373"/>
      <c r="H21" s="373"/>
      <c r="I21" s="373"/>
      <c r="J21" s="373"/>
      <c r="K21" s="373"/>
      <c r="L21" s="373"/>
      <c r="M21" s="373"/>
      <c r="N21" s="373"/>
      <c r="O21" s="373"/>
      <c r="P21" s="373"/>
      <c r="Q21" s="373"/>
      <c r="R21" s="373"/>
      <c r="S21" s="373"/>
      <c r="T21" s="373"/>
      <c r="U21" s="373"/>
      <c r="V21" s="373"/>
      <c r="W21" s="373"/>
      <c r="X21" s="373"/>
      <c r="Y21" s="373"/>
      <c r="Z21" s="373"/>
      <c r="AA21" s="373"/>
      <c r="AB21" s="373"/>
      <c r="AC21" s="375"/>
    </row>
    <row r="22" spans="1:29" ht="13.5">
      <c r="A22" s="372"/>
      <c r="B22" s="379"/>
      <c r="C22" s="372"/>
      <c r="D22" s="378"/>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5"/>
    </row>
    <row r="23" spans="1:29" ht="13.5">
      <c r="A23" s="381"/>
      <c r="B23" s="377"/>
      <c r="C23" s="372"/>
      <c r="D23" s="382"/>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B23" s="373"/>
      <c r="AC23" s="375"/>
    </row>
    <row r="24" spans="1:29" ht="13.5">
      <c r="A24" s="372">
        <f>+A9</f>
        <v>1</v>
      </c>
      <c r="B24" s="372" t="str">
        <f>+B9</f>
        <v>April</v>
      </c>
      <c r="C24" s="372" t="str">
        <f>+C9</f>
        <v>Year 2</v>
      </c>
      <c r="D24" s="373" t="str">
        <f>+D9</f>
        <v>TO populates the formula with Year 1 data from FERC Form 1 data for Year 1 (e.g., 2004)</v>
      </c>
      <c r="E24" s="373"/>
      <c r="F24" s="373"/>
      <c r="G24" s="373"/>
      <c r="H24" s="373"/>
      <c r="I24" s="373"/>
      <c r="K24" s="373"/>
      <c r="L24" s="373"/>
      <c r="M24" s="373"/>
      <c r="N24" s="373"/>
      <c r="O24" s="373"/>
      <c r="P24" s="373"/>
      <c r="Q24" s="373"/>
      <c r="R24" s="373"/>
      <c r="S24" s="373"/>
      <c r="T24" s="373"/>
      <c r="U24" s="373"/>
      <c r="V24" s="373"/>
      <c r="W24" s="373"/>
      <c r="X24" s="373"/>
      <c r="Y24" s="373"/>
      <c r="Z24" s="373"/>
      <c r="AA24" s="373"/>
      <c r="AB24" s="373"/>
      <c r="AC24" s="375"/>
    </row>
    <row r="25" spans="1:29" ht="13.5">
      <c r="A25" s="372"/>
      <c r="B25" s="372"/>
      <c r="C25" s="372"/>
      <c r="D25" s="383">
        <v>166094793.39702815</v>
      </c>
      <c r="E25" s="373" t="s">
        <v>283</v>
      </c>
      <c r="F25" s="373"/>
      <c r="G25" s="384" t="s">
        <v>284</v>
      </c>
      <c r="H25" s="373"/>
      <c r="I25" s="373"/>
      <c r="J25" s="373"/>
      <c r="K25" s="373"/>
      <c r="L25" s="373"/>
      <c r="M25" s="373"/>
      <c r="N25" s="373"/>
      <c r="O25" s="373"/>
      <c r="P25" s="373"/>
      <c r="Q25" s="373"/>
      <c r="R25" s="373"/>
      <c r="S25" s="373"/>
      <c r="T25" s="373"/>
      <c r="U25" s="373"/>
      <c r="V25" s="373"/>
      <c r="W25" s="373"/>
      <c r="X25" s="373"/>
      <c r="Y25" s="373"/>
      <c r="Z25" s="373"/>
      <c r="AA25" s="373"/>
      <c r="AB25" s="373"/>
      <c r="AC25" s="375"/>
    </row>
    <row r="26" spans="1:29" ht="13.5">
      <c r="A26" s="372"/>
      <c r="B26" s="372"/>
      <c r="C26" s="372"/>
      <c r="D26" s="373"/>
      <c r="E26" s="373"/>
      <c r="F26" s="373"/>
      <c r="G26" s="373"/>
      <c r="H26" s="373"/>
      <c r="I26" s="373"/>
      <c r="J26" s="373"/>
      <c r="K26" s="373"/>
      <c r="L26" s="373"/>
      <c r="M26" s="373"/>
      <c r="N26" s="373"/>
      <c r="O26" s="373"/>
      <c r="P26" s="373"/>
      <c r="Q26" s="373"/>
      <c r="R26" s="373"/>
      <c r="S26" s="373"/>
      <c r="T26" s="373"/>
      <c r="U26" s="373"/>
      <c r="V26" s="373"/>
      <c r="W26" s="373"/>
      <c r="X26" s="373"/>
      <c r="Y26" s="373"/>
      <c r="Z26" s="373"/>
      <c r="AA26" s="373"/>
      <c r="AB26" s="373"/>
      <c r="AC26" s="375"/>
    </row>
    <row r="27" spans="1:29" ht="13.5">
      <c r="A27" s="372">
        <v>2</v>
      </c>
      <c r="B27" s="372" t="str">
        <f>+B24</f>
        <v>April</v>
      </c>
      <c r="C27" s="372" t="str">
        <f>+C24</f>
        <v>Year 2</v>
      </c>
      <c r="D27" s="378" t="str">
        <f>+D10</f>
        <v>TO estimates all transmission Cap Adds and CWIP for Year 2 weighted based on Months expected to be in service in Year 2 (e.g., 2005)</v>
      </c>
      <c r="E27" s="373"/>
      <c r="F27" s="373"/>
      <c r="G27" s="373"/>
      <c r="H27" s="373"/>
      <c r="I27" s="373"/>
      <c r="K27" s="373"/>
      <c r="L27" s="373"/>
      <c r="M27" s="373"/>
      <c r="N27" s="373"/>
      <c r="O27" s="373"/>
      <c r="P27" s="373"/>
      <c r="Q27" s="373"/>
      <c r="R27" s="373"/>
      <c r="S27" s="373"/>
      <c r="T27" s="373"/>
      <c r="U27" s="373"/>
      <c r="V27" s="373"/>
      <c r="W27" s="373"/>
      <c r="X27" s="373"/>
      <c r="Y27" s="373"/>
      <c r="Z27" s="373"/>
      <c r="AA27" s="373"/>
      <c r="AB27" s="373"/>
      <c r="AC27" s="375"/>
    </row>
    <row r="28" spans="1:29" ht="13.5">
      <c r="A28" s="372"/>
      <c r="B28" s="372"/>
      <c r="C28" s="372"/>
      <c r="D28" s="378"/>
      <c r="E28" s="373"/>
      <c r="F28" s="373"/>
      <c r="G28" s="373"/>
      <c r="H28" s="373"/>
      <c r="I28" s="373"/>
      <c r="K28" s="373"/>
      <c r="L28" s="373"/>
      <c r="M28" s="373"/>
      <c r="N28" s="373"/>
      <c r="O28" s="373"/>
      <c r="P28" s="373"/>
      <c r="Q28" s="373"/>
      <c r="R28" s="373"/>
      <c r="S28" s="373"/>
      <c r="T28" s="373"/>
      <c r="U28" s="373"/>
      <c r="V28" s="373"/>
      <c r="W28" s="373"/>
      <c r="X28" s="373"/>
      <c r="Y28" s="373"/>
      <c r="Z28" s="373"/>
      <c r="AA28" s="373"/>
      <c r="AB28" s="373"/>
      <c r="AC28" s="375"/>
    </row>
    <row r="29" spans="1:29" ht="13.5">
      <c r="A29" s="372"/>
      <c r="B29" s="372"/>
      <c r="C29" s="372"/>
      <c r="E29" s="385" t="s">
        <v>285</v>
      </c>
      <c r="F29" s="385" t="s">
        <v>286</v>
      </c>
      <c r="G29" s="385" t="s">
        <v>287</v>
      </c>
      <c r="H29" s="385" t="s">
        <v>288</v>
      </c>
      <c r="I29" s="385" t="s">
        <v>289</v>
      </c>
      <c r="J29" s="385" t="s">
        <v>290</v>
      </c>
      <c r="K29" s="385" t="s">
        <v>291</v>
      </c>
      <c r="L29" s="385" t="s">
        <v>292</v>
      </c>
      <c r="M29" s="385" t="s">
        <v>293</v>
      </c>
      <c r="N29" s="385" t="s">
        <v>294</v>
      </c>
      <c r="O29" s="372" t="s">
        <v>295</v>
      </c>
      <c r="P29" s="372" t="s">
        <v>296</v>
      </c>
      <c r="Q29" s="372" t="s">
        <v>297</v>
      </c>
      <c r="R29" s="373"/>
      <c r="S29" s="373"/>
      <c r="T29" s="373"/>
      <c r="U29" s="373"/>
      <c r="V29" s="373"/>
      <c r="W29" s="373"/>
      <c r="X29" s="373"/>
      <c r="Y29" s="373"/>
      <c r="Z29" s="373"/>
      <c r="AA29" s="373"/>
      <c r="AB29" s="373"/>
      <c r="AC29" s="375"/>
    </row>
    <row r="30" spans="1:29" ht="13.5">
      <c r="A30" s="372"/>
      <c r="B30" s="372"/>
      <c r="C30" s="372"/>
      <c r="E30" s="372" t="s">
        <v>298</v>
      </c>
      <c r="F30" s="372" t="s">
        <v>298</v>
      </c>
      <c r="G30" s="372" t="s">
        <v>298</v>
      </c>
      <c r="H30" s="372" t="s">
        <v>298</v>
      </c>
      <c r="J30" s="372" t="str">
        <f>+E31</f>
        <v>Other Plant In Service</v>
      </c>
      <c r="K30" s="372" t="str">
        <f>+F31</f>
        <v>Other Plant In Service</v>
      </c>
      <c r="L30" s="372" t="str">
        <f>+G31</f>
        <v>MAPP CWIP</v>
      </c>
      <c r="M30" s="372" t="str">
        <f>+H31</f>
        <v>MAPP In Service</v>
      </c>
      <c r="N30" s="372" t="str">
        <f>+E31</f>
        <v>Other Plant In Service</v>
      </c>
      <c r="O30" s="372" t="str">
        <f>+F31</f>
        <v>Other Plant In Service</v>
      </c>
      <c r="P30" s="372" t="str">
        <f>+G31</f>
        <v>MAPP CWIP</v>
      </c>
      <c r="Q30" s="372" t="str">
        <f>+H31</f>
        <v>MAPP In Service</v>
      </c>
      <c r="R30" s="373"/>
      <c r="S30" s="373"/>
      <c r="T30" s="373"/>
      <c r="U30" s="373"/>
      <c r="V30" s="373"/>
      <c r="W30" s="373"/>
      <c r="X30" s="373"/>
      <c r="Y30" s="373"/>
      <c r="Z30" s="373"/>
      <c r="AA30" s="373"/>
      <c r="AB30" s="373"/>
      <c r="AC30" s="375"/>
    </row>
    <row r="31" spans="1:29" ht="13.5">
      <c r="A31" s="372"/>
      <c r="B31" s="372"/>
      <c r="C31" s="372"/>
      <c r="D31" s="373"/>
      <c r="E31" s="372" t="s">
        <v>299</v>
      </c>
      <c r="F31" s="372" t="s">
        <v>299</v>
      </c>
      <c r="G31" s="372" t="s">
        <v>300</v>
      </c>
      <c r="H31" s="372" t="s">
        <v>301</v>
      </c>
      <c r="I31" s="372" t="s">
        <v>302</v>
      </c>
      <c r="J31" s="372" t="s">
        <v>303</v>
      </c>
      <c r="K31" s="372" t="s">
        <v>304</v>
      </c>
      <c r="L31" s="372" t="s">
        <v>305</v>
      </c>
      <c r="M31" s="372" t="s">
        <v>306</v>
      </c>
      <c r="N31" s="372" t="s">
        <v>307</v>
      </c>
      <c r="O31" s="372" t="s">
        <v>308</v>
      </c>
      <c r="P31" s="372" t="s">
        <v>309</v>
      </c>
      <c r="Q31" s="372" t="s">
        <v>310</v>
      </c>
      <c r="R31" s="373"/>
      <c r="S31" s="373"/>
      <c r="T31" s="373"/>
      <c r="U31" s="373"/>
      <c r="V31" s="373"/>
      <c r="W31" s="373"/>
      <c r="X31" s="373"/>
      <c r="Y31" s="373"/>
      <c r="Z31" s="373"/>
      <c r="AA31" s="373"/>
      <c r="AB31" s="373"/>
      <c r="AC31" s="375"/>
    </row>
    <row r="32" spans="1:29" ht="13.5">
      <c r="A32" s="372"/>
      <c r="B32" s="372"/>
      <c r="C32" s="372"/>
      <c r="D32" s="373" t="s">
        <v>311</v>
      </c>
      <c r="E32" s="386"/>
      <c r="F32" s="387"/>
      <c r="G32" s="386"/>
      <c r="H32" s="388"/>
      <c r="I32" s="373">
        <v>11.5</v>
      </c>
      <c r="J32" s="389">
        <f t="shared" ref="J32:J43" si="0">+I32*E32</f>
        <v>0</v>
      </c>
      <c r="K32" s="389">
        <f t="shared" ref="K32:K43" si="1">+I32*F32</f>
        <v>0</v>
      </c>
      <c r="L32" s="389">
        <f t="shared" ref="L32:L44" si="2">+I32*G32</f>
        <v>0</v>
      </c>
      <c r="M32" s="389">
        <f t="shared" ref="M32:M44" si="3">+I32*H32</f>
        <v>0</v>
      </c>
      <c r="N32" s="382">
        <f t="shared" ref="N32:Q43" si="4">+J32/12</f>
        <v>0</v>
      </c>
      <c r="O32" s="382">
        <f t="shared" si="4"/>
        <v>0</v>
      </c>
      <c r="P32" s="382">
        <f t="shared" si="4"/>
        <v>0</v>
      </c>
      <c r="Q32" s="382">
        <f t="shared" si="4"/>
        <v>0</v>
      </c>
      <c r="R32" s="373"/>
      <c r="S32" s="373"/>
      <c r="T32" s="373"/>
      <c r="U32" s="373"/>
      <c r="V32" s="373"/>
      <c r="W32" s="373"/>
      <c r="X32" s="373"/>
      <c r="Y32" s="373"/>
      <c r="Z32" s="373"/>
      <c r="AA32" s="373"/>
      <c r="AB32" s="373"/>
      <c r="AC32" s="375"/>
    </row>
    <row r="33" spans="1:29" ht="13.5">
      <c r="A33" s="372"/>
      <c r="B33" s="372"/>
      <c r="C33" s="372"/>
      <c r="D33" s="373" t="s">
        <v>312</v>
      </c>
      <c r="E33" s="386"/>
      <c r="F33" s="387"/>
      <c r="G33" s="386"/>
      <c r="H33" s="388"/>
      <c r="I33" s="373">
        <f t="shared" ref="I33:I43" si="5">+I32-1</f>
        <v>10.5</v>
      </c>
      <c r="J33" s="389">
        <f t="shared" si="0"/>
        <v>0</v>
      </c>
      <c r="K33" s="389">
        <f t="shared" si="1"/>
        <v>0</v>
      </c>
      <c r="L33" s="389">
        <f t="shared" si="2"/>
        <v>0</v>
      </c>
      <c r="M33" s="389">
        <f t="shared" si="3"/>
        <v>0</v>
      </c>
      <c r="N33" s="382">
        <f t="shared" si="4"/>
        <v>0</v>
      </c>
      <c r="O33" s="382">
        <f t="shared" si="4"/>
        <v>0</v>
      </c>
      <c r="P33" s="382">
        <f t="shared" si="4"/>
        <v>0</v>
      </c>
      <c r="Q33" s="382">
        <f t="shared" si="4"/>
        <v>0</v>
      </c>
      <c r="R33" s="373"/>
      <c r="S33" s="373"/>
      <c r="T33" s="373"/>
      <c r="U33" s="373"/>
      <c r="V33" s="373"/>
      <c r="W33" s="373"/>
      <c r="X33" s="373"/>
      <c r="Y33" s="373"/>
      <c r="Z33" s="373"/>
      <c r="AA33" s="373"/>
      <c r="AB33" s="373"/>
      <c r="AC33" s="375"/>
    </row>
    <row r="34" spans="1:29" ht="13.5">
      <c r="A34" s="372"/>
      <c r="B34" s="372"/>
      <c r="C34" s="372"/>
      <c r="D34" s="373" t="s">
        <v>313</v>
      </c>
      <c r="E34" s="386"/>
      <c r="F34" s="387"/>
      <c r="G34" s="386"/>
      <c r="H34" s="388"/>
      <c r="I34" s="373">
        <f t="shared" si="5"/>
        <v>9.5</v>
      </c>
      <c r="J34" s="389">
        <f t="shared" si="0"/>
        <v>0</v>
      </c>
      <c r="K34" s="389">
        <f t="shared" si="1"/>
        <v>0</v>
      </c>
      <c r="L34" s="389">
        <f t="shared" si="2"/>
        <v>0</v>
      </c>
      <c r="M34" s="389">
        <f t="shared" si="3"/>
        <v>0</v>
      </c>
      <c r="N34" s="382">
        <f t="shared" si="4"/>
        <v>0</v>
      </c>
      <c r="O34" s="382">
        <f t="shared" si="4"/>
        <v>0</v>
      </c>
      <c r="P34" s="382">
        <f t="shared" si="4"/>
        <v>0</v>
      </c>
      <c r="Q34" s="382">
        <f t="shared" si="4"/>
        <v>0</v>
      </c>
      <c r="R34" s="373"/>
      <c r="S34" s="373"/>
      <c r="T34" s="373"/>
      <c r="U34" s="373"/>
      <c r="V34" s="373"/>
      <c r="W34" s="373"/>
      <c r="X34" s="373"/>
      <c r="Y34" s="373"/>
      <c r="Z34" s="373"/>
      <c r="AA34" s="373"/>
      <c r="AB34" s="373"/>
      <c r="AC34" s="375"/>
    </row>
    <row r="35" spans="1:29" ht="13.5">
      <c r="A35" s="372"/>
      <c r="B35" s="372"/>
      <c r="C35" s="372"/>
      <c r="D35" s="373" t="s">
        <v>314</v>
      </c>
      <c r="E35" s="386"/>
      <c r="F35" s="387"/>
      <c r="G35" s="386"/>
      <c r="H35" s="388"/>
      <c r="I35" s="373">
        <f t="shared" si="5"/>
        <v>8.5</v>
      </c>
      <c r="J35" s="389">
        <f t="shared" si="0"/>
        <v>0</v>
      </c>
      <c r="K35" s="389">
        <f t="shared" si="1"/>
        <v>0</v>
      </c>
      <c r="L35" s="389">
        <f t="shared" si="2"/>
        <v>0</v>
      </c>
      <c r="M35" s="389">
        <f t="shared" si="3"/>
        <v>0</v>
      </c>
      <c r="N35" s="382">
        <f t="shared" si="4"/>
        <v>0</v>
      </c>
      <c r="O35" s="382">
        <f t="shared" si="4"/>
        <v>0</v>
      </c>
      <c r="P35" s="382">
        <f t="shared" si="4"/>
        <v>0</v>
      </c>
      <c r="Q35" s="382">
        <f t="shared" si="4"/>
        <v>0</v>
      </c>
      <c r="R35" s="373"/>
      <c r="S35" s="373"/>
      <c r="T35" s="373"/>
      <c r="U35" s="373"/>
      <c r="V35" s="373"/>
      <c r="W35" s="373"/>
      <c r="X35" s="373"/>
      <c r="Y35" s="373"/>
      <c r="Z35" s="373"/>
      <c r="AA35" s="373"/>
      <c r="AB35" s="373"/>
      <c r="AC35" s="375"/>
    </row>
    <row r="36" spans="1:29" ht="13.5">
      <c r="A36" s="372"/>
      <c r="B36" s="372"/>
      <c r="C36" s="372"/>
      <c r="D36" s="373" t="s">
        <v>271</v>
      </c>
      <c r="E36" s="386"/>
      <c r="F36" s="387"/>
      <c r="G36" s="386"/>
      <c r="H36" s="388"/>
      <c r="I36" s="373">
        <f t="shared" si="5"/>
        <v>7.5</v>
      </c>
      <c r="J36" s="389">
        <f t="shared" si="0"/>
        <v>0</v>
      </c>
      <c r="K36" s="389">
        <f t="shared" si="1"/>
        <v>0</v>
      </c>
      <c r="L36" s="389">
        <f t="shared" si="2"/>
        <v>0</v>
      </c>
      <c r="M36" s="389">
        <f t="shared" si="3"/>
        <v>0</v>
      </c>
      <c r="N36" s="382">
        <f t="shared" si="4"/>
        <v>0</v>
      </c>
      <c r="O36" s="382">
        <f t="shared" si="4"/>
        <v>0</v>
      </c>
      <c r="P36" s="382">
        <f t="shared" si="4"/>
        <v>0</v>
      </c>
      <c r="Q36" s="382">
        <f t="shared" si="4"/>
        <v>0</v>
      </c>
      <c r="R36" s="373"/>
      <c r="S36" s="373"/>
      <c r="T36" s="373"/>
      <c r="U36" s="373"/>
      <c r="V36" s="373"/>
      <c r="W36" s="373"/>
      <c r="X36" s="373"/>
      <c r="Y36" s="373"/>
      <c r="Z36" s="373"/>
      <c r="AA36" s="373"/>
      <c r="AB36" s="373"/>
      <c r="AC36" s="375"/>
    </row>
    <row r="37" spans="1:29" ht="13.5">
      <c r="A37" s="372"/>
      <c r="B37" s="372"/>
      <c r="C37" s="372"/>
      <c r="D37" s="373" t="s">
        <v>315</v>
      </c>
      <c r="E37" s="386">
        <v>0</v>
      </c>
      <c r="F37" s="387"/>
      <c r="G37" s="386"/>
      <c r="H37" s="388"/>
      <c r="I37" s="373">
        <f t="shared" si="5"/>
        <v>6.5</v>
      </c>
      <c r="J37" s="389">
        <f t="shared" si="0"/>
        <v>0</v>
      </c>
      <c r="K37" s="389">
        <f t="shared" si="1"/>
        <v>0</v>
      </c>
      <c r="L37" s="389">
        <f t="shared" si="2"/>
        <v>0</v>
      </c>
      <c r="M37" s="389">
        <f t="shared" si="3"/>
        <v>0</v>
      </c>
      <c r="N37" s="382">
        <f t="shared" si="4"/>
        <v>0</v>
      </c>
      <c r="O37" s="382">
        <f t="shared" si="4"/>
        <v>0</v>
      </c>
      <c r="P37" s="382">
        <f t="shared" si="4"/>
        <v>0</v>
      </c>
      <c r="Q37" s="382">
        <f t="shared" si="4"/>
        <v>0</v>
      </c>
      <c r="R37" s="373"/>
      <c r="S37" s="373"/>
      <c r="T37" s="373"/>
      <c r="U37" s="373"/>
      <c r="V37" s="373"/>
      <c r="W37" s="373"/>
      <c r="X37" s="373"/>
      <c r="Y37" s="373"/>
      <c r="Z37" s="373"/>
      <c r="AA37" s="373"/>
      <c r="AB37" s="373"/>
      <c r="AC37" s="375"/>
    </row>
    <row r="38" spans="1:29" ht="13.5">
      <c r="A38" s="372"/>
      <c r="B38" s="372"/>
      <c r="C38" s="372"/>
      <c r="D38" s="373" t="s">
        <v>316</v>
      </c>
      <c r="E38" s="386"/>
      <c r="F38" s="387"/>
      <c r="G38" s="386"/>
      <c r="H38" s="388"/>
      <c r="I38" s="373">
        <f t="shared" si="5"/>
        <v>5.5</v>
      </c>
      <c r="J38" s="389">
        <f t="shared" si="0"/>
        <v>0</v>
      </c>
      <c r="K38" s="389">
        <f t="shared" si="1"/>
        <v>0</v>
      </c>
      <c r="L38" s="389">
        <f t="shared" si="2"/>
        <v>0</v>
      </c>
      <c r="M38" s="389">
        <f t="shared" si="3"/>
        <v>0</v>
      </c>
      <c r="N38" s="382">
        <f t="shared" si="4"/>
        <v>0</v>
      </c>
      <c r="O38" s="382">
        <f t="shared" si="4"/>
        <v>0</v>
      </c>
      <c r="P38" s="382">
        <f t="shared" si="4"/>
        <v>0</v>
      </c>
      <c r="Q38" s="382">
        <f t="shared" si="4"/>
        <v>0</v>
      </c>
      <c r="R38" s="373"/>
      <c r="S38" s="373"/>
      <c r="T38" s="373"/>
      <c r="U38" s="373"/>
      <c r="V38" s="373"/>
      <c r="W38" s="373"/>
      <c r="X38" s="373"/>
      <c r="Y38" s="373"/>
      <c r="Z38" s="373"/>
      <c r="AA38" s="373"/>
      <c r="AB38" s="373"/>
      <c r="AC38" s="375"/>
    </row>
    <row r="39" spans="1:29" ht="13.5">
      <c r="A39" s="372"/>
      <c r="B39" s="372"/>
      <c r="C39" s="372"/>
      <c r="D39" s="373" t="s">
        <v>317</v>
      </c>
      <c r="E39" s="386"/>
      <c r="F39" s="387"/>
      <c r="G39" s="386"/>
      <c r="H39" s="388"/>
      <c r="I39" s="373">
        <f t="shared" si="5"/>
        <v>4.5</v>
      </c>
      <c r="J39" s="389">
        <f t="shared" si="0"/>
        <v>0</v>
      </c>
      <c r="K39" s="389">
        <f t="shared" si="1"/>
        <v>0</v>
      </c>
      <c r="L39" s="389">
        <f t="shared" si="2"/>
        <v>0</v>
      </c>
      <c r="M39" s="389">
        <f t="shared" si="3"/>
        <v>0</v>
      </c>
      <c r="N39" s="382">
        <f t="shared" si="4"/>
        <v>0</v>
      </c>
      <c r="O39" s="382">
        <f t="shared" si="4"/>
        <v>0</v>
      </c>
      <c r="P39" s="382">
        <f t="shared" si="4"/>
        <v>0</v>
      </c>
      <c r="Q39" s="382">
        <f t="shared" si="4"/>
        <v>0</v>
      </c>
      <c r="R39" s="373"/>
      <c r="S39" s="373"/>
      <c r="T39" s="373"/>
      <c r="U39" s="373"/>
      <c r="V39" s="373"/>
      <c r="W39" s="373"/>
      <c r="X39" s="373"/>
      <c r="Y39" s="373"/>
      <c r="Z39" s="373"/>
      <c r="AA39" s="373"/>
      <c r="AB39" s="373"/>
      <c r="AC39" s="375"/>
    </row>
    <row r="40" spans="1:29" ht="13.5">
      <c r="A40" s="372"/>
      <c r="B40" s="372"/>
      <c r="C40" s="372"/>
      <c r="D40" s="373" t="s">
        <v>318</v>
      </c>
      <c r="E40" s="386"/>
      <c r="F40" s="387"/>
      <c r="G40" s="386"/>
      <c r="H40" s="388"/>
      <c r="I40" s="373">
        <f t="shared" si="5"/>
        <v>3.5</v>
      </c>
      <c r="J40" s="389">
        <f t="shared" si="0"/>
        <v>0</v>
      </c>
      <c r="K40" s="389">
        <f t="shared" si="1"/>
        <v>0</v>
      </c>
      <c r="L40" s="389">
        <f t="shared" si="2"/>
        <v>0</v>
      </c>
      <c r="M40" s="389">
        <f t="shared" si="3"/>
        <v>0</v>
      </c>
      <c r="N40" s="382">
        <f t="shared" si="4"/>
        <v>0</v>
      </c>
      <c r="O40" s="382">
        <f t="shared" si="4"/>
        <v>0</v>
      </c>
      <c r="P40" s="382">
        <f t="shared" si="4"/>
        <v>0</v>
      </c>
      <c r="Q40" s="382">
        <f t="shared" si="4"/>
        <v>0</v>
      </c>
      <c r="R40" s="373"/>
      <c r="S40" s="373"/>
      <c r="T40" s="373"/>
      <c r="U40" s="373"/>
      <c r="V40" s="373"/>
      <c r="W40" s="373"/>
      <c r="X40" s="373"/>
      <c r="Y40" s="373"/>
      <c r="Z40" s="373"/>
      <c r="AA40" s="373"/>
      <c r="AB40" s="373"/>
      <c r="AC40" s="375"/>
    </row>
    <row r="41" spans="1:29" ht="13.5">
      <c r="A41" s="372"/>
      <c r="B41" s="372"/>
      <c r="C41" s="372"/>
      <c r="D41" s="373" t="s">
        <v>319</v>
      </c>
      <c r="E41" s="386"/>
      <c r="F41" s="387"/>
      <c r="G41" s="386"/>
      <c r="H41" s="388"/>
      <c r="I41" s="373">
        <f t="shared" si="5"/>
        <v>2.5</v>
      </c>
      <c r="J41" s="389">
        <f t="shared" si="0"/>
        <v>0</v>
      </c>
      <c r="K41" s="389">
        <f t="shared" si="1"/>
        <v>0</v>
      </c>
      <c r="L41" s="389">
        <f t="shared" si="2"/>
        <v>0</v>
      </c>
      <c r="M41" s="389">
        <f t="shared" si="3"/>
        <v>0</v>
      </c>
      <c r="N41" s="382">
        <f t="shared" si="4"/>
        <v>0</v>
      </c>
      <c r="O41" s="382">
        <f>+K41/12</f>
        <v>0</v>
      </c>
      <c r="P41" s="382">
        <f>+L41/12</f>
        <v>0</v>
      </c>
      <c r="Q41" s="382">
        <f>+M41/12</f>
        <v>0</v>
      </c>
      <c r="R41" s="373"/>
      <c r="S41" s="373"/>
      <c r="T41" s="373"/>
      <c r="U41" s="373"/>
      <c r="V41" s="373"/>
      <c r="W41" s="373"/>
      <c r="X41" s="373"/>
      <c r="Y41" s="373"/>
      <c r="Z41" s="373"/>
      <c r="AA41" s="373"/>
      <c r="AB41" s="373"/>
      <c r="AC41" s="375"/>
    </row>
    <row r="42" spans="1:29" ht="13.5">
      <c r="A42" s="372"/>
      <c r="B42" s="372"/>
      <c r="C42" s="372"/>
      <c r="D42" s="373" t="s">
        <v>320</v>
      </c>
      <c r="E42" s="386"/>
      <c r="F42" s="387"/>
      <c r="G42" s="386"/>
      <c r="H42" s="388"/>
      <c r="I42" s="373">
        <f t="shared" si="5"/>
        <v>1.5</v>
      </c>
      <c r="J42" s="389">
        <f t="shared" si="0"/>
        <v>0</v>
      </c>
      <c r="K42" s="389">
        <f t="shared" si="1"/>
        <v>0</v>
      </c>
      <c r="L42" s="389">
        <f t="shared" si="2"/>
        <v>0</v>
      </c>
      <c r="M42" s="389">
        <f t="shared" si="3"/>
        <v>0</v>
      </c>
      <c r="N42" s="382">
        <f t="shared" si="4"/>
        <v>0</v>
      </c>
      <c r="O42" s="382">
        <f t="shared" si="4"/>
        <v>0</v>
      </c>
      <c r="P42" s="382">
        <f t="shared" si="4"/>
        <v>0</v>
      </c>
      <c r="Q42" s="382">
        <f t="shared" si="4"/>
        <v>0</v>
      </c>
      <c r="R42" s="373"/>
      <c r="S42" s="373"/>
      <c r="T42" s="373"/>
      <c r="U42" s="373"/>
      <c r="V42" s="373"/>
      <c r="W42" s="373"/>
      <c r="X42" s="373"/>
      <c r="Y42" s="373"/>
      <c r="Z42" s="373"/>
      <c r="AA42" s="373"/>
      <c r="AB42" s="373"/>
      <c r="AC42" s="375"/>
    </row>
    <row r="43" spans="1:29" ht="13.5">
      <c r="A43" s="372"/>
      <c r="B43" s="372"/>
      <c r="D43" s="373" t="s">
        <v>321</v>
      </c>
      <c r="E43" s="386"/>
      <c r="F43" s="387"/>
      <c r="G43" s="386"/>
      <c r="H43" s="388"/>
      <c r="I43" s="373">
        <f t="shared" si="5"/>
        <v>0.5</v>
      </c>
      <c r="J43" s="389">
        <f t="shared" si="0"/>
        <v>0</v>
      </c>
      <c r="K43" s="389">
        <f t="shared" si="1"/>
        <v>0</v>
      </c>
      <c r="L43" s="389">
        <f t="shared" si="2"/>
        <v>0</v>
      </c>
      <c r="M43" s="389">
        <f t="shared" si="3"/>
        <v>0</v>
      </c>
      <c r="N43" s="382">
        <f t="shared" si="4"/>
        <v>0</v>
      </c>
      <c r="O43" s="382">
        <f t="shared" si="4"/>
        <v>0</v>
      </c>
      <c r="P43" s="382">
        <f t="shared" si="4"/>
        <v>0</v>
      </c>
      <c r="Q43" s="382">
        <f t="shared" si="4"/>
        <v>0</v>
      </c>
      <c r="R43" s="373"/>
      <c r="S43" s="373"/>
      <c r="T43" s="373"/>
      <c r="U43" s="373"/>
      <c r="V43" s="373"/>
      <c r="W43" s="373"/>
      <c r="X43" s="373"/>
      <c r="Y43" s="373"/>
      <c r="Z43" s="373"/>
      <c r="AA43" s="373"/>
      <c r="AB43" s="373"/>
      <c r="AC43" s="375"/>
    </row>
    <row r="44" spans="1:29" ht="13.5">
      <c r="A44" s="372"/>
      <c r="B44" s="372"/>
      <c r="C44" s="373"/>
      <c r="D44" s="373" t="s">
        <v>61</v>
      </c>
      <c r="E44" s="389">
        <f>SUM(E32:E43)</f>
        <v>0</v>
      </c>
      <c r="F44" s="389">
        <f>SUM(F32:F43)</f>
        <v>0</v>
      </c>
      <c r="G44" s="389">
        <f>SUM(G32:G43)</f>
        <v>0</v>
      </c>
      <c r="H44" s="389">
        <f>SUM(H32:H43)</f>
        <v>0</v>
      </c>
      <c r="I44" s="373"/>
      <c r="J44" s="389">
        <f>SUM(J32:J43)</f>
        <v>0</v>
      </c>
      <c r="K44" s="389">
        <f>SUM(K32:K43)</f>
        <v>0</v>
      </c>
      <c r="L44" s="389">
        <f t="shared" si="2"/>
        <v>0</v>
      </c>
      <c r="M44" s="389">
        <f t="shared" si="3"/>
        <v>0</v>
      </c>
      <c r="N44" s="382">
        <f>SUM(N32:N43)</f>
        <v>0</v>
      </c>
      <c r="O44" s="382">
        <f>SUM(O32:O43)</f>
        <v>0</v>
      </c>
      <c r="P44" s="382">
        <f>SUM(P32:P43)</f>
        <v>0</v>
      </c>
      <c r="Q44" s="382">
        <f>SUM(Q32:Q43)</f>
        <v>0</v>
      </c>
      <c r="R44" s="373"/>
      <c r="S44" s="373"/>
      <c r="T44" s="373"/>
      <c r="U44" s="373"/>
      <c r="V44" s="373"/>
      <c r="W44" s="373"/>
      <c r="X44" s="373"/>
      <c r="Y44" s="373"/>
      <c r="Z44" s="373"/>
      <c r="AA44" s="373"/>
      <c r="AB44" s="373"/>
      <c r="AC44" s="375"/>
    </row>
    <row r="45" spans="1:29" ht="13.5">
      <c r="A45" s="372"/>
      <c r="B45" s="372"/>
      <c r="C45" s="373"/>
      <c r="D45" s="373" t="s">
        <v>322</v>
      </c>
      <c r="E45" s="373"/>
      <c r="G45" s="373"/>
      <c r="H45" s="373"/>
      <c r="I45" s="373"/>
      <c r="J45" s="373"/>
      <c r="N45" s="390">
        <f>+N44</f>
        <v>0</v>
      </c>
      <c r="O45" s="390">
        <f>+O44</f>
        <v>0</v>
      </c>
      <c r="P45" s="390">
        <f>+P44</f>
        <v>0</v>
      </c>
      <c r="Q45" s="390">
        <f>+Q44</f>
        <v>0</v>
      </c>
      <c r="R45" s="373"/>
      <c r="S45" s="373"/>
      <c r="T45" s="373"/>
      <c r="U45" s="373"/>
      <c r="V45" s="373"/>
      <c r="W45" s="373"/>
      <c r="X45" s="373"/>
      <c r="Y45" s="373"/>
      <c r="Z45" s="373"/>
      <c r="AA45" s="373"/>
      <c r="AB45" s="373"/>
      <c r="AC45" s="375"/>
    </row>
    <row r="46" spans="1:29" ht="13.5">
      <c r="A46" s="372"/>
      <c r="B46" s="372"/>
      <c r="C46" s="373"/>
      <c r="D46" s="373"/>
      <c r="E46" s="373"/>
      <c r="I46" s="373"/>
      <c r="J46" s="373"/>
      <c r="L46" s="390" t="s">
        <v>323</v>
      </c>
      <c r="M46" s="373"/>
      <c r="N46" s="389">
        <f>+N45</f>
        <v>0</v>
      </c>
      <c r="O46" s="389">
        <f>+O45</f>
        <v>0</v>
      </c>
      <c r="P46" s="373"/>
      <c r="Q46" s="389">
        <f>+Q45</f>
        <v>0</v>
      </c>
      <c r="R46" s="389">
        <f>+N46+Q46</f>
        <v>0</v>
      </c>
      <c r="S46" s="373"/>
      <c r="T46" s="373"/>
      <c r="U46" s="373"/>
      <c r="V46" s="373"/>
      <c r="W46" s="373"/>
      <c r="X46" s="373"/>
      <c r="Y46" s="373"/>
      <c r="Z46" s="373"/>
      <c r="AA46" s="373"/>
      <c r="AB46" s="373"/>
      <c r="AC46" s="375"/>
    </row>
    <row r="47" spans="1:29" ht="13.5">
      <c r="A47" s="372"/>
      <c r="B47" s="372"/>
      <c r="C47" s="372"/>
      <c r="D47" s="373"/>
      <c r="E47" s="373"/>
      <c r="G47" s="373"/>
      <c r="H47" s="373"/>
      <c r="I47" s="389"/>
      <c r="J47" s="373"/>
      <c r="L47" s="373" t="s">
        <v>324</v>
      </c>
      <c r="M47" s="373"/>
      <c r="N47" s="373"/>
      <c r="O47" s="373"/>
      <c r="P47" s="389">
        <f>+P45</f>
        <v>0</v>
      </c>
      <c r="Q47" s="373"/>
      <c r="R47" s="389">
        <f>+P47</f>
        <v>0</v>
      </c>
      <c r="S47" s="373"/>
      <c r="T47" s="373"/>
      <c r="U47" s="373"/>
      <c r="V47" s="373"/>
      <c r="W47" s="373"/>
      <c r="X47" s="373"/>
      <c r="Y47" s="373"/>
      <c r="Z47" s="373"/>
      <c r="AA47" s="373"/>
      <c r="AB47" s="373"/>
      <c r="AC47" s="375"/>
    </row>
    <row r="48" spans="1:29" ht="13.5">
      <c r="A48" s="372"/>
      <c r="B48" s="372"/>
      <c r="C48" s="372"/>
      <c r="D48" s="373"/>
      <c r="E48" s="373"/>
      <c r="G48" s="373"/>
      <c r="H48" s="373"/>
      <c r="I48" s="389"/>
      <c r="J48" s="373"/>
      <c r="L48" s="373" t="s">
        <v>55</v>
      </c>
      <c r="M48" s="373"/>
      <c r="N48" s="391" t="e">
        <f>12-N46/E44*12</f>
        <v>#DIV/0!</v>
      </c>
      <c r="O48" s="391" t="e">
        <f>12-O46/F44*12</f>
        <v>#DIV/0!</v>
      </c>
      <c r="P48" s="391" t="e">
        <f>12-P45/G44*12</f>
        <v>#DIV/0!</v>
      </c>
      <c r="Q48" s="391" t="e">
        <f>12-Q46/H44*12</f>
        <v>#DIV/0!</v>
      </c>
      <c r="R48" s="389"/>
      <c r="S48" s="373"/>
      <c r="T48" s="373"/>
      <c r="U48" s="373"/>
      <c r="V48" s="373"/>
      <c r="W48" s="373"/>
      <c r="X48" s="373"/>
      <c r="Y48" s="373"/>
      <c r="Z48" s="373"/>
      <c r="AA48" s="373"/>
      <c r="AB48" s="373"/>
      <c r="AC48" s="375"/>
    </row>
    <row r="49" spans="1:29" ht="13.5">
      <c r="A49" s="372">
        <v>3</v>
      </c>
      <c r="B49" s="372" t="str">
        <f>+B27</f>
        <v>April</v>
      </c>
      <c r="C49" s="372" t="str">
        <f>+C27</f>
        <v>Year 2</v>
      </c>
      <c r="D49" s="378" t="str">
        <f>+D11</f>
        <v>TO adds weighted Cap Adds to plant in service in Formula</v>
      </c>
      <c r="E49" s="373"/>
      <c r="F49" s="373"/>
      <c r="G49" s="373"/>
      <c r="H49" s="373"/>
      <c r="I49" s="373"/>
      <c r="J49" s="373"/>
      <c r="K49" s="373"/>
      <c r="L49" s="389"/>
      <c r="M49" s="373"/>
      <c r="N49" s="373"/>
      <c r="O49" s="373"/>
      <c r="P49" s="373"/>
      <c r="Q49" s="373"/>
      <c r="R49" s="373"/>
      <c r="S49" s="373"/>
      <c r="T49" s="373"/>
      <c r="U49" s="373"/>
      <c r="V49" s="373"/>
      <c r="W49" s="373"/>
      <c r="X49" s="373"/>
      <c r="Y49" s="373"/>
      <c r="Z49" s="373"/>
      <c r="AA49" s="373"/>
      <c r="AB49" s="373"/>
      <c r="AC49" s="375"/>
    </row>
    <row r="50" spans="1:29" ht="13.5">
      <c r="A50" s="372"/>
      <c r="B50" s="372"/>
      <c r="C50" s="372"/>
      <c r="D50" s="392">
        <f>N45</f>
        <v>0</v>
      </c>
      <c r="E50" s="373" t="s">
        <v>325</v>
      </c>
      <c r="F50" s="389"/>
      <c r="G50" s="372"/>
      <c r="H50" s="389"/>
      <c r="I50" s="373"/>
      <c r="J50" s="373"/>
      <c r="K50" s="373"/>
      <c r="L50" s="389"/>
      <c r="M50" s="373"/>
      <c r="N50" s="373"/>
      <c r="O50" s="373"/>
      <c r="P50" s="373"/>
      <c r="Q50" s="373"/>
      <c r="R50" s="373"/>
      <c r="S50" s="373"/>
      <c r="T50" s="373"/>
      <c r="U50" s="373"/>
      <c r="V50" s="373"/>
      <c r="W50" s="373"/>
      <c r="X50" s="373"/>
      <c r="Y50" s="373"/>
      <c r="Z50" s="373"/>
      <c r="AA50" s="373"/>
      <c r="AB50" s="373"/>
      <c r="AC50" s="375"/>
    </row>
    <row r="51" spans="1:29" ht="13.5">
      <c r="A51" s="372"/>
      <c r="B51" s="372"/>
      <c r="C51" s="372"/>
      <c r="D51" s="392"/>
      <c r="E51" s="372"/>
      <c r="F51" s="389"/>
      <c r="G51" s="372"/>
      <c r="H51" s="389"/>
      <c r="I51" s="373"/>
      <c r="J51" s="373"/>
      <c r="K51" s="373"/>
      <c r="L51" s="373"/>
      <c r="M51" s="373"/>
      <c r="N51" s="373"/>
      <c r="O51" s="373"/>
      <c r="P51" s="373"/>
      <c r="Q51" s="373"/>
      <c r="R51" s="373"/>
      <c r="S51" s="373"/>
      <c r="T51" s="373"/>
      <c r="U51" s="373"/>
      <c r="V51" s="373"/>
      <c r="W51" s="373"/>
      <c r="X51" s="373"/>
      <c r="Y51" s="373"/>
      <c r="Z51" s="373"/>
      <c r="AA51" s="373"/>
      <c r="AB51" s="373"/>
      <c r="AC51" s="375"/>
    </row>
    <row r="52" spans="1:29" ht="13.5">
      <c r="A52" s="372">
        <v>4</v>
      </c>
      <c r="B52" s="372" t="str">
        <f>+B12</f>
        <v>May</v>
      </c>
      <c r="C52" s="372" t="str">
        <f>+C49</f>
        <v>Year 2</v>
      </c>
      <c r="D52" s="373" t="str">
        <f>+D12</f>
        <v>Post results of Step 3 on PJM web site</v>
      </c>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5"/>
    </row>
    <row r="53" spans="1:29" ht="13.5">
      <c r="A53" s="372"/>
      <c r="B53" s="372"/>
      <c r="C53" s="372"/>
      <c r="D53" s="393">
        <v>166094793.39702815</v>
      </c>
      <c r="F53" s="392"/>
      <c r="G53" s="384" t="s">
        <v>326</v>
      </c>
      <c r="H53" s="373"/>
      <c r="I53" s="373"/>
      <c r="J53" s="373"/>
      <c r="K53" s="373"/>
      <c r="L53" s="373"/>
      <c r="M53" s="373"/>
      <c r="N53" s="373"/>
      <c r="O53" s="373"/>
      <c r="P53" s="373"/>
      <c r="Q53" s="373"/>
      <c r="R53" s="373"/>
      <c r="S53" s="373"/>
      <c r="T53" s="373"/>
      <c r="U53" s="373"/>
      <c r="V53" s="373"/>
      <c r="W53" s="373"/>
      <c r="X53" s="373"/>
      <c r="Y53" s="373"/>
      <c r="Z53" s="373"/>
      <c r="AA53" s="373"/>
      <c r="AB53" s="373"/>
      <c r="AC53" s="375"/>
    </row>
    <row r="54" spans="1:29" ht="13.5">
      <c r="A54" s="372"/>
      <c r="B54" s="372"/>
      <c r="C54" s="372"/>
      <c r="D54" s="394"/>
      <c r="E54" s="373"/>
      <c r="F54" s="373"/>
      <c r="G54" s="373"/>
      <c r="H54" s="373"/>
      <c r="I54" s="373"/>
      <c r="J54" s="373"/>
      <c r="K54" s="373"/>
      <c r="L54" s="373"/>
      <c r="M54" s="373"/>
      <c r="N54" s="373"/>
      <c r="O54" s="373"/>
      <c r="P54" s="373"/>
      <c r="Q54" s="373"/>
      <c r="R54" s="373"/>
      <c r="S54" s="373"/>
      <c r="T54" s="373"/>
      <c r="U54" s="373"/>
      <c r="V54" s="373"/>
      <c r="W54" s="373"/>
      <c r="X54" s="373"/>
      <c r="Y54" s="373"/>
      <c r="Z54" s="373"/>
      <c r="AA54" s="373"/>
      <c r="AB54" s="373"/>
      <c r="AC54" s="375"/>
    </row>
    <row r="55" spans="1:29" ht="13.5">
      <c r="A55" s="372">
        <f>+A13</f>
        <v>5</v>
      </c>
      <c r="B55" s="372" t="str">
        <f>+B13</f>
        <v>June</v>
      </c>
      <c r="C55" s="372" t="str">
        <f>+C13</f>
        <v>Year 2</v>
      </c>
      <c r="D55" s="378" t="str">
        <f>+D13</f>
        <v>Results of Step 3 go into effect for the Rate Year 1 (e.g., June 1, 2005 - May 31, 2006)</v>
      </c>
      <c r="E55" s="373"/>
      <c r="F55" s="373"/>
      <c r="G55" s="373"/>
      <c r="H55" s="373"/>
      <c r="I55" s="373"/>
      <c r="J55" s="373"/>
      <c r="K55" s="373"/>
      <c r="L55" s="373"/>
      <c r="M55" s="373"/>
      <c r="N55" s="373"/>
      <c r="O55" s="373"/>
      <c r="P55" s="373"/>
      <c r="Q55" s="373"/>
      <c r="R55" s="373"/>
      <c r="S55" s="373"/>
      <c r="T55" s="373"/>
      <c r="U55" s="373"/>
      <c r="V55" s="373"/>
      <c r="W55" s="373"/>
      <c r="X55" s="373"/>
      <c r="Y55" s="373"/>
      <c r="Z55" s="373"/>
      <c r="AA55" s="373"/>
      <c r="AB55" s="373"/>
      <c r="AC55" s="375"/>
    </row>
    <row r="56" spans="1:29" ht="13.5">
      <c r="A56" s="372"/>
      <c r="B56" s="372"/>
      <c r="C56" s="372"/>
      <c r="D56" s="392">
        <f>+D53</f>
        <v>166094793.39702815</v>
      </c>
      <c r="E56" s="373"/>
      <c r="F56" s="373"/>
      <c r="G56" s="373"/>
      <c r="H56" s="373"/>
      <c r="I56" s="373"/>
      <c r="J56" s="373"/>
      <c r="K56" s="373"/>
      <c r="L56" s="373"/>
      <c r="M56" s="373"/>
      <c r="N56" s="373"/>
      <c r="O56" s="373"/>
      <c r="P56" s="373"/>
      <c r="Q56" s="373"/>
      <c r="R56" s="373"/>
      <c r="S56" s="373"/>
      <c r="T56" s="373"/>
      <c r="U56" s="373"/>
      <c r="V56" s="373"/>
      <c r="W56" s="373"/>
      <c r="X56" s="373"/>
      <c r="Y56" s="373"/>
      <c r="Z56" s="373"/>
      <c r="AA56" s="373"/>
      <c r="AB56" s="373"/>
      <c r="AC56" s="375"/>
    </row>
    <row r="57" spans="1:29" ht="13.5">
      <c r="A57" s="395"/>
      <c r="B57" s="395"/>
      <c r="C57" s="395"/>
      <c r="D57" s="396"/>
      <c r="E57" s="396"/>
      <c r="F57" s="396"/>
      <c r="G57" s="396"/>
      <c r="H57" s="396"/>
      <c r="I57" s="396"/>
      <c r="J57" s="396"/>
      <c r="K57" s="396"/>
      <c r="L57" s="373"/>
      <c r="M57" s="373"/>
      <c r="N57" s="373"/>
      <c r="O57" s="373"/>
      <c r="P57" s="373"/>
      <c r="Q57" s="373"/>
      <c r="R57" s="373"/>
      <c r="S57" s="373"/>
      <c r="T57" s="373"/>
      <c r="U57" s="373"/>
      <c r="V57" s="373"/>
      <c r="W57" s="373"/>
      <c r="X57" s="373"/>
      <c r="Y57" s="373"/>
      <c r="Z57" s="373"/>
      <c r="AA57" s="373"/>
      <c r="AB57" s="373"/>
      <c r="AC57" s="375"/>
    </row>
    <row r="58" spans="1:29" ht="15.75">
      <c r="A58" s="395"/>
      <c r="B58" s="395"/>
      <c r="C58" s="395"/>
      <c r="D58" s="396"/>
      <c r="E58" s="396"/>
      <c r="F58" s="396"/>
      <c r="G58" s="396"/>
      <c r="H58" s="396"/>
      <c r="I58" s="396"/>
      <c r="J58" s="397"/>
      <c r="K58" s="396"/>
      <c r="L58" s="373"/>
      <c r="M58" s="373"/>
      <c r="N58" s="373"/>
      <c r="O58" s="373"/>
      <c r="P58" s="373"/>
      <c r="Q58" s="373"/>
      <c r="R58" s="373"/>
      <c r="S58" s="373"/>
      <c r="T58" s="373"/>
      <c r="U58" s="373"/>
      <c r="V58" s="373"/>
      <c r="W58" s="373"/>
      <c r="X58" s="373"/>
      <c r="Y58" s="373"/>
      <c r="Z58" s="373"/>
      <c r="AA58" s="373"/>
      <c r="AB58" s="373"/>
      <c r="AC58" s="375"/>
    </row>
    <row r="59" spans="1:29" ht="15.75">
      <c r="A59" s="395"/>
      <c r="B59" s="395"/>
      <c r="C59" s="395"/>
      <c r="D59" s="396"/>
      <c r="E59" s="396"/>
      <c r="F59" s="396"/>
      <c r="G59" s="396"/>
      <c r="H59" s="396"/>
      <c r="I59" s="396"/>
      <c r="J59" s="397"/>
      <c r="K59" s="396"/>
      <c r="L59" s="373"/>
      <c r="M59" s="373"/>
      <c r="N59" s="373"/>
      <c r="O59" s="373"/>
      <c r="P59" s="373"/>
      <c r="Q59" s="373"/>
      <c r="R59" s="373"/>
      <c r="S59" s="373"/>
      <c r="T59" s="373"/>
      <c r="U59" s="373"/>
      <c r="V59" s="373"/>
      <c r="W59" s="373"/>
      <c r="X59" s="373"/>
      <c r="Y59" s="373"/>
      <c r="Z59" s="373"/>
      <c r="AA59" s="373"/>
      <c r="AB59" s="373"/>
      <c r="AC59" s="375"/>
    </row>
    <row r="60" spans="1:29" ht="13.5">
      <c r="A60" s="372">
        <f>+A15</f>
        <v>6</v>
      </c>
      <c r="B60" s="372" t="str">
        <f>+B15</f>
        <v>April</v>
      </c>
      <c r="C60" s="372" t="str">
        <f>+C15</f>
        <v>Year 3</v>
      </c>
      <c r="D60" s="378" t="str">
        <f>+D15</f>
        <v>TO populates the formula with Year 2 data from FERC Form 1 for Year 2 (e.g., 2005)</v>
      </c>
      <c r="E60" s="373"/>
      <c r="F60" s="373"/>
      <c r="G60" s="373"/>
      <c r="H60" s="373"/>
      <c r="I60" s="373"/>
      <c r="J60" s="373"/>
      <c r="K60" s="373"/>
      <c r="L60" s="373"/>
      <c r="M60" s="373"/>
      <c r="N60" s="373"/>
      <c r="O60" s="373"/>
      <c r="P60" s="373"/>
      <c r="Q60" s="373"/>
      <c r="R60" s="373"/>
      <c r="S60" s="373"/>
      <c r="T60" s="373"/>
      <c r="U60" s="373"/>
      <c r="V60" s="373"/>
      <c r="W60" s="373"/>
      <c r="X60" s="373"/>
      <c r="Y60" s="373"/>
      <c r="Z60" s="373"/>
      <c r="AA60" s="373"/>
      <c r="AB60" s="373"/>
      <c r="AC60" s="375"/>
    </row>
    <row r="61" spans="1:29" ht="13.5">
      <c r="A61" s="372"/>
      <c r="B61" s="372"/>
      <c r="C61" s="372"/>
      <c r="D61" s="398">
        <v>183256064.91939718</v>
      </c>
      <c r="E61" s="373" t="s">
        <v>327</v>
      </c>
      <c r="F61" s="373"/>
      <c r="G61" s="384" t="s">
        <v>284</v>
      </c>
      <c r="H61" s="373"/>
      <c r="I61" s="373"/>
      <c r="K61" s="373"/>
      <c r="L61" s="373"/>
      <c r="M61" s="373"/>
      <c r="N61" s="373"/>
      <c r="O61" s="373"/>
      <c r="P61" s="373"/>
      <c r="Q61" s="373"/>
      <c r="R61" s="373"/>
      <c r="S61" s="373"/>
      <c r="T61" s="373"/>
      <c r="U61" s="373"/>
      <c r="V61" s="373"/>
      <c r="W61" s="373"/>
      <c r="X61" s="373"/>
      <c r="Y61" s="373"/>
      <c r="Z61" s="373"/>
      <c r="AA61" s="373"/>
      <c r="AB61" s="373"/>
      <c r="AC61" s="375"/>
    </row>
    <row r="62" spans="1:29" ht="13.5">
      <c r="A62" s="372"/>
      <c r="B62" s="372"/>
      <c r="C62" s="372"/>
      <c r="D62" s="399"/>
      <c r="E62" s="373"/>
      <c r="F62" s="373"/>
      <c r="G62" s="373"/>
      <c r="H62" s="373"/>
      <c r="I62" s="373"/>
      <c r="J62" s="373"/>
      <c r="K62" s="373"/>
      <c r="L62" s="373"/>
      <c r="M62" s="373"/>
      <c r="N62" s="373"/>
      <c r="O62" s="373"/>
      <c r="P62" s="373"/>
      <c r="Q62" s="373"/>
      <c r="R62" s="373"/>
      <c r="S62" s="373"/>
      <c r="T62" s="373"/>
      <c r="U62" s="373"/>
      <c r="V62" s="373"/>
      <c r="W62" s="373"/>
      <c r="X62" s="373"/>
      <c r="Y62" s="373"/>
      <c r="Z62" s="373"/>
      <c r="AA62" s="373"/>
      <c r="AB62" s="373"/>
      <c r="AC62" s="375"/>
    </row>
    <row r="63" spans="1:29" ht="13.5">
      <c r="A63" s="372"/>
      <c r="B63" s="372"/>
      <c r="C63" s="372"/>
      <c r="D63" s="400"/>
      <c r="E63" s="373"/>
      <c r="F63" s="373"/>
      <c r="G63" s="373"/>
      <c r="H63" s="401"/>
      <c r="I63" s="373"/>
      <c r="J63" s="373"/>
      <c r="K63" s="373"/>
      <c r="L63" s="373"/>
      <c r="M63" s="373"/>
      <c r="N63" s="373"/>
      <c r="O63" s="373"/>
      <c r="P63" s="373"/>
      <c r="Q63" s="373"/>
      <c r="R63" s="373"/>
      <c r="S63" s="373"/>
      <c r="T63" s="373"/>
      <c r="U63" s="373"/>
      <c r="V63" s="373"/>
      <c r="W63" s="373"/>
      <c r="X63" s="373"/>
      <c r="Y63" s="373"/>
      <c r="Z63" s="373"/>
      <c r="AA63" s="373"/>
      <c r="AB63" s="373"/>
      <c r="AC63" s="375"/>
    </row>
    <row r="64" spans="1:29" ht="13.5">
      <c r="A64" s="372"/>
      <c r="B64" s="372"/>
      <c r="C64" s="372"/>
      <c r="D64" s="373"/>
      <c r="E64" s="373"/>
      <c r="F64" s="373"/>
      <c r="G64" s="373"/>
      <c r="H64" s="389"/>
      <c r="I64" s="373"/>
      <c r="J64" s="373"/>
      <c r="K64" s="373"/>
      <c r="L64" s="373"/>
      <c r="M64" s="373"/>
      <c r="N64" s="373"/>
      <c r="O64" s="373"/>
      <c r="P64" s="373"/>
      <c r="Q64" s="373"/>
      <c r="R64" s="373"/>
      <c r="S64" s="373"/>
      <c r="T64" s="373"/>
      <c r="U64" s="373"/>
      <c r="V64" s="373"/>
      <c r="W64" s="373"/>
      <c r="X64" s="373"/>
      <c r="Y64" s="373"/>
      <c r="Z64" s="373"/>
      <c r="AA64" s="373"/>
      <c r="AB64" s="373"/>
      <c r="AC64" s="375"/>
    </row>
    <row r="65" spans="1:29" ht="13.5">
      <c r="A65" s="372">
        <v>7</v>
      </c>
      <c r="B65" s="372" t="str">
        <f>+B16</f>
        <v>April</v>
      </c>
      <c r="C65" s="372" t="str">
        <f>+C16</f>
        <v>Year 3</v>
      </c>
      <c r="D65" s="378" t="str">
        <f>+D16</f>
        <v>Reconciliation - TO calculates Reconciliation by removing from Year 2 data - the total Cap Adds placed in service in Year 2 and adding weighted average in Year 2 actual Cap Adds and CWIP in Reconciliation</v>
      </c>
      <c r="E65" s="380"/>
      <c r="F65" s="380"/>
      <c r="G65" s="380"/>
      <c r="H65" s="380"/>
      <c r="I65" s="380"/>
      <c r="J65" s="380"/>
      <c r="K65" s="373"/>
      <c r="L65" s="373"/>
      <c r="M65" s="373"/>
      <c r="N65" s="373"/>
      <c r="O65" s="373"/>
      <c r="P65" s="373"/>
      <c r="Q65" s="373"/>
      <c r="R65" s="373"/>
      <c r="S65" s="373"/>
      <c r="T65" s="373"/>
      <c r="U65" s="373"/>
      <c r="V65" s="373"/>
      <c r="W65" s="373"/>
      <c r="X65" s="373"/>
      <c r="Y65" s="373"/>
      <c r="Z65" s="373"/>
      <c r="AA65" s="373"/>
      <c r="AB65" s="373"/>
      <c r="AC65" s="375"/>
    </row>
    <row r="66" spans="1:29" ht="13.5">
      <c r="A66" s="372"/>
      <c r="B66" s="372"/>
      <c r="C66" s="372"/>
      <c r="D66" s="402" t="str">
        <f>+D17</f>
        <v>(adjusted to include any Reconciliation amount from prior year)</v>
      </c>
      <c r="E66" s="403"/>
      <c r="F66" s="403"/>
      <c r="G66" s="403"/>
      <c r="H66" s="380"/>
      <c r="I66" s="380"/>
      <c r="J66" s="380"/>
      <c r="K66" s="373"/>
      <c r="L66" s="373"/>
      <c r="M66" s="373"/>
      <c r="N66" s="373"/>
      <c r="O66" s="373"/>
      <c r="P66" s="373"/>
      <c r="Q66" s="373"/>
      <c r="R66" s="373"/>
      <c r="S66" s="373"/>
      <c r="T66" s="373"/>
      <c r="U66" s="373"/>
      <c r="V66" s="373"/>
      <c r="W66" s="373"/>
      <c r="X66" s="373"/>
      <c r="Y66" s="373"/>
      <c r="Z66" s="373"/>
      <c r="AA66" s="373"/>
      <c r="AB66" s="373"/>
      <c r="AC66" s="375"/>
    </row>
    <row r="67" spans="1:29" ht="13.5">
      <c r="A67" s="372"/>
      <c r="B67" s="372"/>
      <c r="C67" s="404"/>
      <c r="D67" s="405"/>
      <c r="E67" s="405"/>
      <c r="F67" s="405"/>
      <c r="G67" s="405"/>
      <c r="H67" s="405"/>
      <c r="I67" s="405"/>
      <c r="J67" s="405"/>
      <c r="K67" s="373"/>
      <c r="L67" s="373"/>
      <c r="M67" s="373"/>
      <c r="N67" s="373"/>
      <c r="O67" s="373"/>
      <c r="P67" s="373"/>
      <c r="Q67" s="373"/>
      <c r="R67" s="373"/>
      <c r="S67" s="373"/>
      <c r="T67" s="373"/>
      <c r="U67" s="373"/>
      <c r="V67" s="373"/>
      <c r="W67" s="373"/>
      <c r="X67" s="373"/>
      <c r="Y67" s="373"/>
      <c r="Z67" s="373"/>
      <c r="AA67" s="373"/>
      <c r="AB67" s="373"/>
      <c r="AC67" s="375"/>
    </row>
    <row r="68" spans="1:29" ht="13.5">
      <c r="A68" s="372"/>
      <c r="B68" s="372"/>
      <c r="C68" s="404"/>
      <c r="D68" s="399" t="s">
        <v>328</v>
      </c>
      <c r="E68" s="373"/>
      <c r="G68" s="373"/>
      <c r="H68" s="406"/>
      <c r="I68" s="373"/>
      <c r="K68" s="373"/>
      <c r="L68" s="373"/>
      <c r="M68" s="373"/>
      <c r="N68" s="373"/>
      <c r="O68" s="373"/>
      <c r="P68" s="373"/>
      <c r="Q68" s="373"/>
      <c r="R68" s="373"/>
      <c r="S68" s="373"/>
      <c r="T68" s="373"/>
      <c r="U68" s="373"/>
      <c r="V68" s="373"/>
      <c r="W68" s="373"/>
      <c r="X68" s="373"/>
      <c r="Y68" s="373"/>
      <c r="Z68" s="373"/>
      <c r="AA68" s="373"/>
      <c r="AB68" s="373"/>
      <c r="AC68" s="375"/>
    </row>
    <row r="69" spans="1:29" ht="13.5">
      <c r="A69" s="372"/>
      <c r="B69" s="372"/>
      <c r="C69" s="404"/>
      <c r="D69" s="373" t="s">
        <v>329</v>
      </c>
      <c r="E69" s="406"/>
      <c r="F69" s="373"/>
      <c r="G69" s="373"/>
      <c r="H69" s="407">
        <f>E89</f>
        <v>212364620.93000001</v>
      </c>
      <c r="I69" s="373" t="s">
        <v>330</v>
      </c>
      <c r="J69" s="373"/>
      <c r="K69" s="373"/>
      <c r="L69" s="373"/>
      <c r="M69" s="373"/>
      <c r="N69" s="373"/>
      <c r="O69" s="373"/>
      <c r="P69" s="373"/>
      <c r="Q69" s="373"/>
      <c r="R69" s="373"/>
      <c r="S69" s="373"/>
      <c r="T69" s="373"/>
      <c r="U69" s="373"/>
      <c r="V69" s="373"/>
      <c r="W69" s="373"/>
      <c r="X69" s="373"/>
      <c r="Y69" s="373"/>
      <c r="Z69" s="373"/>
      <c r="AA69" s="373"/>
      <c r="AB69" s="373"/>
      <c r="AC69" s="375"/>
    </row>
    <row r="70" spans="1:29" ht="13.5">
      <c r="A70" s="372"/>
      <c r="B70" s="372"/>
      <c r="C70" s="404"/>
      <c r="D70" s="399"/>
      <c r="E70" s="373"/>
      <c r="F70" s="373"/>
      <c r="G70" s="373"/>
      <c r="H70" s="373"/>
      <c r="I70" s="373"/>
      <c r="J70" s="373"/>
      <c r="K70" s="373"/>
      <c r="L70" s="373"/>
      <c r="M70" s="373"/>
      <c r="N70" s="373"/>
      <c r="O70" s="373"/>
      <c r="P70" s="373"/>
      <c r="Q70" s="373"/>
      <c r="R70" s="373"/>
      <c r="S70" s="373"/>
      <c r="T70" s="373"/>
      <c r="U70" s="373"/>
      <c r="V70" s="373"/>
      <c r="W70" s="373"/>
      <c r="X70" s="373"/>
      <c r="Y70" s="373"/>
      <c r="Z70" s="373"/>
      <c r="AA70" s="373"/>
      <c r="AB70" s="373"/>
      <c r="AC70" s="375"/>
    </row>
    <row r="71" spans="1:29" ht="13.5">
      <c r="A71" s="372"/>
      <c r="B71" s="372"/>
      <c r="C71" s="404"/>
      <c r="D71" s="408" t="s">
        <v>331</v>
      </c>
      <c r="E71" s="373"/>
      <c r="F71" s="373"/>
      <c r="G71" s="373"/>
      <c r="H71" s="373"/>
      <c r="I71" s="373"/>
      <c r="J71" s="373"/>
      <c r="K71" s="373"/>
      <c r="L71" s="373"/>
      <c r="M71" s="373"/>
      <c r="N71" s="373"/>
      <c r="O71" s="373"/>
      <c r="P71" s="373"/>
      <c r="Q71" s="373"/>
      <c r="R71" s="373"/>
      <c r="S71" s="373"/>
      <c r="T71" s="373"/>
      <c r="U71" s="373"/>
      <c r="V71" s="373"/>
      <c r="W71" s="373"/>
      <c r="X71" s="373"/>
      <c r="Y71" s="373"/>
      <c r="Z71" s="373"/>
      <c r="AA71" s="373"/>
      <c r="AB71" s="373"/>
      <c r="AC71" s="375"/>
    </row>
    <row r="72" spans="1:29" ht="13.5">
      <c r="A72" s="372"/>
      <c r="B72" s="372"/>
      <c r="C72" s="404"/>
      <c r="D72" s="408"/>
      <c r="E72" s="373"/>
      <c r="F72" s="373"/>
      <c r="G72" s="373"/>
      <c r="H72" s="373"/>
      <c r="I72" s="373"/>
      <c r="J72" s="373"/>
      <c r="K72" s="373"/>
      <c r="L72" s="373"/>
      <c r="M72" s="373"/>
      <c r="N72" s="373"/>
      <c r="O72" s="373"/>
      <c r="P72" s="373"/>
      <c r="Q72" s="373"/>
      <c r="R72" s="373"/>
      <c r="S72" s="373"/>
      <c r="T72" s="373"/>
      <c r="U72" s="373"/>
      <c r="V72" s="373"/>
      <c r="W72" s="373"/>
      <c r="X72" s="373"/>
      <c r="Y72" s="373"/>
      <c r="Z72" s="373"/>
      <c r="AA72" s="373"/>
      <c r="AB72" s="373"/>
      <c r="AC72" s="375"/>
    </row>
    <row r="73" spans="1:29" ht="13.5">
      <c r="A73" s="372"/>
      <c r="B73" s="372"/>
      <c r="C73" s="404"/>
      <c r="D73" s="408"/>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5"/>
    </row>
    <row r="74" spans="1:29" ht="13.5">
      <c r="A74" s="372"/>
      <c r="B74" s="372"/>
      <c r="C74" s="404"/>
      <c r="E74" s="385" t="s">
        <v>285</v>
      </c>
      <c r="F74" s="385" t="s">
        <v>286</v>
      </c>
      <c r="G74" s="385" t="s">
        <v>287</v>
      </c>
      <c r="H74" s="385" t="s">
        <v>288</v>
      </c>
      <c r="I74" s="385" t="s">
        <v>289</v>
      </c>
      <c r="J74" s="385" t="s">
        <v>290</v>
      </c>
      <c r="K74" s="385" t="s">
        <v>291</v>
      </c>
      <c r="L74" s="385" t="s">
        <v>292</v>
      </c>
      <c r="M74" s="385" t="s">
        <v>293</v>
      </c>
      <c r="N74" s="385" t="s">
        <v>294</v>
      </c>
      <c r="O74" s="372" t="s">
        <v>295</v>
      </c>
      <c r="P74" s="372" t="s">
        <v>296</v>
      </c>
      <c r="Q74" s="372" t="s">
        <v>297</v>
      </c>
      <c r="R74" s="373"/>
      <c r="S74" s="373"/>
      <c r="T74" s="373"/>
      <c r="U74" s="373"/>
      <c r="V74" s="373"/>
      <c r="W74" s="373"/>
      <c r="X74" s="373"/>
      <c r="Y74" s="373"/>
      <c r="Z74" s="373"/>
      <c r="AA74" s="373"/>
      <c r="AB74" s="373"/>
      <c r="AC74" s="375"/>
    </row>
    <row r="75" spans="1:29" ht="13.5">
      <c r="A75" s="372"/>
      <c r="B75" s="372"/>
      <c r="C75" s="404"/>
      <c r="E75" s="372" t="s">
        <v>298</v>
      </c>
      <c r="F75" s="372" t="s">
        <v>298</v>
      </c>
      <c r="G75" s="372" t="s">
        <v>298</v>
      </c>
      <c r="H75" s="372" t="s">
        <v>298</v>
      </c>
      <c r="J75" s="372" t="str">
        <f>+E76</f>
        <v>Other Plant In Service</v>
      </c>
      <c r="K75" s="372" t="str">
        <f>+F76</f>
        <v>Other Plant In Service</v>
      </c>
      <c r="L75" s="372" t="str">
        <f>+G76</f>
        <v>MAPP CWIP</v>
      </c>
      <c r="M75" s="372" t="str">
        <f>+H76</f>
        <v>MAPP In Service</v>
      </c>
      <c r="N75" s="372" t="str">
        <f>+E76</f>
        <v>Other Plant In Service</v>
      </c>
      <c r="O75" s="372" t="str">
        <f>+F76</f>
        <v>Other Plant In Service</v>
      </c>
      <c r="P75" s="372" t="str">
        <f>+G76</f>
        <v>MAPP CWIP</v>
      </c>
      <c r="Q75" s="372" t="str">
        <f>+H76</f>
        <v>MAPP In Service</v>
      </c>
      <c r="R75" s="373"/>
      <c r="S75" s="373"/>
      <c r="T75" s="373"/>
      <c r="U75" s="373"/>
      <c r="V75" s="373"/>
      <c r="W75" s="373"/>
      <c r="X75" s="373"/>
      <c r="Y75" s="373"/>
      <c r="Z75" s="373"/>
      <c r="AA75" s="373"/>
      <c r="AB75" s="373"/>
      <c r="AC75" s="375"/>
    </row>
    <row r="76" spans="1:29" ht="13.5">
      <c r="A76" s="372"/>
      <c r="B76" s="372"/>
      <c r="C76" s="404"/>
      <c r="D76" s="373"/>
      <c r="E76" s="372" t="s">
        <v>299</v>
      </c>
      <c r="F76" s="372" t="s">
        <v>299</v>
      </c>
      <c r="G76" s="372" t="s">
        <v>300</v>
      </c>
      <c r="H76" s="372" t="s">
        <v>301</v>
      </c>
      <c r="I76" s="372" t="s">
        <v>302</v>
      </c>
      <c r="J76" s="372" t="s">
        <v>303</v>
      </c>
      <c r="K76" s="372" t="s">
        <v>304</v>
      </c>
      <c r="L76" s="372" t="s">
        <v>305</v>
      </c>
      <c r="M76" s="372" t="s">
        <v>306</v>
      </c>
      <c r="N76" s="372" t="s">
        <v>307</v>
      </c>
      <c r="O76" s="372" t="s">
        <v>308</v>
      </c>
      <c r="P76" s="372" t="s">
        <v>309</v>
      </c>
      <c r="Q76" s="372" t="s">
        <v>310</v>
      </c>
      <c r="R76" s="373"/>
      <c r="S76" s="373"/>
      <c r="T76" s="373"/>
      <c r="U76" s="373"/>
      <c r="V76" s="373"/>
      <c r="W76" s="373"/>
      <c r="X76" s="373"/>
      <c r="Y76" s="373"/>
      <c r="Z76" s="373"/>
      <c r="AA76" s="373"/>
      <c r="AB76" s="373"/>
      <c r="AC76" s="375"/>
    </row>
    <row r="77" spans="1:29" ht="13.5">
      <c r="A77" s="372"/>
      <c r="B77" s="372"/>
      <c r="C77" s="404"/>
      <c r="D77" s="373" t="s">
        <v>311</v>
      </c>
      <c r="E77" s="409">
        <v>141088.35000000021</v>
      </c>
      <c r="F77" s="410"/>
      <c r="G77" s="411"/>
      <c r="H77" s="412"/>
      <c r="I77" s="373">
        <v>11.5</v>
      </c>
      <c r="J77" s="389">
        <f t="shared" ref="J77:J88" si="6">+I77*E77</f>
        <v>1622516.0250000025</v>
      </c>
      <c r="K77" s="389">
        <f t="shared" ref="K77:K88" si="7">+I77*F77</f>
        <v>0</v>
      </c>
      <c r="L77" s="389">
        <f t="shared" ref="L77:L89" si="8">+I77*G77</f>
        <v>0</v>
      </c>
      <c r="M77" s="389">
        <f t="shared" ref="M77:M89" si="9">+I77*H77</f>
        <v>0</v>
      </c>
      <c r="N77" s="382">
        <f t="shared" ref="N77:Q88" si="10">+J77/12</f>
        <v>135209.66875000022</v>
      </c>
      <c r="O77" s="382">
        <f t="shared" si="10"/>
        <v>0</v>
      </c>
      <c r="P77" s="382">
        <f t="shared" si="10"/>
        <v>0</v>
      </c>
      <c r="Q77" s="382">
        <f t="shared" si="10"/>
        <v>0</v>
      </c>
      <c r="R77" s="373"/>
      <c r="S77" s="373"/>
      <c r="T77" s="373"/>
      <c r="U77" s="373"/>
      <c r="V77" s="373"/>
      <c r="W77" s="373"/>
      <c r="X77" s="373"/>
      <c r="Y77" s="373"/>
      <c r="Z77" s="373"/>
      <c r="AA77" s="373"/>
      <c r="AB77" s="373"/>
      <c r="AC77" s="375"/>
    </row>
    <row r="78" spans="1:29" ht="13.5">
      <c r="A78" s="372"/>
      <c r="B78" s="372"/>
      <c r="C78" s="404"/>
      <c r="D78" s="373" t="s">
        <v>312</v>
      </c>
      <c r="E78" s="409">
        <v>10407273.949999999</v>
      </c>
      <c r="F78" s="410"/>
      <c r="G78" s="411"/>
      <c r="H78" s="412"/>
      <c r="I78" s="373">
        <f t="shared" ref="I78:I88" si="11">+I77-1</f>
        <v>10.5</v>
      </c>
      <c r="J78" s="389">
        <f t="shared" si="6"/>
        <v>109276376.47499999</v>
      </c>
      <c r="K78" s="389">
        <f t="shared" si="7"/>
        <v>0</v>
      </c>
      <c r="L78" s="389">
        <f t="shared" si="8"/>
        <v>0</v>
      </c>
      <c r="M78" s="389">
        <f t="shared" si="9"/>
        <v>0</v>
      </c>
      <c r="N78" s="382">
        <f t="shared" si="10"/>
        <v>9106364.7062499989</v>
      </c>
      <c r="O78" s="382">
        <f t="shared" si="10"/>
        <v>0</v>
      </c>
      <c r="P78" s="382">
        <f t="shared" si="10"/>
        <v>0</v>
      </c>
      <c r="Q78" s="382">
        <f t="shared" si="10"/>
        <v>0</v>
      </c>
      <c r="R78" s="373"/>
      <c r="S78" s="373"/>
      <c r="T78" s="373"/>
      <c r="U78" s="373"/>
      <c r="V78" s="373"/>
      <c r="W78" s="373"/>
      <c r="X78" s="373"/>
      <c r="Y78" s="373"/>
      <c r="Z78" s="373"/>
      <c r="AA78" s="373"/>
      <c r="AB78" s="373"/>
      <c r="AC78" s="375"/>
    </row>
    <row r="79" spans="1:29" ht="13.5">
      <c r="A79" s="372"/>
      <c r="B79" s="372"/>
      <c r="D79" s="373" t="s">
        <v>313</v>
      </c>
      <c r="E79" s="409">
        <v>228188.38999999966</v>
      </c>
      <c r="F79" s="410"/>
      <c r="G79" s="411"/>
      <c r="H79" s="412"/>
      <c r="I79" s="373">
        <f t="shared" si="11"/>
        <v>9.5</v>
      </c>
      <c r="J79" s="389">
        <f t="shared" si="6"/>
        <v>2167789.7049999968</v>
      </c>
      <c r="K79" s="389">
        <f t="shared" si="7"/>
        <v>0</v>
      </c>
      <c r="L79" s="389">
        <f t="shared" si="8"/>
        <v>0</v>
      </c>
      <c r="M79" s="389">
        <f t="shared" si="9"/>
        <v>0</v>
      </c>
      <c r="N79" s="382">
        <f t="shared" si="10"/>
        <v>180649.14208333308</v>
      </c>
      <c r="O79" s="382">
        <f t="shared" si="10"/>
        <v>0</v>
      </c>
      <c r="P79" s="382">
        <f t="shared" si="10"/>
        <v>0</v>
      </c>
      <c r="Q79" s="382">
        <f t="shared" si="10"/>
        <v>0</v>
      </c>
      <c r="R79" s="373"/>
      <c r="S79" s="373"/>
      <c r="T79" s="373"/>
      <c r="U79" s="373"/>
      <c r="V79" s="373"/>
      <c r="W79" s="373"/>
      <c r="X79" s="373"/>
      <c r="Y79" s="373"/>
      <c r="Z79" s="373"/>
      <c r="AA79" s="373"/>
      <c r="AB79" s="373"/>
      <c r="AC79" s="375"/>
    </row>
    <row r="80" spans="1:29" ht="15">
      <c r="A80" s="372"/>
      <c r="B80" s="372"/>
      <c r="C80" s="413"/>
      <c r="D80" s="373" t="s">
        <v>314</v>
      </c>
      <c r="E80" s="409">
        <v>8692183.2599999998</v>
      </c>
      <c r="F80" s="410"/>
      <c r="G80" s="411"/>
      <c r="H80" s="412"/>
      <c r="I80" s="373">
        <f t="shared" si="11"/>
        <v>8.5</v>
      </c>
      <c r="J80" s="389">
        <f t="shared" si="6"/>
        <v>73883557.709999993</v>
      </c>
      <c r="K80" s="389">
        <f t="shared" si="7"/>
        <v>0</v>
      </c>
      <c r="L80" s="389">
        <f t="shared" si="8"/>
        <v>0</v>
      </c>
      <c r="M80" s="389">
        <f t="shared" si="9"/>
        <v>0</v>
      </c>
      <c r="N80" s="382">
        <f t="shared" si="10"/>
        <v>6156963.1424999991</v>
      </c>
      <c r="O80" s="382">
        <f t="shared" si="10"/>
        <v>0</v>
      </c>
      <c r="P80" s="382">
        <f t="shared" si="10"/>
        <v>0</v>
      </c>
      <c r="Q80" s="382">
        <f t="shared" si="10"/>
        <v>0</v>
      </c>
      <c r="R80" s="373"/>
      <c r="S80" s="373"/>
      <c r="T80" s="373"/>
      <c r="U80" s="373"/>
      <c r="V80" s="373"/>
      <c r="W80" s="373"/>
      <c r="X80" s="373"/>
      <c r="Y80" s="373"/>
      <c r="Z80" s="373"/>
      <c r="AA80" s="373"/>
      <c r="AB80" s="373"/>
      <c r="AC80" s="375"/>
    </row>
    <row r="81" spans="1:29" ht="13.5">
      <c r="A81" s="372"/>
      <c r="B81" s="372"/>
      <c r="D81" s="373" t="s">
        <v>271</v>
      </c>
      <c r="E81" s="409">
        <v>22291198.520000003</v>
      </c>
      <c r="F81" s="410"/>
      <c r="G81" s="411"/>
      <c r="H81" s="412"/>
      <c r="I81" s="373">
        <f t="shared" si="11"/>
        <v>7.5</v>
      </c>
      <c r="J81" s="389">
        <f t="shared" si="6"/>
        <v>167183988.90000004</v>
      </c>
      <c r="K81" s="389">
        <f t="shared" si="7"/>
        <v>0</v>
      </c>
      <c r="L81" s="389">
        <f t="shared" si="8"/>
        <v>0</v>
      </c>
      <c r="M81" s="389">
        <f t="shared" si="9"/>
        <v>0</v>
      </c>
      <c r="N81" s="382">
        <f t="shared" si="10"/>
        <v>13931999.075000003</v>
      </c>
      <c r="O81" s="382">
        <f t="shared" si="10"/>
        <v>0</v>
      </c>
      <c r="P81" s="382">
        <f t="shared" si="10"/>
        <v>0</v>
      </c>
      <c r="Q81" s="382">
        <f t="shared" si="10"/>
        <v>0</v>
      </c>
      <c r="R81" s="373"/>
      <c r="S81" s="373"/>
      <c r="T81" s="373"/>
      <c r="U81" s="373"/>
      <c r="V81" s="373"/>
      <c r="W81" s="373"/>
      <c r="X81" s="373"/>
      <c r="Y81" s="373"/>
      <c r="Z81" s="373"/>
      <c r="AA81" s="373"/>
      <c r="AB81" s="373"/>
      <c r="AC81" s="375"/>
    </row>
    <row r="82" spans="1:29" ht="15">
      <c r="A82" s="372"/>
      <c r="B82" s="372"/>
      <c r="C82" s="413"/>
      <c r="D82" s="373" t="s">
        <v>315</v>
      </c>
      <c r="E82" s="409">
        <v>2217194.9899999984</v>
      </c>
      <c r="F82" s="410"/>
      <c r="G82" s="411"/>
      <c r="H82" s="412"/>
      <c r="I82" s="373">
        <f t="shared" si="11"/>
        <v>6.5</v>
      </c>
      <c r="J82" s="389">
        <f t="shared" si="6"/>
        <v>14411767.434999989</v>
      </c>
      <c r="K82" s="389">
        <f t="shared" si="7"/>
        <v>0</v>
      </c>
      <c r="L82" s="389">
        <f t="shared" si="8"/>
        <v>0</v>
      </c>
      <c r="M82" s="389">
        <f t="shared" si="9"/>
        <v>0</v>
      </c>
      <c r="N82" s="382">
        <f t="shared" si="10"/>
        <v>1200980.6195833324</v>
      </c>
      <c r="O82" s="382">
        <f t="shared" si="10"/>
        <v>0</v>
      </c>
      <c r="P82" s="382">
        <f t="shared" si="10"/>
        <v>0</v>
      </c>
      <c r="Q82" s="382">
        <f t="shared" si="10"/>
        <v>0</v>
      </c>
      <c r="R82" s="373"/>
      <c r="S82" s="373"/>
      <c r="T82" s="373"/>
      <c r="U82" s="373"/>
      <c r="V82" s="373"/>
      <c r="W82" s="373"/>
      <c r="X82" s="373"/>
      <c r="Y82" s="373"/>
      <c r="Z82" s="373"/>
      <c r="AA82" s="373"/>
      <c r="AB82" s="373"/>
      <c r="AC82" s="375"/>
    </row>
    <row r="83" spans="1:29" ht="13.5">
      <c r="A83" s="372"/>
      <c r="B83" s="372"/>
      <c r="D83" s="373" t="s">
        <v>316</v>
      </c>
      <c r="E83" s="409">
        <v>4549158.96</v>
      </c>
      <c r="F83" s="410"/>
      <c r="G83" s="411"/>
      <c r="H83" s="412"/>
      <c r="I83" s="373">
        <f t="shared" si="11"/>
        <v>5.5</v>
      </c>
      <c r="J83" s="389">
        <f t="shared" si="6"/>
        <v>25020374.280000001</v>
      </c>
      <c r="K83" s="389">
        <f t="shared" si="7"/>
        <v>0</v>
      </c>
      <c r="L83" s="389">
        <f t="shared" si="8"/>
        <v>0</v>
      </c>
      <c r="M83" s="389">
        <f t="shared" si="9"/>
        <v>0</v>
      </c>
      <c r="N83" s="382">
        <f t="shared" si="10"/>
        <v>2085031.1900000002</v>
      </c>
      <c r="O83" s="382">
        <f t="shared" si="10"/>
        <v>0</v>
      </c>
      <c r="P83" s="382">
        <f t="shared" si="10"/>
        <v>0</v>
      </c>
      <c r="Q83" s="382">
        <f t="shared" si="10"/>
        <v>0</v>
      </c>
      <c r="R83" s="373"/>
      <c r="S83" s="373"/>
      <c r="T83" s="373"/>
      <c r="U83" s="373"/>
      <c r="V83" s="373"/>
      <c r="W83" s="373"/>
      <c r="X83" s="373"/>
      <c r="Y83" s="373"/>
      <c r="Z83" s="373"/>
      <c r="AA83" s="373"/>
      <c r="AB83" s="373"/>
      <c r="AC83" s="375"/>
    </row>
    <row r="84" spans="1:29" ht="15">
      <c r="A84" s="372"/>
      <c r="B84" s="372"/>
      <c r="C84" s="413"/>
      <c r="D84" s="373" t="s">
        <v>317</v>
      </c>
      <c r="E84" s="409">
        <v>1842954.7599999995</v>
      </c>
      <c r="F84" s="410"/>
      <c r="G84" s="411"/>
      <c r="H84" s="412"/>
      <c r="I84" s="373">
        <f t="shared" si="11"/>
        <v>4.5</v>
      </c>
      <c r="J84" s="389">
        <f t="shared" si="6"/>
        <v>8293296.4199999981</v>
      </c>
      <c r="K84" s="389">
        <f t="shared" si="7"/>
        <v>0</v>
      </c>
      <c r="L84" s="389">
        <f t="shared" si="8"/>
        <v>0</v>
      </c>
      <c r="M84" s="389">
        <f t="shared" si="9"/>
        <v>0</v>
      </c>
      <c r="N84" s="382">
        <f t="shared" si="10"/>
        <v>691108.0349999998</v>
      </c>
      <c r="O84" s="382">
        <f t="shared" si="10"/>
        <v>0</v>
      </c>
      <c r="P84" s="382">
        <f t="shared" si="10"/>
        <v>0</v>
      </c>
      <c r="Q84" s="382">
        <f t="shared" si="10"/>
        <v>0</v>
      </c>
      <c r="R84" s="373"/>
      <c r="S84" s="373"/>
      <c r="T84" s="373"/>
      <c r="U84" s="373"/>
      <c r="V84" s="373"/>
      <c r="W84" s="373"/>
      <c r="X84" s="373"/>
      <c r="Y84" s="373"/>
      <c r="Z84" s="373"/>
      <c r="AA84" s="373"/>
      <c r="AB84" s="373"/>
      <c r="AC84" s="375"/>
    </row>
    <row r="85" spans="1:29" ht="13.5">
      <c r="A85" s="372"/>
      <c r="B85" s="372"/>
      <c r="D85" s="373" t="s">
        <v>318</v>
      </c>
      <c r="E85" s="409">
        <v>378989.49</v>
      </c>
      <c r="F85" s="410"/>
      <c r="G85" s="411"/>
      <c r="H85" s="412"/>
      <c r="I85" s="373">
        <f t="shared" si="11"/>
        <v>3.5</v>
      </c>
      <c r="J85" s="389">
        <f t="shared" si="6"/>
        <v>1326463.2149999999</v>
      </c>
      <c r="K85" s="389">
        <f t="shared" si="7"/>
        <v>0</v>
      </c>
      <c r="L85" s="389">
        <f t="shared" si="8"/>
        <v>0</v>
      </c>
      <c r="M85" s="389">
        <f t="shared" si="9"/>
        <v>0</v>
      </c>
      <c r="N85" s="382">
        <f t="shared" si="10"/>
        <v>110538.60124999999</v>
      </c>
      <c r="O85" s="382">
        <f t="shared" si="10"/>
        <v>0</v>
      </c>
      <c r="P85" s="382">
        <f t="shared" si="10"/>
        <v>0</v>
      </c>
      <c r="Q85" s="382">
        <f t="shared" si="10"/>
        <v>0</v>
      </c>
      <c r="R85" s="373"/>
      <c r="S85" s="373"/>
      <c r="T85" s="373"/>
      <c r="U85" s="373"/>
      <c r="V85" s="373"/>
      <c r="W85" s="373"/>
      <c r="X85" s="373"/>
      <c r="Y85" s="373"/>
      <c r="Z85" s="373"/>
      <c r="AA85" s="373"/>
      <c r="AB85" s="373"/>
      <c r="AC85" s="375"/>
    </row>
    <row r="86" spans="1:29" ht="15">
      <c r="A86" s="372"/>
      <c r="B86" s="372"/>
      <c r="C86" s="413"/>
      <c r="D86" s="373" t="s">
        <v>319</v>
      </c>
      <c r="E86" s="409">
        <v>-658759.72</v>
      </c>
      <c r="F86" s="410"/>
      <c r="G86" s="411"/>
      <c r="H86" s="412"/>
      <c r="I86" s="373">
        <f t="shared" si="11"/>
        <v>2.5</v>
      </c>
      <c r="J86" s="389">
        <f t="shared" si="6"/>
        <v>-1646899.2999999998</v>
      </c>
      <c r="K86" s="389">
        <f t="shared" si="7"/>
        <v>0</v>
      </c>
      <c r="L86" s="389">
        <f t="shared" si="8"/>
        <v>0</v>
      </c>
      <c r="M86" s="389">
        <f t="shared" si="9"/>
        <v>0</v>
      </c>
      <c r="N86" s="382">
        <f t="shared" si="10"/>
        <v>-137241.60833333331</v>
      </c>
      <c r="O86" s="382">
        <f>+K86/12</f>
        <v>0</v>
      </c>
      <c r="P86" s="382">
        <f>+L86/12</f>
        <v>0</v>
      </c>
      <c r="Q86" s="382">
        <f>+M86/12</f>
        <v>0</v>
      </c>
      <c r="R86" s="373"/>
      <c r="S86" s="373"/>
      <c r="T86" s="373"/>
      <c r="U86" s="373"/>
      <c r="V86" s="373"/>
      <c r="W86" s="373"/>
      <c r="X86" s="373"/>
      <c r="Y86" s="373"/>
      <c r="Z86" s="373"/>
      <c r="AA86" s="373"/>
      <c r="AB86" s="373"/>
      <c r="AC86" s="375"/>
    </row>
    <row r="87" spans="1:29" ht="13.5">
      <c r="A87" s="372"/>
      <c r="B87" s="372"/>
      <c r="D87" s="373" t="s">
        <v>320</v>
      </c>
      <c r="E87" s="409">
        <v>50188489.769999996</v>
      </c>
      <c r="F87" s="410"/>
      <c r="G87" s="411"/>
      <c r="H87" s="412"/>
      <c r="I87" s="373">
        <f t="shared" si="11"/>
        <v>1.5</v>
      </c>
      <c r="J87" s="389">
        <f t="shared" si="6"/>
        <v>75282734.655000001</v>
      </c>
      <c r="K87" s="389">
        <f t="shared" si="7"/>
        <v>0</v>
      </c>
      <c r="L87" s="389">
        <f t="shared" si="8"/>
        <v>0</v>
      </c>
      <c r="M87" s="389">
        <f t="shared" si="9"/>
        <v>0</v>
      </c>
      <c r="N87" s="382">
        <f t="shared" si="10"/>
        <v>6273561.2212500004</v>
      </c>
      <c r="O87" s="382">
        <f t="shared" si="10"/>
        <v>0</v>
      </c>
      <c r="P87" s="382">
        <f t="shared" si="10"/>
        <v>0</v>
      </c>
      <c r="Q87" s="382">
        <f t="shared" si="10"/>
        <v>0</v>
      </c>
      <c r="R87" s="373"/>
      <c r="S87" s="373"/>
      <c r="T87" s="373"/>
      <c r="U87" s="373"/>
      <c r="V87" s="373"/>
      <c r="W87" s="373"/>
      <c r="X87" s="373"/>
      <c r="Y87" s="373"/>
      <c r="Z87" s="373"/>
      <c r="AA87" s="373"/>
      <c r="AB87" s="373"/>
      <c r="AC87" s="375"/>
    </row>
    <row r="88" spans="1:29" ht="15">
      <c r="A88" s="372"/>
      <c r="B88" s="372"/>
      <c r="C88" s="413"/>
      <c r="D88" s="373" t="s">
        <v>321</v>
      </c>
      <c r="E88" s="409">
        <v>112086660.20999999</v>
      </c>
      <c r="F88" s="410"/>
      <c r="G88" s="411"/>
      <c r="H88" s="412"/>
      <c r="I88" s="373">
        <f t="shared" si="11"/>
        <v>0.5</v>
      </c>
      <c r="J88" s="389">
        <f t="shared" si="6"/>
        <v>56043330.104999997</v>
      </c>
      <c r="K88" s="389">
        <f t="shared" si="7"/>
        <v>0</v>
      </c>
      <c r="L88" s="389">
        <f t="shared" si="8"/>
        <v>0</v>
      </c>
      <c r="M88" s="389">
        <f t="shared" si="9"/>
        <v>0</v>
      </c>
      <c r="N88" s="382">
        <f t="shared" si="10"/>
        <v>4670277.50875</v>
      </c>
      <c r="O88" s="382">
        <f t="shared" si="10"/>
        <v>0</v>
      </c>
      <c r="P88" s="382">
        <f t="shared" si="10"/>
        <v>0</v>
      </c>
      <c r="Q88" s="382">
        <f t="shared" si="10"/>
        <v>0</v>
      </c>
      <c r="R88" s="373"/>
      <c r="S88" s="373"/>
      <c r="T88" s="373"/>
      <c r="U88" s="373"/>
      <c r="V88" s="373"/>
      <c r="W88" s="373"/>
      <c r="X88" s="373"/>
      <c r="Y88" s="373"/>
      <c r="Z88" s="373"/>
      <c r="AA88" s="373"/>
      <c r="AB88" s="373"/>
      <c r="AC88" s="375"/>
    </row>
    <row r="89" spans="1:29" ht="13.5">
      <c r="A89" s="372"/>
      <c r="B89" s="372"/>
      <c r="D89" s="373" t="s">
        <v>61</v>
      </c>
      <c r="E89" s="389">
        <f>SUM(E77:E88)</f>
        <v>212364620.93000001</v>
      </c>
      <c r="F89" s="389">
        <f>SUM(F77:F88)</f>
        <v>0</v>
      </c>
      <c r="G89" s="389">
        <f>SUM(G77:G88)</f>
        <v>0</v>
      </c>
      <c r="H89" s="389">
        <f>SUM(H77:H88)</f>
        <v>0</v>
      </c>
      <c r="I89" s="373"/>
      <c r="J89" s="389">
        <f>SUM(J77:J88)</f>
        <v>532865295.62500012</v>
      </c>
      <c r="K89" s="389">
        <f>SUM(K77:K88)</f>
        <v>0</v>
      </c>
      <c r="L89" s="389">
        <f t="shared" si="8"/>
        <v>0</v>
      </c>
      <c r="M89" s="389">
        <f t="shared" si="9"/>
        <v>0</v>
      </c>
      <c r="N89" s="382">
        <f>SUM(N77:N88)</f>
        <v>44405441.302083328</v>
      </c>
      <c r="O89" s="382">
        <f>SUM(O77:O88)</f>
        <v>0</v>
      </c>
      <c r="P89" s="382">
        <f>SUM(P77:P88)</f>
        <v>0</v>
      </c>
      <c r="Q89" s="382">
        <f>SUM(Q77:Q88)</f>
        <v>0</v>
      </c>
      <c r="R89" s="373"/>
      <c r="S89" s="373"/>
      <c r="T89" s="373"/>
      <c r="U89" s="373"/>
      <c r="V89" s="373"/>
      <c r="W89" s="373"/>
      <c r="X89" s="373"/>
      <c r="Y89" s="373"/>
      <c r="Z89" s="373"/>
      <c r="AA89" s="373"/>
      <c r="AB89" s="373"/>
      <c r="AC89" s="375"/>
    </row>
    <row r="90" spans="1:29" ht="13.5">
      <c r="A90" s="372"/>
      <c r="B90" s="372"/>
      <c r="C90" s="372"/>
      <c r="D90" s="373" t="s">
        <v>322</v>
      </c>
      <c r="E90" s="373"/>
      <c r="G90" s="373"/>
      <c r="H90" s="373"/>
      <c r="I90" s="373"/>
      <c r="J90" s="373"/>
      <c r="N90" s="390">
        <f>+N89</f>
        <v>44405441.302083328</v>
      </c>
      <c r="O90" s="390">
        <f>+O89</f>
        <v>0</v>
      </c>
      <c r="P90" s="390">
        <f>+P89</f>
        <v>0</v>
      </c>
      <c r="Q90" s="390">
        <f>+Q89</f>
        <v>0</v>
      </c>
      <c r="R90" s="373"/>
      <c r="S90" s="373"/>
      <c r="T90" s="373"/>
      <c r="U90" s="373"/>
      <c r="V90" s="373"/>
      <c r="W90" s="373"/>
      <c r="X90" s="373"/>
      <c r="Y90" s="373"/>
      <c r="Z90" s="373"/>
      <c r="AA90" s="373"/>
      <c r="AB90" s="373"/>
      <c r="AC90" s="375"/>
    </row>
    <row r="91" spans="1:29" ht="13.5">
      <c r="A91" s="372"/>
      <c r="B91" s="372"/>
      <c r="C91" s="372"/>
      <c r="D91" s="373"/>
      <c r="E91" s="373"/>
      <c r="G91" s="414"/>
      <c r="I91" s="373"/>
      <c r="J91" s="373"/>
      <c r="L91" s="390" t="s">
        <v>323</v>
      </c>
      <c r="M91" s="373"/>
      <c r="N91" s="389">
        <f>+N90</f>
        <v>44405441.302083328</v>
      </c>
      <c r="O91" s="389">
        <f>+O90</f>
        <v>0</v>
      </c>
      <c r="P91" s="373"/>
      <c r="Q91" s="389">
        <f>+Q90</f>
        <v>0</v>
      </c>
      <c r="R91" s="389">
        <f>+N91+Q91</f>
        <v>44405441.302083328</v>
      </c>
      <c r="S91" s="373"/>
      <c r="T91" s="373"/>
      <c r="U91" s="373"/>
      <c r="V91" s="373"/>
      <c r="W91" s="373"/>
      <c r="X91" s="373"/>
      <c r="Y91" s="373"/>
      <c r="Z91" s="373"/>
      <c r="AA91" s="373"/>
      <c r="AB91" s="373"/>
      <c r="AC91" s="375"/>
    </row>
    <row r="92" spans="1:29" ht="13.5">
      <c r="A92" s="372"/>
      <c r="B92" s="372"/>
      <c r="C92" s="372"/>
      <c r="D92" s="373"/>
      <c r="E92" s="373"/>
      <c r="G92" s="415"/>
      <c r="H92" s="373"/>
      <c r="I92" s="389"/>
      <c r="J92" s="373"/>
      <c r="L92" s="373" t="s">
        <v>324</v>
      </c>
      <c r="M92" s="373"/>
      <c r="N92" s="373"/>
      <c r="O92" s="373"/>
      <c r="P92" s="389">
        <f>+P90</f>
        <v>0</v>
      </c>
      <c r="Q92" s="373"/>
      <c r="R92" s="389">
        <f>+P92</f>
        <v>0</v>
      </c>
      <c r="S92" s="373"/>
      <c r="T92" s="373"/>
      <c r="U92" s="373"/>
      <c r="V92" s="373"/>
      <c r="W92" s="373"/>
      <c r="X92" s="373"/>
      <c r="Y92" s="373"/>
      <c r="Z92" s="373"/>
      <c r="AA92" s="373"/>
      <c r="AB92" s="373"/>
      <c r="AC92" s="375"/>
    </row>
    <row r="93" spans="1:29" ht="13.5">
      <c r="A93" s="372"/>
      <c r="B93" s="372"/>
      <c r="C93" s="372"/>
      <c r="D93" s="373"/>
      <c r="E93" s="373"/>
      <c r="G93" s="373"/>
      <c r="H93" s="373"/>
      <c r="I93" s="389"/>
      <c r="J93" s="373"/>
      <c r="L93" s="373" t="s">
        <v>55</v>
      </c>
      <c r="M93" s="373"/>
      <c r="N93" s="391">
        <f>12-N91/E89*12</f>
        <v>9.4908000527986065</v>
      </c>
      <c r="O93" s="391" t="e">
        <f>12-O91/F89*12</f>
        <v>#DIV/0!</v>
      </c>
      <c r="P93" s="391" t="e">
        <f>12-P90/G89*12</f>
        <v>#DIV/0!</v>
      </c>
      <c r="Q93" s="391" t="e">
        <f>12-Q91/H89*12</f>
        <v>#DIV/0!</v>
      </c>
      <c r="R93" s="389"/>
      <c r="S93" s="373"/>
      <c r="T93" s="373"/>
      <c r="U93" s="373"/>
      <c r="V93" s="373"/>
      <c r="W93" s="373"/>
      <c r="X93" s="373"/>
      <c r="Y93" s="373"/>
      <c r="Z93" s="373"/>
      <c r="AA93" s="373"/>
      <c r="AB93" s="373"/>
      <c r="AC93" s="375"/>
    </row>
    <row r="94" spans="1:29" ht="13.5">
      <c r="A94" s="372"/>
      <c r="B94" s="372"/>
      <c r="C94" s="372"/>
      <c r="D94" s="416">
        <v>168034595.61900836</v>
      </c>
      <c r="E94" s="399" t="s">
        <v>332</v>
      </c>
      <c r="F94" s="373"/>
      <c r="G94" s="384" t="s">
        <v>333</v>
      </c>
      <c r="H94" s="417"/>
      <c r="I94" s="418"/>
      <c r="J94" s="418"/>
      <c r="K94" s="418"/>
      <c r="L94" s="373"/>
      <c r="M94" s="373"/>
      <c r="N94" s="373"/>
      <c r="O94" s="373"/>
      <c r="P94" s="373"/>
      <c r="Q94" s="373"/>
      <c r="R94" s="373"/>
      <c r="S94" s="373"/>
      <c r="T94" s="373"/>
      <c r="U94" s="373"/>
      <c r="V94" s="373"/>
      <c r="W94" s="373"/>
      <c r="X94" s="373"/>
      <c r="Y94" s="373"/>
      <c r="Z94" s="373"/>
      <c r="AA94" s="373"/>
      <c r="AB94" s="373"/>
      <c r="AC94" s="375"/>
    </row>
    <row r="95" spans="1:29" ht="13.5">
      <c r="B95" s="372"/>
      <c r="C95" s="372"/>
      <c r="E95" s="373" t="s">
        <v>334</v>
      </c>
      <c r="F95" s="373"/>
      <c r="G95" s="406"/>
      <c r="H95" s="419"/>
      <c r="I95" s="406"/>
      <c r="J95" s="373"/>
      <c r="K95" s="373"/>
      <c r="L95" s="373"/>
      <c r="M95" s="373"/>
      <c r="N95" s="373"/>
      <c r="O95" s="373"/>
      <c r="P95" s="373"/>
      <c r="Q95" s="373"/>
      <c r="R95" s="373"/>
      <c r="S95" s="373"/>
      <c r="T95" s="373"/>
      <c r="U95" s="373"/>
      <c r="V95" s="373"/>
      <c r="W95" s="373"/>
      <c r="X95" s="373"/>
      <c r="Y95" s="373"/>
      <c r="Z95" s="373"/>
      <c r="AA95" s="373"/>
      <c r="AB95" s="373"/>
      <c r="AC95" s="375"/>
    </row>
    <row r="96" spans="1:29" ht="13.5">
      <c r="A96" s="372"/>
      <c r="B96" s="372"/>
      <c r="C96" s="372"/>
      <c r="D96" s="399"/>
      <c r="E96" s="373"/>
      <c r="F96" s="373"/>
      <c r="G96" s="406"/>
      <c r="H96" s="419"/>
      <c r="I96" s="406"/>
      <c r="J96" s="373"/>
      <c r="K96" s="373"/>
      <c r="L96" s="373"/>
      <c r="M96" s="373"/>
      <c r="N96" s="373"/>
      <c r="O96" s="373"/>
      <c r="P96" s="373"/>
      <c r="Q96" s="373"/>
      <c r="R96" s="373"/>
      <c r="S96" s="373"/>
      <c r="T96" s="373"/>
      <c r="U96" s="373"/>
      <c r="V96" s="373"/>
      <c r="W96" s="373"/>
      <c r="X96" s="373"/>
      <c r="Y96" s="373"/>
      <c r="Z96" s="373"/>
      <c r="AA96" s="373"/>
      <c r="AB96" s="373"/>
      <c r="AC96" s="375"/>
    </row>
    <row r="97" spans="1:29" ht="13.5">
      <c r="A97" s="372">
        <v>8</v>
      </c>
      <c r="B97" s="372" t="str">
        <f>+B18</f>
        <v>April</v>
      </c>
      <c r="C97" s="372" t="str">
        <f>+C18</f>
        <v>Year 3</v>
      </c>
      <c r="D97" s="378" t="str">
        <f>+D18</f>
        <v>TO estimates Cap Adds and CWIP during Year 3 weighted based on Months expected to be in service in Year 3 (e.g., 2006)</v>
      </c>
      <c r="E97" s="373"/>
      <c r="F97" s="373"/>
      <c r="G97" s="373"/>
      <c r="H97" s="373"/>
      <c r="I97" s="373"/>
      <c r="K97" s="373"/>
      <c r="L97" s="373"/>
      <c r="M97" s="373"/>
      <c r="N97" s="373"/>
      <c r="O97" s="373"/>
      <c r="P97" s="373"/>
      <c r="Q97" s="373"/>
      <c r="R97" s="373"/>
      <c r="S97" s="373"/>
      <c r="T97" s="373"/>
      <c r="U97" s="373"/>
      <c r="V97" s="373"/>
      <c r="W97" s="373"/>
      <c r="X97" s="373"/>
      <c r="Y97" s="373"/>
      <c r="Z97" s="373"/>
      <c r="AA97" s="373"/>
      <c r="AB97" s="373"/>
      <c r="AC97" s="375"/>
    </row>
    <row r="98" spans="1:29" ht="13.5">
      <c r="A98" s="372"/>
      <c r="B98" s="372"/>
      <c r="C98" s="372"/>
      <c r="D98" s="378"/>
      <c r="E98" s="373"/>
      <c r="F98" s="373"/>
      <c r="G98" s="373"/>
      <c r="H98" s="373"/>
      <c r="I98" s="373"/>
      <c r="K98" s="373"/>
      <c r="L98" s="373"/>
      <c r="M98" s="373"/>
      <c r="N98" s="373"/>
      <c r="O98" s="373"/>
      <c r="P98" s="373"/>
      <c r="Q98" s="373"/>
      <c r="R98" s="373"/>
      <c r="S98" s="373"/>
      <c r="T98" s="373"/>
      <c r="U98" s="373"/>
      <c r="V98" s="373"/>
      <c r="W98" s="373"/>
      <c r="X98" s="373"/>
      <c r="Y98" s="373"/>
      <c r="Z98" s="373"/>
      <c r="AA98" s="373"/>
      <c r="AB98" s="373"/>
      <c r="AC98" s="375"/>
    </row>
    <row r="99" spans="1:29" ht="13.5">
      <c r="A99" s="372"/>
      <c r="B99" s="372"/>
      <c r="C99" s="372"/>
      <c r="E99" s="385" t="s">
        <v>285</v>
      </c>
      <c r="F99" s="385" t="s">
        <v>286</v>
      </c>
      <c r="G99" s="385" t="s">
        <v>287</v>
      </c>
      <c r="H99" s="385" t="s">
        <v>288</v>
      </c>
      <c r="I99" s="385" t="s">
        <v>289</v>
      </c>
      <c r="J99" s="385" t="s">
        <v>290</v>
      </c>
      <c r="K99" s="385" t="s">
        <v>291</v>
      </c>
      <c r="L99" s="385" t="s">
        <v>292</v>
      </c>
      <c r="M99" s="385" t="s">
        <v>293</v>
      </c>
      <c r="N99" s="385" t="s">
        <v>294</v>
      </c>
      <c r="O99" s="372" t="s">
        <v>295</v>
      </c>
      <c r="P99" s="372" t="s">
        <v>296</v>
      </c>
      <c r="Q99" s="372" t="s">
        <v>297</v>
      </c>
      <c r="R99" s="373"/>
      <c r="S99" s="373"/>
      <c r="T99" s="373"/>
      <c r="U99" s="373"/>
      <c r="V99" s="373"/>
      <c r="W99" s="373"/>
      <c r="X99" s="373"/>
      <c r="Y99" s="373"/>
      <c r="Z99" s="373"/>
      <c r="AA99" s="373"/>
      <c r="AB99" s="373"/>
      <c r="AC99" s="375"/>
    </row>
    <row r="100" spans="1:29" ht="13.5">
      <c r="A100" s="372"/>
      <c r="B100" s="372"/>
      <c r="C100" s="372"/>
      <c r="E100" s="372" t="s">
        <v>298</v>
      </c>
      <c r="F100" s="372" t="s">
        <v>298</v>
      </c>
      <c r="G100" s="372" t="s">
        <v>298</v>
      </c>
      <c r="H100" s="372" t="s">
        <v>298</v>
      </c>
      <c r="J100" s="372" t="str">
        <f>+E101</f>
        <v>Other Plant In Service</v>
      </c>
      <c r="K100" s="372" t="str">
        <f>+F101</f>
        <v>Other Plant In Service</v>
      </c>
      <c r="L100" s="372" t="str">
        <f>+G101</f>
        <v>MAPP CWIP</v>
      </c>
      <c r="M100" s="372" t="str">
        <f>+H101</f>
        <v>MAPP In Service</v>
      </c>
      <c r="N100" s="372" t="str">
        <f>+E101</f>
        <v>Other Plant In Service</v>
      </c>
      <c r="O100" s="372" t="str">
        <f>+F101</f>
        <v>Other Plant In Service</v>
      </c>
      <c r="P100" s="372" t="str">
        <f>+G101</f>
        <v>MAPP CWIP</v>
      </c>
      <c r="Q100" s="372" t="str">
        <f>+H101</f>
        <v>MAPP In Service</v>
      </c>
      <c r="R100" s="373"/>
      <c r="S100" s="373"/>
      <c r="T100" s="373"/>
      <c r="U100" s="373"/>
      <c r="V100" s="373"/>
      <c r="W100" s="373"/>
      <c r="X100" s="373"/>
      <c r="Y100" s="373"/>
      <c r="Z100" s="373"/>
      <c r="AA100" s="373"/>
      <c r="AB100" s="373"/>
      <c r="AC100" s="375"/>
    </row>
    <row r="101" spans="1:29" ht="13.5">
      <c r="A101" s="372"/>
      <c r="B101" s="372"/>
      <c r="C101" s="372"/>
      <c r="D101" s="373"/>
      <c r="E101" s="372" t="s">
        <v>299</v>
      </c>
      <c r="F101" s="372" t="s">
        <v>299</v>
      </c>
      <c r="G101" s="372" t="s">
        <v>300</v>
      </c>
      <c r="H101" s="372" t="s">
        <v>301</v>
      </c>
      <c r="I101" s="372" t="s">
        <v>302</v>
      </c>
      <c r="J101" s="372" t="s">
        <v>303</v>
      </c>
      <c r="K101" s="372" t="s">
        <v>304</v>
      </c>
      <c r="L101" s="372" t="s">
        <v>305</v>
      </c>
      <c r="M101" s="372" t="s">
        <v>306</v>
      </c>
      <c r="N101" s="372" t="s">
        <v>307</v>
      </c>
      <c r="O101" s="372" t="s">
        <v>308</v>
      </c>
      <c r="P101" s="372" t="s">
        <v>309</v>
      </c>
      <c r="Q101" s="372" t="s">
        <v>310</v>
      </c>
      <c r="R101" s="373"/>
      <c r="S101" s="373"/>
      <c r="T101" s="373"/>
      <c r="U101" s="373"/>
      <c r="V101" s="373"/>
      <c r="W101" s="373"/>
      <c r="X101" s="373"/>
      <c r="Y101" s="373"/>
      <c r="Z101" s="373"/>
      <c r="AA101" s="373"/>
      <c r="AB101" s="373"/>
      <c r="AC101" s="375"/>
    </row>
    <row r="102" spans="1:29" ht="13.5">
      <c r="A102" s="372"/>
      <c r="B102" s="372"/>
      <c r="C102" s="372"/>
      <c r="D102" s="373" t="s">
        <v>311</v>
      </c>
      <c r="E102" s="386"/>
      <c r="F102" s="387"/>
      <c r="G102" s="386"/>
      <c r="H102" s="388"/>
      <c r="I102" s="373">
        <v>11.5</v>
      </c>
      <c r="J102" s="389">
        <f t="shared" ref="J102:J113" si="12">+I102*E102</f>
        <v>0</v>
      </c>
      <c r="K102" s="389">
        <f t="shared" ref="K102:K113" si="13">+I102*F102</f>
        <v>0</v>
      </c>
      <c r="L102" s="389">
        <f t="shared" ref="L102:L115" si="14">+I102*G102</f>
        <v>0</v>
      </c>
      <c r="M102" s="389">
        <f t="shared" ref="M102:M114" si="15">+I102*H102</f>
        <v>0</v>
      </c>
      <c r="N102" s="382">
        <f t="shared" ref="N102:Q113" si="16">+J102/12</f>
        <v>0</v>
      </c>
      <c r="O102" s="382">
        <f t="shared" si="16"/>
        <v>0</v>
      </c>
      <c r="P102" s="382">
        <f t="shared" si="16"/>
        <v>0</v>
      </c>
      <c r="Q102" s="382">
        <f t="shared" si="16"/>
        <v>0</v>
      </c>
      <c r="R102" s="373"/>
      <c r="S102" s="373"/>
      <c r="T102" s="373"/>
      <c r="U102" s="373"/>
      <c r="V102" s="373"/>
      <c r="W102" s="373"/>
      <c r="X102" s="373"/>
      <c r="Y102" s="373"/>
      <c r="Z102" s="373"/>
      <c r="AA102" s="373"/>
      <c r="AB102" s="373"/>
      <c r="AC102" s="375"/>
    </row>
    <row r="103" spans="1:29" ht="13.5">
      <c r="A103" s="372"/>
      <c r="B103" s="372"/>
      <c r="C103" s="372"/>
      <c r="D103" s="373" t="s">
        <v>312</v>
      </c>
      <c r="E103" s="386"/>
      <c r="F103" s="387"/>
      <c r="G103" s="386"/>
      <c r="H103" s="388"/>
      <c r="I103" s="373">
        <f t="shared" ref="I103:I113" si="17">+I102-1</f>
        <v>10.5</v>
      </c>
      <c r="J103" s="389">
        <f t="shared" si="12"/>
        <v>0</v>
      </c>
      <c r="K103" s="389">
        <f t="shared" si="13"/>
        <v>0</v>
      </c>
      <c r="L103" s="389">
        <f t="shared" si="14"/>
        <v>0</v>
      </c>
      <c r="M103" s="389">
        <f t="shared" si="15"/>
        <v>0</v>
      </c>
      <c r="N103" s="382">
        <f t="shared" si="16"/>
        <v>0</v>
      </c>
      <c r="O103" s="382">
        <f t="shared" si="16"/>
        <v>0</v>
      </c>
      <c r="P103" s="382">
        <f t="shared" si="16"/>
        <v>0</v>
      </c>
      <c r="Q103" s="382">
        <f t="shared" si="16"/>
        <v>0</v>
      </c>
      <c r="R103" s="373"/>
      <c r="S103" s="373"/>
      <c r="T103" s="373"/>
      <c r="U103" s="373"/>
      <c r="V103" s="373"/>
      <c r="W103" s="373"/>
      <c r="X103" s="373"/>
      <c r="Y103" s="373"/>
      <c r="Z103" s="373"/>
      <c r="AA103" s="373"/>
      <c r="AB103" s="373"/>
      <c r="AC103" s="375"/>
    </row>
    <row r="104" spans="1:29" ht="13.5">
      <c r="A104" s="372"/>
      <c r="B104" s="372"/>
      <c r="C104" s="372"/>
      <c r="D104" s="373" t="s">
        <v>313</v>
      </c>
      <c r="E104" s="386"/>
      <c r="F104" s="387"/>
      <c r="G104" s="386"/>
      <c r="H104" s="388"/>
      <c r="I104" s="373">
        <f t="shared" si="17"/>
        <v>9.5</v>
      </c>
      <c r="J104" s="389">
        <f t="shared" si="12"/>
        <v>0</v>
      </c>
      <c r="K104" s="389">
        <f t="shared" si="13"/>
        <v>0</v>
      </c>
      <c r="L104" s="389">
        <f t="shared" si="14"/>
        <v>0</v>
      </c>
      <c r="M104" s="389">
        <f t="shared" si="15"/>
        <v>0</v>
      </c>
      <c r="N104" s="382">
        <f t="shared" si="16"/>
        <v>0</v>
      </c>
      <c r="O104" s="382">
        <f t="shared" si="16"/>
        <v>0</v>
      </c>
      <c r="P104" s="382">
        <f t="shared" si="16"/>
        <v>0</v>
      </c>
      <c r="Q104" s="382">
        <f t="shared" si="16"/>
        <v>0</v>
      </c>
      <c r="R104" s="373"/>
      <c r="S104" s="373"/>
      <c r="T104" s="373"/>
      <c r="U104" s="373"/>
      <c r="V104" s="373"/>
      <c r="W104" s="373"/>
      <c r="X104" s="373"/>
      <c r="Y104" s="373"/>
      <c r="Z104" s="373"/>
      <c r="AA104" s="373"/>
      <c r="AB104" s="373"/>
      <c r="AC104" s="375"/>
    </row>
    <row r="105" spans="1:29" ht="13.5">
      <c r="A105" s="372"/>
      <c r="B105" s="372"/>
      <c r="C105" s="372"/>
      <c r="D105" s="373" t="s">
        <v>314</v>
      </c>
      <c r="E105" s="386"/>
      <c r="F105" s="387"/>
      <c r="G105" s="420"/>
      <c r="H105" s="388"/>
      <c r="I105" s="373">
        <f t="shared" si="17"/>
        <v>8.5</v>
      </c>
      <c r="J105" s="389">
        <f t="shared" si="12"/>
        <v>0</v>
      </c>
      <c r="K105" s="389">
        <f t="shared" si="13"/>
        <v>0</v>
      </c>
      <c r="L105" s="389">
        <f t="shared" si="14"/>
        <v>0</v>
      </c>
      <c r="M105" s="389">
        <f t="shared" si="15"/>
        <v>0</v>
      </c>
      <c r="N105" s="382">
        <f t="shared" si="16"/>
        <v>0</v>
      </c>
      <c r="O105" s="382">
        <f t="shared" si="16"/>
        <v>0</v>
      </c>
      <c r="P105" s="382">
        <f t="shared" si="16"/>
        <v>0</v>
      </c>
      <c r="Q105" s="382">
        <f t="shared" si="16"/>
        <v>0</v>
      </c>
      <c r="R105" s="373"/>
      <c r="S105" s="373"/>
      <c r="T105" s="373"/>
      <c r="U105" s="373"/>
      <c r="V105" s="373"/>
      <c r="W105" s="373"/>
      <c r="X105" s="373"/>
      <c r="Y105" s="373"/>
      <c r="Z105" s="373"/>
      <c r="AA105" s="373"/>
      <c r="AB105" s="373"/>
      <c r="AC105" s="375"/>
    </row>
    <row r="106" spans="1:29" ht="13.5">
      <c r="A106" s="372"/>
      <c r="B106" s="372"/>
      <c r="C106" s="372"/>
      <c r="D106" s="373" t="s">
        <v>271</v>
      </c>
      <c r="E106" s="386"/>
      <c r="F106" s="387"/>
      <c r="G106" s="420"/>
      <c r="H106" s="388"/>
      <c r="I106" s="373">
        <f t="shared" si="17"/>
        <v>7.5</v>
      </c>
      <c r="J106" s="389">
        <f t="shared" si="12"/>
        <v>0</v>
      </c>
      <c r="K106" s="389">
        <f t="shared" si="13"/>
        <v>0</v>
      </c>
      <c r="L106" s="389">
        <f t="shared" si="14"/>
        <v>0</v>
      </c>
      <c r="M106" s="389">
        <f t="shared" si="15"/>
        <v>0</v>
      </c>
      <c r="N106" s="382">
        <f t="shared" si="16"/>
        <v>0</v>
      </c>
      <c r="O106" s="382">
        <f t="shared" si="16"/>
        <v>0</v>
      </c>
      <c r="P106" s="382">
        <f t="shared" si="16"/>
        <v>0</v>
      </c>
      <c r="Q106" s="382">
        <f t="shared" si="16"/>
        <v>0</v>
      </c>
      <c r="R106" s="373"/>
      <c r="S106" s="373"/>
      <c r="T106" s="373"/>
      <c r="U106" s="373"/>
      <c r="V106" s="373"/>
      <c r="W106" s="373"/>
      <c r="X106" s="373"/>
      <c r="Y106" s="373"/>
      <c r="Z106" s="373"/>
      <c r="AA106" s="373"/>
      <c r="AB106" s="373"/>
      <c r="AC106" s="375"/>
    </row>
    <row r="107" spans="1:29" ht="13.5">
      <c r="A107" s="372"/>
      <c r="B107" s="372"/>
      <c r="C107" s="421"/>
      <c r="D107" s="373" t="s">
        <v>315</v>
      </c>
      <c r="E107" s="386">
        <v>0</v>
      </c>
      <c r="F107" s="387"/>
      <c r="G107" s="420"/>
      <c r="H107" s="388"/>
      <c r="I107" s="373">
        <f t="shared" si="17"/>
        <v>6.5</v>
      </c>
      <c r="J107" s="389">
        <f t="shared" si="12"/>
        <v>0</v>
      </c>
      <c r="K107" s="389">
        <f t="shared" si="13"/>
        <v>0</v>
      </c>
      <c r="L107" s="389">
        <f t="shared" si="14"/>
        <v>0</v>
      </c>
      <c r="M107" s="389">
        <f t="shared" si="15"/>
        <v>0</v>
      </c>
      <c r="N107" s="382">
        <f t="shared" si="16"/>
        <v>0</v>
      </c>
      <c r="O107" s="382">
        <f t="shared" si="16"/>
        <v>0</v>
      </c>
      <c r="P107" s="382">
        <f t="shared" si="16"/>
        <v>0</v>
      </c>
      <c r="Q107" s="382">
        <f t="shared" si="16"/>
        <v>0</v>
      </c>
      <c r="R107" s="373"/>
      <c r="S107" s="373"/>
      <c r="T107" s="373"/>
      <c r="U107" s="373"/>
      <c r="V107" s="373"/>
      <c r="W107" s="373"/>
      <c r="X107" s="373"/>
      <c r="Y107" s="373"/>
      <c r="Z107" s="373"/>
      <c r="AA107" s="373"/>
      <c r="AB107" s="373"/>
      <c r="AC107" s="375"/>
    </row>
    <row r="108" spans="1:29" ht="13.5">
      <c r="A108" s="372"/>
      <c r="B108" s="372"/>
      <c r="C108" s="372"/>
      <c r="D108" s="373" t="s">
        <v>316</v>
      </c>
      <c r="E108" s="386"/>
      <c r="F108" s="387"/>
      <c r="G108" s="420"/>
      <c r="H108" s="388"/>
      <c r="I108" s="373">
        <f t="shared" si="17"/>
        <v>5.5</v>
      </c>
      <c r="J108" s="389">
        <f t="shared" si="12"/>
        <v>0</v>
      </c>
      <c r="K108" s="389">
        <f t="shared" si="13"/>
        <v>0</v>
      </c>
      <c r="L108" s="389">
        <f t="shared" si="14"/>
        <v>0</v>
      </c>
      <c r="M108" s="389">
        <f t="shared" si="15"/>
        <v>0</v>
      </c>
      <c r="N108" s="382">
        <f t="shared" si="16"/>
        <v>0</v>
      </c>
      <c r="O108" s="382">
        <f t="shared" si="16"/>
        <v>0</v>
      </c>
      <c r="P108" s="382">
        <f t="shared" si="16"/>
        <v>0</v>
      </c>
      <c r="Q108" s="382">
        <f t="shared" si="16"/>
        <v>0</v>
      </c>
      <c r="R108" s="373"/>
      <c r="S108" s="373"/>
      <c r="T108" s="373"/>
      <c r="U108" s="373"/>
      <c r="V108" s="373"/>
      <c r="W108" s="373"/>
      <c r="X108" s="373"/>
      <c r="Y108" s="373"/>
      <c r="Z108" s="373"/>
      <c r="AA108" s="373"/>
      <c r="AB108" s="373"/>
      <c r="AC108" s="375"/>
    </row>
    <row r="109" spans="1:29" ht="13.5">
      <c r="A109" s="372"/>
      <c r="B109" s="372"/>
      <c r="C109" s="372"/>
      <c r="D109" s="373" t="s">
        <v>317</v>
      </c>
      <c r="E109" s="386"/>
      <c r="F109" s="387"/>
      <c r="G109" s="420"/>
      <c r="H109" s="388"/>
      <c r="I109" s="373">
        <f t="shared" si="17"/>
        <v>4.5</v>
      </c>
      <c r="J109" s="389">
        <f t="shared" si="12"/>
        <v>0</v>
      </c>
      <c r="K109" s="389">
        <f t="shared" si="13"/>
        <v>0</v>
      </c>
      <c r="L109" s="389">
        <f t="shared" si="14"/>
        <v>0</v>
      </c>
      <c r="M109" s="389">
        <f t="shared" si="15"/>
        <v>0</v>
      </c>
      <c r="N109" s="382">
        <f t="shared" si="16"/>
        <v>0</v>
      </c>
      <c r="O109" s="382">
        <f t="shared" si="16"/>
        <v>0</v>
      </c>
      <c r="P109" s="382">
        <f t="shared" si="16"/>
        <v>0</v>
      </c>
      <c r="Q109" s="382">
        <f t="shared" si="16"/>
        <v>0</v>
      </c>
      <c r="R109" s="373"/>
      <c r="S109" s="373"/>
      <c r="T109" s="373"/>
      <c r="U109" s="373"/>
      <c r="V109" s="373"/>
      <c r="W109" s="373"/>
      <c r="X109" s="373"/>
      <c r="Y109" s="373"/>
      <c r="Z109" s="373"/>
      <c r="AA109" s="373"/>
      <c r="AB109" s="373"/>
      <c r="AC109" s="375"/>
    </row>
    <row r="110" spans="1:29" ht="13.5">
      <c r="A110" s="372"/>
      <c r="B110" s="372"/>
      <c r="C110" s="372"/>
      <c r="D110" s="373" t="s">
        <v>318</v>
      </c>
      <c r="E110" s="386"/>
      <c r="F110" s="387"/>
      <c r="G110" s="420"/>
      <c r="H110" s="388"/>
      <c r="I110" s="373">
        <f t="shared" si="17"/>
        <v>3.5</v>
      </c>
      <c r="J110" s="389">
        <f t="shared" si="12"/>
        <v>0</v>
      </c>
      <c r="K110" s="389">
        <f t="shared" si="13"/>
        <v>0</v>
      </c>
      <c r="L110" s="389">
        <f t="shared" si="14"/>
        <v>0</v>
      </c>
      <c r="M110" s="389">
        <f t="shared" si="15"/>
        <v>0</v>
      </c>
      <c r="N110" s="382">
        <f t="shared" si="16"/>
        <v>0</v>
      </c>
      <c r="O110" s="382">
        <f t="shared" si="16"/>
        <v>0</v>
      </c>
      <c r="P110" s="382">
        <f t="shared" si="16"/>
        <v>0</v>
      </c>
      <c r="Q110" s="382">
        <f t="shared" si="16"/>
        <v>0</v>
      </c>
      <c r="R110" s="373"/>
      <c r="S110" s="373"/>
      <c r="T110" s="373"/>
      <c r="U110" s="373"/>
      <c r="V110" s="373"/>
      <c r="W110" s="373"/>
      <c r="X110" s="373"/>
      <c r="Y110" s="373"/>
      <c r="Z110" s="373"/>
      <c r="AA110" s="373"/>
      <c r="AB110" s="373"/>
      <c r="AC110" s="375"/>
    </row>
    <row r="111" spans="1:29" ht="13.5">
      <c r="A111" s="372"/>
      <c r="B111" s="372"/>
      <c r="C111" s="372"/>
      <c r="D111" s="373" t="s">
        <v>319</v>
      </c>
      <c r="E111" s="386"/>
      <c r="F111" s="387"/>
      <c r="G111" s="420"/>
      <c r="H111" s="388"/>
      <c r="I111" s="373">
        <f t="shared" si="17"/>
        <v>2.5</v>
      </c>
      <c r="J111" s="389">
        <f t="shared" si="12"/>
        <v>0</v>
      </c>
      <c r="K111" s="389">
        <f t="shared" si="13"/>
        <v>0</v>
      </c>
      <c r="L111" s="389">
        <f t="shared" si="14"/>
        <v>0</v>
      </c>
      <c r="M111" s="389">
        <f t="shared" si="15"/>
        <v>0</v>
      </c>
      <c r="N111" s="382">
        <f t="shared" si="16"/>
        <v>0</v>
      </c>
      <c r="O111" s="382">
        <f>+K111/12</f>
        <v>0</v>
      </c>
      <c r="P111" s="382">
        <f>+L111/12</f>
        <v>0</v>
      </c>
      <c r="Q111" s="382">
        <f>+M111/12</f>
        <v>0</v>
      </c>
      <c r="R111" s="373"/>
      <c r="S111" s="373"/>
      <c r="T111" s="373"/>
      <c r="U111" s="373"/>
      <c r="V111" s="373"/>
      <c r="W111" s="373"/>
      <c r="X111" s="373"/>
      <c r="Y111" s="373"/>
      <c r="Z111" s="373"/>
      <c r="AA111" s="373"/>
      <c r="AB111" s="373"/>
      <c r="AC111" s="375"/>
    </row>
    <row r="112" spans="1:29" ht="13.5">
      <c r="A112" s="372"/>
      <c r="B112" s="372"/>
      <c r="C112" s="372"/>
      <c r="D112" s="373" t="s">
        <v>320</v>
      </c>
      <c r="E112" s="386"/>
      <c r="F112" s="387"/>
      <c r="G112" s="420"/>
      <c r="H112" s="388"/>
      <c r="I112" s="373">
        <f t="shared" si="17"/>
        <v>1.5</v>
      </c>
      <c r="J112" s="389">
        <f t="shared" si="12"/>
        <v>0</v>
      </c>
      <c r="K112" s="389">
        <f t="shared" si="13"/>
        <v>0</v>
      </c>
      <c r="L112" s="389">
        <f t="shared" si="14"/>
        <v>0</v>
      </c>
      <c r="M112" s="389">
        <f t="shared" si="15"/>
        <v>0</v>
      </c>
      <c r="N112" s="382">
        <f t="shared" si="16"/>
        <v>0</v>
      </c>
      <c r="O112" s="382">
        <f t="shared" si="16"/>
        <v>0</v>
      </c>
      <c r="P112" s="382">
        <f t="shared" si="16"/>
        <v>0</v>
      </c>
      <c r="Q112" s="382">
        <f t="shared" si="16"/>
        <v>0</v>
      </c>
      <c r="R112" s="373"/>
      <c r="S112" s="373"/>
      <c r="T112" s="373"/>
      <c r="U112" s="373"/>
      <c r="V112" s="373"/>
      <c r="W112" s="373"/>
      <c r="X112" s="373"/>
      <c r="Y112" s="373"/>
      <c r="Z112" s="373"/>
      <c r="AA112" s="373"/>
      <c r="AB112" s="373"/>
      <c r="AC112" s="375"/>
    </row>
    <row r="113" spans="1:29" ht="13.5">
      <c r="A113" s="372"/>
      <c r="B113" s="372"/>
      <c r="C113" s="372"/>
      <c r="D113" s="373" t="s">
        <v>321</v>
      </c>
      <c r="E113" s="386"/>
      <c r="F113" s="387"/>
      <c r="G113" s="420"/>
      <c r="H113" s="388"/>
      <c r="I113" s="373">
        <f t="shared" si="17"/>
        <v>0.5</v>
      </c>
      <c r="J113" s="389">
        <f t="shared" si="12"/>
        <v>0</v>
      </c>
      <c r="K113" s="389">
        <f t="shared" si="13"/>
        <v>0</v>
      </c>
      <c r="L113" s="389">
        <f t="shared" si="14"/>
        <v>0</v>
      </c>
      <c r="M113" s="389">
        <f t="shared" si="15"/>
        <v>0</v>
      </c>
      <c r="N113" s="382">
        <f t="shared" si="16"/>
        <v>0</v>
      </c>
      <c r="O113" s="382">
        <f t="shared" si="16"/>
        <v>0</v>
      </c>
      <c r="P113" s="382">
        <f t="shared" si="16"/>
        <v>0</v>
      </c>
      <c r="Q113" s="382">
        <f t="shared" si="16"/>
        <v>0</v>
      </c>
      <c r="R113" s="373"/>
      <c r="S113" s="373"/>
      <c r="T113" s="373"/>
      <c r="U113" s="373"/>
      <c r="V113" s="373"/>
      <c r="W113" s="373"/>
      <c r="X113" s="373"/>
      <c r="Y113" s="373"/>
      <c r="Z113" s="373"/>
      <c r="AA113" s="373"/>
      <c r="AB113" s="373"/>
      <c r="AC113" s="375"/>
    </row>
    <row r="114" spans="1:29" ht="13.5">
      <c r="A114" s="372"/>
      <c r="B114" s="372"/>
      <c r="C114" s="372"/>
      <c r="D114" s="373" t="s">
        <v>61</v>
      </c>
      <c r="E114" s="389">
        <f>SUM(E102:E113)</f>
        <v>0</v>
      </c>
      <c r="F114" s="389">
        <f>SUM(F102:F113)</f>
        <v>0</v>
      </c>
      <c r="G114" s="389">
        <f>SUM(G102:G113)</f>
        <v>0</v>
      </c>
      <c r="H114" s="389">
        <f>SUM(H102:H113)</f>
        <v>0</v>
      </c>
      <c r="I114" s="373"/>
      <c r="J114" s="389">
        <f>SUM(J102:J113)</f>
        <v>0</v>
      </c>
      <c r="K114" s="389">
        <f>SUM(K102:K113)</f>
        <v>0</v>
      </c>
      <c r="L114" s="389">
        <f t="shared" si="14"/>
        <v>0</v>
      </c>
      <c r="M114" s="389">
        <f t="shared" si="15"/>
        <v>0</v>
      </c>
      <c r="N114" s="382">
        <f>SUM(N102:N113)</f>
        <v>0</v>
      </c>
      <c r="O114" s="382">
        <f>SUM(O102:O113)</f>
        <v>0</v>
      </c>
      <c r="P114" s="382">
        <f>SUM(P102:P113)</f>
        <v>0</v>
      </c>
      <c r="Q114" s="382">
        <f>SUM(Q102:Q113)</f>
        <v>0</v>
      </c>
      <c r="R114" s="373"/>
      <c r="S114" s="373"/>
      <c r="T114" s="373"/>
      <c r="U114" s="373"/>
      <c r="V114" s="373"/>
      <c r="W114" s="373"/>
      <c r="X114" s="373"/>
      <c r="Y114" s="373"/>
      <c r="Z114" s="373"/>
      <c r="AA114" s="373"/>
      <c r="AB114" s="373"/>
      <c r="AC114" s="375"/>
    </row>
    <row r="115" spans="1:29" ht="13.5">
      <c r="A115" s="372"/>
      <c r="B115" s="372"/>
      <c r="D115" s="373" t="s">
        <v>322</v>
      </c>
      <c r="E115" s="373"/>
      <c r="G115" s="389"/>
      <c r="H115" s="373"/>
      <c r="I115" s="373"/>
      <c r="J115" s="373"/>
      <c r="L115" s="366">
        <f t="shared" si="14"/>
        <v>0</v>
      </c>
      <c r="N115" s="390">
        <f>+N114</f>
        <v>0</v>
      </c>
      <c r="O115" s="390">
        <f>+O114</f>
        <v>0</v>
      </c>
      <c r="P115" s="390">
        <f>+P114</f>
        <v>0</v>
      </c>
      <c r="Q115" s="390">
        <f>+Q114</f>
        <v>0</v>
      </c>
      <c r="R115" s="373"/>
      <c r="S115" s="373"/>
      <c r="T115" s="373"/>
      <c r="U115" s="373"/>
      <c r="V115" s="373"/>
      <c r="W115" s="373"/>
      <c r="X115" s="373"/>
      <c r="Y115" s="373"/>
      <c r="Z115" s="373"/>
      <c r="AA115" s="373"/>
      <c r="AB115" s="373"/>
      <c r="AC115" s="375"/>
    </row>
    <row r="116" spans="1:29" ht="13.5">
      <c r="A116" s="372"/>
      <c r="B116" s="372"/>
      <c r="D116" s="422">
        <v>169575931.93205062</v>
      </c>
      <c r="E116" s="373"/>
      <c r="G116" s="414"/>
      <c r="I116" s="373"/>
      <c r="J116" s="373"/>
      <c r="L116" s="390" t="s">
        <v>323</v>
      </c>
      <c r="M116" s="373"/>
      <c r="N116" s="389">
        <f>+N115</f>
        <v>0</v>
      </c>
      <c r="O116" s="389">
        <f>+O115</f>
        <v>0</v>
      </c>
      <c r="P116" s="373"/>
      <c r="Q116" s="389">
        <f>+Q115</f>
        <v>0</v>
      </c>
      <c r="R116" s="389">
        <f>+N116+Q116</f>
        <v>0</v>
      </c>
      <c r="S116" s="373"/>
      <c r="T116" s="373"/>
      <c r="U116" s="373"/>
      <c r="V116" s="373"/>
      <c r="W116" s="373"/>
      <c r="X116" s="373"/>
      <c r="Y116" s="373"/>
      <c r="Z116" s="373"/>
      <c r="AA116" s="373"/>
      <c r="AB116" s="373"/>
      <c r="AC116" s="375"/>
    </row>
    <row r="117" spans="1:29" ht="13.5">
      <c r="A117" s="372"/>
      <c r="B117" s="372"/>
      <c r="D117" s="373"/>
      <c r="E117" s="423"/>
      <c r="G117" s="373"/>
      <c r="H117" s="373"/>
      <c r="I117" s="389"/>
      <c r="J117" s="373"/>
      <c r="L117" s="373" t="s">
        <v>324</v>
      </c>
      <c r="M117" s="373"/>
      <c r="N117" s="373"/>
      <c r="O117" s="373"/>
      <c r="P117" s="389">
        <f>+P115</f>
        <v>0</v>
      </c>
      <c r="Q117" s="373"/>
      <c r="R117" s="389">
        <f>+P117</f>
        <v>0</v>
      </c>
      <c r="S117" s="373"/>
      <c r="T117" s="373"/>
      <c r="U117" s="373"/>
      <c r="V117" s="373"/>
      <c r="W117" s="373"/>
      <c r="X117" s="373"/>
      <c r="Y117" s="373"/>
      <c r="Z117" s="373"/>
      <c r="AA117" s="373"/>
      <c r="AB117" s="373"/>
      <c r="AC117" s="375"/>
    </row>
    <row r="118" spans="1:29" ht="13.5">
      <c r="A118" s="372"/>
      <c r="B118" s="372"/>
      <c r="C118" s="372"/>
      <c r="D118" s="373"/>
      <c r="E118" s="373"/>
      <c r="G118" s="373"/>
      <c r="H118" s="373"/>
      <c r="I118" s="389"/>
      <c r="J118" s="373"/>
      <c r="L118" s="373" t="s">
        <v>55</v>
      </c>
      <c r="M118" s="373"/>
      <c r="N118" s="391" t="e">
        <f>12-N116/E114*12</f>
        <v>#DIV/0!</v>
      </c>
      <c r="O118" s="391" t="e">
        <f>12-O116/F114*12</f>
        <v>#DIV/0!</v>
      </c>
      <c r="P118" s="391" t="e">
        <f>12-P115/G114*12</f>
        <v>#DIV/0!</v>
      </c>
      <c r="Q118" s="391" t="e">
        <f>12-Q116/H114*12</f>
        <v>#DIV/0!</v>
      </c>
      <c r="R118" s="389"/>
      <c r="S118" s="373"/>
      <c r="T118" s="373"/>
      <c r="U118" s="373"/>
      <c r="V118" s="373"/>
      <c r="W118" s="373"/>
      <c r="X118" s="373"/>
      <c r="Y118" s="373"/>
      <c r="Z118" s="373"/>
      <c r="AA118" s="373"/>
      <c r="AB118" s="373"/>
      <c r="AC118" s="375"/>
    </row>
    <row r="119" spans="1:29" ht="13.5">
      <c r="A119" s="372"/>
      <c r="B119" s="372"/>
      <c r="C119" s="372"/>
      <c r="D119" s="399"/>
      <c r="E119" s="373"/>
      <c r="F119" s="373"/>
      <c r="G119" s="373"/>
      <c r="H119" s="389"/>
      <c r="I119" s="373"/>
      <c r="J119" s="373"/>
      <c r="K119" s="373"/>
      <c r="L119" s="391"/>
      <c r="M119" s="391"/>
      <c r="N119" s="391"/>
      <c r="O119" s="373"/>
      <c r="P119" s="373"/>
      <c r="Q119" s="373"/>
      <c r="R119" s="373"/>
      <c r="S119" s="373"/>
      <c r="T119" s="373"/>
      <c r="U119" s="373"/>
      <c r="V119" s="373"/>
      <c r="W119" s="373"/>
      <c r="X119" s="373"/>
      <c r="Y119" s="373"/>
      <c r="Z119" s="373"/>
      <c r="AA119" s="373"/>
      <c r="AB119" s="373"/>
      <c r="AC119" s="375"/>
    </row>
    <row r="120" spans="1:29" ht="13.5">
      <c r="A120" s="372">
        <f>+A19</f>
        <v>9</v>
      </c>
      <c r="B120" s="372" t="str">
        <f>+B19</f>
        <v>April</v>
      </c>
      <c r="C120" s="372" t="str">
        <f>+C19</f>
        <v>Year 3</v>
      </c>
      <c r="D120" s="378" t="str">
        <f>+D19</f>
        <v>Reconciliation - TO adds the difference between the Reconciliation in Step 7 and the forecast in Line 5 with interest to the result of Step 7 (this difference is also added to Step 8 in the subsequent year)</v>
      </c>
      <c r="E120" s="373"/>
      <c r="F120" s="373"/>
      <c r="G120" s="373"/>
      <c r="H120" s="373"/>
      <c r="I120" s="373"/>
      <c r="J120" s="373"/>
      <c r="K120" s="373"/>
      <c r="L120" s="373"/>
      <c r="M120" s="373"/>
      <c r="N120" s="373"/>
      <c r="O120" s="373"/>
      <c r="P120" s="373"/>
      <c r="Q120" s="373"/>
      <c r="R120" s="373"/>
      <c r="S120" s="373"/>
      <c r="T120" s="373"/>
      <c r="U120" s="373"/>
      <c r="V120" s="373"/>
      <c r="W120" s="373"/>
      <c r="X120" s="373"/>
      <c r="Y120" s="373"/>
      <c r="Z120" s="373"/>
      <c r="AA120" s="373"/>
      <c r="AB120" s="373"/>
      <c r="AC120" s="375"/>
    </row>
    <row r="121" spans="1:29" ht="15">
      <c r="A121" s="372"/>
      <c r="B121" s="372"/>
      <c r="C121" s="372"/>
      <c r="D121" s="1227"/>
      <c r="E121" s="1228"/>
      <c r="F121" s="1228"/>
      <c r="G121" s="1228"/>
      <c r="H121" s="1228"/>
      <c r="I121" s="373"/>
      <c r="J121" s="373"/>
      <c r="K121" s="373"/>
      <c r="L121" s="373"/>
      <c r="M121" s="373"/>
      <c r="N121" s="373"/>
      <c r="O121" s="373"/>
      <c r="P121" s="373"/>
      <c r="Q121" s="373"/>
      <c r="R121" s="373"/>
      <c r="S121" s="373"/>
      <c r="T121" s="373"/>
      <c r="U121" s="373"/>
      <c r="V121" s="373"/>
      <c r="W121" s="373"/>
      <c r="X121" s="373"/>
      <c r="Y121" s="373"/>
      <c r="Z121" s="373"/>
      <c r="AA121" s="373"/>
      <c r="AB121" s="373"/>
      <c r="AC121" s="375"/>
    </row>
    <row r="122" spans="1:29" ht="15">
      <c r="A122" s="372"/>
      <c r="B122" s="372"/>
      <c r="C122" s="372"/>
      <c r="D122" s="1227" t="s">
        <v>335</v>
      </c>
      <c r="E122" s="1228"/>
      <c r="F122" s="1228"/>
      <c r="G122" s="1228"/>
      <c r="H122" s="1228"/>
      <c r="I122" s="373"/>
      <c r="J122" s="373"/>
      <c r="K122" s="373"/>
      <c r="L122" s="373"/>
      <c r="M122" s="373"/>
      <c r="N122" s="373"/>
      <c r="O122" s="373"/>
      <c r="P122" s="373"/>
      <c r="Q122" s="373"/>
      <c r="R122" s="373"/>
      <c r="S122" s="373"/>
      <c r="T122" s="373"/>
      <c r="U122" s="373"/>
      <c r="V122" s="373"/>
      <c r="W122" s="373"/>
      <c r="X122" s="373"/>
      <c r="Y122" s="373"/>
      <c r="Z122" s="373"/>
      <c r="AA122" s="373"/>
      <c r="AB122" s="373"/>
      <c r="AC122" s="375"/>
    </row>
    <row r="123" spans="1:29" ht="15">
      <c r="A123" s="372"/>
      <c r="B123" s="372"/>
      <c r="C123" s="372"/>
      <c r="D123" s="424"/>
      <c r="E123" s="425"/>
      <c r="F123" s="425"/>
      <c r="G123" s="425"/>
      <c r="H123" s="425"/>
      <c r="I123" s="373"/>
      <c r="J123" s="373"/>
      <c r="K123" s="373"/>
      <c r="L123" s="373"/>
      <c r="M123" s="373"/>
      <c r="N123" s="373"/>
      <c r="O123" s="373"/>
      <c r="P123" s="373"/>
      <c r="Q123" s="373"/>
      <c r="R123" s="373"/>
      <c r="S123" s="373"/>
      <c r="T123" s="373"/>
      <c r="U123" s="373"/>
      <c r="V123" s="373"/>
      <c r="W123" s="373"/>
      <c r="X123" s="373"/>
      <c r="Y123" s="373"/>
      <c r="Z123" s="373"/>
      <c r="AA123" s="373"/>
      <c r="AB123" s="373"/>
      <c r="AC123" s="375"/>
    </row>
    <row r="124" spans="1:29" ht="13.5">
      <c r="A124" s="372"/>
      <c r="B124" s="372"/>
      <c r="C124" s="372"/>
      <c r="D124" s="378" t="s">
        <v>336</v>
      </c>
      <c r="E124" s="373"/>
      <c r="F124" s="373" t="s">
        <v>337</v>
      </c>
      <c r="G124" s="373"/>
      <c r="H124" s="373"/>
      <c r="I124" s="373"/>
      <c r="J124" s="373"/>
      <c r="K124" s="373"/>
      <c r="L124" s="373"/>
      <c r="M124" s="373"/>
      <c r="N124" s="373"/>
      <c r="O124" s="373"/>
      <c r="P124" s="373"/>
      <c r="Q124" s="373"/>
      <c r="R124" s="373"/>
      <c r="S124" s="373"/>
      <c r="T124" s="373"/>
      <c r="U124" s="373"/>
      <c r="V124" s="373"/>
      <c r="W124" s="373"/>
      <c r="X124" s="373"/>
      <c r="Y124" s="373"/>
      <c r="Z124" s="373"/>
      <c r="AA124" s="373"/>
      <c r="AB124" s="373"/>
      <c r="AC124" s="375"/>
    </row>
    <row r="125" spans="1:29" ht="13.5">
      <c r="A125" s="372"/>
      <c r="B125" s="372"/>
      <c r="C125" s="372"/>
      <c r="D125" s="419">
        <f>D94</f>
        <v>168034595.61900836</v>
      </c>
      <c r="E125" s="372" t="s">
        <v>338</v>
      </c>
      <c r="F125" s="419">
        <f>(D56-2129048)+(1767+37162)</f>
        <v>164004674.39702815</v>
      </c>
      <c r="G125" s="372" t="str">
        <f>"="</f>
        <v>=</v>
      </c>
      <c r="H125" s="389">
        <f>+D125-F125</f>
        <v>4029921.2219802141</v>
      </c>
      <c r="I125" s="373" t="s">
        <v>339</v>
      </c>
      <c r="J125" s="426"/>
      <c r="K125" s="391"/>
      <c r="L125" s="373"/>
      <c r="M125" s="373"/>
      <c r="N125" s="373"/>
      <c r="O125" s="373"/>
      <c r="P125" s="373"/>
      <c r="Q125" s="373"/>
      <c r="R125" s="373"/>
      <c r="S125" s="373"/>
      <c r="T125" s="373"/>
      <c r="U125" s="373"/>
      <c r="V125" s="373"/>
      <c r="W125" s="373"/>
      <c r="X125" s="373"/>
      <c r="Y125" s="373"/>
      <c r="Z125" s="373"/>
      <c r="AA125" s="373"/>
      <c r="AB125" s="373"/>
      <c r="AC125" s="375"/>
    </row>
    <row r="126" spans="1:29" ht="13.5">
      <c r="A126" s="372"/>
      <c r="B126" s="372"/>
      <c r="C126" s="372"/>
      <c r="D126" s="427"/>
      <c r="E126" s="372"/>
      <c r="F126" s="389"/>
      <c r="G126" s="372"/>
      <c r="H126" s="389"/>
      <c r="I126" s="373"/>
      <c r="J126" s="373"/>
      <c r="K126" s="373"/>
      <c r="L126" s="373"/>
      <c r="M126" s="373"/>
      <c r="N126" s="373"/>
      <c r="O126" s="373"/>
      <c r="P126" s="373"/>
      <c r="Q126" s="373"/>
      <c r="R126" s="373"/>
      <c r="S126" s="373"/>
      <c r="T126" s="373"/>
      <c r="U126" s="373"/>
      <c r="V126" s="373"/>
      <c r="W126" s="373"/>
      <c r="X126" s="373"/>
      <c r="Y126" s="373"/>
      <c r="Z126" s="373"/>
      <c r="AA126" s="373"/>
      <c r="AB126" s="373"/>
      <c r="AC126" s="375"/>
    </row>
    <row r="127" spans="1:29" ht="13.5">
      <c r="A127" s="372"/>
      <c r="B127" s="372"/>
      <c r="C127" s="372"/>
      <c r="D127" s="428" t="s">
        <v>340</v>
      </c>
      <c r="E127" s="372"/>
      <c r="F127" s="389"/>
      <c r="G127" s="372"/>
      <c r="H127" s="389"/>
      <c r="I127" s="373"/>
      <c r="J127" s="373"/>
      <c r="K127" s="373"/>
      <c r="L127" s="373"/>
      <c r="M127" s="373"/>
      <c r="N127" s="373"/>
      <c r="O127" s="373"/>
      <c r="P127" s="373"/>
      <c r="Q127" s="373"/>
      <c r="R127" s="373"/>
      <c r="S127" s="373"/>
      <c r="T127" s="373"/>
      <c r="U127" s="373"/>
      <c r="V127" s="373"/>
      <c r="W127" s="373"/>
      <c r="X127" s="373"/>
      <c r="Y127" s="373"/>
      <c r="Z127" s="373"/>
      <c r="AA127" s="373"/>
      <c r="AB127" s="373"/>
      <c r="AC127" s="375"/>
    </row>
    <row r="128" spans="1:29" ht="13.5">
      <c r="A128" s="372"/>
      <c r="B128" s="372"/>
      <c r="C128" s="372"/>
      <c r="D128" s="428" t="s">
        <v>341</v>
      </c>
      <c r="E128" s="372"/>
      <c r="F128" s="429">
        <v>3.5999999999999999E-3</v>
      </c>
      <c r="G128" s="372"/>
      <c r="H128" s="389"/>
      <c r="I128" s="373"/>
      <c r="J128" s="373"/>
      <c r="K128" s="373"/>
      <c r="L128" s="373"/>
      <c r="M128" s="373"/>
      <c r="N128" s="373"/>
      <c r="O128" s="373"/>
      <c r="P128" s="373"/>
      <c r="Q128" s="373"/>
      <c r="R128" s="373"/>
      <c r="S128" s="373"/>
      <c r="T128" s="373"/>
      <c r="U128" s="373"/>
      <c r="V128" s="373"/>
      <c r="W128" s="373"/>
      <c r="X128" s="373"/>
      <c r="Y128" s="373"/>
      <c r="Z128" s="373"/>
      <c r="AA128" s="373"/>
      <c r="AB128" s="373"/>
      <c r="AC128" s="375"/>
    </row>
    <row r="129" spans="1:29" ht="13.5">
      <c r="A129" s="372"/>
      <c r="B129" s="372"/>
      <c r="C129" s="372"/>
      <c r="D129" s="430" t="s">
        <v>262</v>
      </c>
      <c r="E129" s="372" t="s">
        <v>342</v>
      </c>
      <c r="F129" s="372" t="s">
        <v>343</v>
      </c>
      <c r="G129" s="430" t="s">
        <v>344</v>
      </c>
      <c r="H129" s="372"/>
      <c r="I129" s="430" t="s">
        <v>345</v>
      </c>
      <c r="J129" s="431" t="s">
        <v>346</v>
      </c>
      <c r="K129" s="373"/>
      <c r="L129" s="373"/>
      <c r="M129" s="373"/>
      <c r="N129" s="373"/>
      <c r="O129" s="373"/>
      <c r="P129" s="373"/>
      <c r="Q129" s="373"/>
      <c r="R129" s="373"/>
      <c r="S129" s="373"/>
      <c r="T129" s="373"/>
      <c r="U129" s="373"/>
      <c r="V129" s="373"/>
      <c r="W129" s="373"/>
      <c r="X129" s="373"/>
      <c r="Y129" s="373"/>
      <c r="Z129" s="373"/>
      <c r="AA129" s="373"/>
      <c r="AB129" s="373"/>
      <c r="AC129" s="375"/>
    </row>
    <row r="130" spans="1:29" ht="13.5">
      <c r="A130" s="372"/>
      <c r="B130" s="372"/>
      <c r="C130" s="372"/>
      <c r="D130" s="372"/>
      <c r="E130" s="372"/>
      <c r="F130" s="372"/>
      <c r="G130" s="372" t="s">
        <v>347</v>
      </c>
      <c r="H130" s="372" t="s">
        <v>348</v>
      </c>
      <c r="I130" s="372"/>
      <c r="J130" s="372"/>
      <c r="K130" s="373"/>
      <c r="L130" s="373"/>
      <c r="M130" s="373"/>
      <c r="N130" s="373"/>
      <c r="O130" s="373"/>
      <c r="P130" s="373"/>
      <c r="Q130" s="373"/>
      <c r="R130" s="373"/>
      <c r="S130" s="373"/>
      <c r="T130" s="373"/>
      <c r="U130" s="373"/>
      <c r="V130" s="373"/>
      <c r="W130" s="373"/>
      <c r="X130" s="373"/>
      <c r="Y130" s="373"/>
      <c r="Z130" s="373"/>
      <c r="AA130" s="373"/>
      <c r="AB130" s="373"/>
      <c r="AC130" s="375"/>
    </row>
    <row r="131" spans="1:29" ht="13.5">
      <c r="A131" s="372"/>
      <c r="B131" s="372"/>
      <c r="C131" s="372"/>
      <c r="D131" s="373" t="s">
        <v>315</v>
      </c>
      <c r="E131" s="373" t="s">
        <v>349</v>
      </c>
      <c r="F131" s="382">
        <f>+H125/12</f>
        <v>335826.76849835116</v>
      </c>
      <c r="G131" s="432">
        <f>+F128</f>
        <v>3.5999999999999999E-3</v>
      </c>
      <c r="H131" s="373">
        <v>11.5</v>
      </c>
      <c r="I131" s="382">
        <f t="shared" ref="I131:I142" si="18">+H131*G131*F131</f>
        <v>13903.228215831738</v>
      </c>
      <c r="J131" s="382">
        <f t="shared" ref="J131:J142" si="19">+F131+I131</f>
        <v>349729.9967141829</v>
      </c>
      <c r="K131" s="373"/>
      <c r="L131" s="373"/>
      <c r="M131" s="373"/>
      <c r="N131" s="373"/>
      <c r="O131" s="373"/>
      <c r="P131" s="373"/>
      <c r="Q131" s="373"/>
      <c r="R131" s="373"/>
      <c r="S131" s="373"/>
      <c r="T131" s="373"/>
      <c r="U131" s="373"/>
      <c r="V131" s="373"/>
      <c r="W131" s="373"/>
      <c r="X131" s="373"/>
      <c r="Y131" s="373"/>
      <c r="Z131" s="373"/>
      <c r="AA131" s="373"/>
      <c r="AB131" s="373"/>
      <c r="AC131" s="375"/>
    </row>
    <row r="132" spans="1:29" ht="13.5">
      <c r="A132" s="372"/>
      <c r="B132" s="372"/>
      <c r="C132" s="372"/>
      <c r="D132" s="373" t="s">
        <v>316</v>
      </c>
      <c r="E132" s="373" t="str">
        <f t="shared" ref="E132:G142" si="20">+E131</f>
        <v>Year 1</v>
      </c>
      <c r="F132" s="389">
        <f t="shared" si="20"/>
        <v>335826.76849835116</v>
      </c>
      <c r="G132" s="433">
        <f t="shared" si="20"/>
        <v>3.5999999999999999E-3</v>
      </c>
      <c r="H132" s="373">
        <f t="shared" ref="H132:H142" si="21">+H131-1</f>
        <v>10.5</v>
      </c>
      <c r="I132" s="382">
        <f t="shared" si="18"/>
        <v>12694.251849237673</v>
      </c>
      <c r="J132" s="382">
        <f t="shared" si="19"/>
        <v>348521.02034758881</v>
      </c>
      <c r="K132" s="373"/>
      <c r="L132" s="373"/>
      <c r="M132" s="373"/>
      <c r="N132" s="373"/>
      <c r="O132" s="373"/>
      <c r="P132" s="373"/>
      <c r="Q132" s="373"/>
      <c r="R132" s="373"/>
      <c r="S132" s="373"/>
      <c r="T132" s="373"/>
      <c r="U132" s="373"/>
      <c r="V132" s="373"/>
      <c r="W132" s="373"/>
      <c r="X132" s="373"/>
      <c r="Y132" s="373"/>
      <c r="Z132" s="373"/>
      <c r="AA132" s="373"/>
      <c r="AB132" s="373"/>
      <c r="AC132" s="375"/>
    </row>
    <row r="133" spans="1:29" ht="13.5">
      <c r="A133" s="372"/>
      <c r="B133" s="372"/>
      <c r="C133" s="372"/>
      <c r="D133" s="373" t="s">
        <v>317</v>
      </c>
      <c r="E133" s="373" t="str">
        <f t="shared" si="20"/>
        <v>Year 1</v>
      </c>
      <c r="F133" s="389">
        <f t="shared" si="20"/>
        <v>335826.76849835116</v>
      </c>
      <c r="G133" s="433">
        <f t="shared" si="20"/>
        <v>3.5999999999999999E-3</v>
      </c>
      <c r="H133" s="373">
        <f t="shared" si="21"/>
        <v>9.5</v>
      </c>
      <c r="I133" s="382">
        <f t="shared" si="18"/>
        <v>11485.27548264361</v>
      </c>
      <c r="J133" s="382">
        <f t="shared" si="19"/>
        <v>347312.04398099479</v>
      </c>
      <c r="K133" s="373"/>
      <c r="L133" s="373"/>
      <c r="M133" s="373"/>
      <c r="N133" s="373"/>
      <c r="O133" s="373"/>
      <c r="P133" s="373"/>
      <c r="Q133" s="373"/>
      <c r="R133" s="373"/>
      <c r="S133" s="373"/>
      <c r="T133" s="373"/>
      <c r="U133" s="373"/>
      <c r="V133" s="373"/>
      <c r="W133" s="373"/>
      <c r="X133" s="373"/>
      <c r="Y133" s="373"/>
      <c r="Z133" s="373"/>
      <c r="AA133" s="373"/>
      <c r="AB133" s="373"/>
      <c r="AC133" s="375"/>
    </row>
    <row r="134" spans="1:29" ht="13.5">
      <c r="A134" s="372"/>
      <c r="B134" s="372"/>
      <c r="C134" s="372"/>
      <c r="D134" s="373" t="s">
        <v>318</v>
      </c>
      <c r="E134" s="373" t="str">
        <f t="shared" si="20"/>
        <v>Year 1</v>
      </c>
      <c r="F134" s="389">
        <f t="shared" si="20"/>
        <v>335826.76849835116</v>
      </c>
      <c r="G134" s="433">
        <f t="shared" si="20"/>
        <v>3.5999999999999999E-3</v>
      </c>
      <c r="H134" s="373">
        <f t="shared" si="21"/>
        <v>8.5</v>
      </c>
      <c r="I134" s="382">
        <f t="shared" si="18"/>
        <v>10276.299116049546</v>
      </c>
      <c r="J134" s="382">
        <f t="shared" si="19"/>
        <v>346103.0676144007</v>
      </c>
      <c r="K134" s="373"/>
      <c r="L134" s="373"/>
      <c r="M134" s="373"/>
      <c r="N134" s="373"/>
      <c r="O134" s="373"/>
      <c r="P134" s="373"/>
      <c r="Q134" s="373"/>
      <c r="R134" s="373"/>
      <c r="S134" s="373"/>
      <c r="T134" s="373"/>
      <c r="U134" s="373"/>
      <c r="V134" s="373"/>
      <c r="W134" s="373"/>
      <c r="X134" s="373"/>
      <c r="Y134" s="373"/>
      <c r="Z134" s="373"/>
      <c r="AA134" s="373"/>
      <c r="AB134" s="373"/>
      <c r="AC134" s="375"/>
    </row>
    <row r="135" spans="1:29" ht="13.5">
      <c r="A135" s="372"/>
      <c r="B135" s="372"/>
      <c r="C135" s="372"/>
      <c r="D135" s="373" t="s">
        <v>319</v>
      </c>
      <c r="E135" s="373" t="str">
        <f t="shared" si="20"/>
        <v>Year 1</v>
      </c>
      <c r="F135" s="389">
        <f t="shared" si="20"/>
        <v>335826.76849835116</v>
      </c>
      <c r="G135" s="433">
        <f t="shared" si="20"/>
        <v>3.5999999999999999E-3</v>
      </c>
      <c r="H135" s="373">
        <f t="shared" si="21"/>
        <v>7.5</v>
      </c>
      <c r="I135" s="382">
        <f t="shared" si="18"/>
        <v>9067.3227494554812</v>
      </c>
      <c r="J135" s="382">
        <f t="shared" si="19"/>
        <v>344894.09124780662</v>
      </c>
      <c r="K135" s="373"/>
      <c r="L135" s="373"/>
      <c r="M135" s="373"/>
      <c r="N135" s="373"/>
      <c r="O135" s="373"/>
      <c r="P135" s="373"/>
      <c r="Q135" s="373"/>
      <c r="R135" s="373"/>
      <c r="S135" s="373"/>
      <c r="T135" s="373"/>
      <c r="U135" s="373"/>
      <c r="V135" s="373"/>
      <c r="W135" s="373"/>
      <c r="X135" s="373"/>
      <c r="Y135" s="373"/>
      <c r="Z135" s="373"/>
      <c r="AA135" s="373"/>
      <c r="AB135" s="373"/>
      <c r="AC135" s="375"/>
    </row>
    <row r="136" spans="1:29" ht="13.5">
      <c r="A136" s="372"/>
      <c r="B136" s="372"/>
      <c r="C136" s="372"/>
      <c r="D136" s="373" t="s">
        <v>320</v>
      </c>
      <c r="E136" s="373" t="str">
        <f t="shared" si="20"/>
        <v>Year 1</v>
      </c>
      <c r="F136" s="389">
        <f t="shared" si="20"/>
        <v>335826.76849835116</v>
      </c>
      <c r="G136" s="433">
        <f t="shared" si="20"/>
        <v>3.5999999999999999E-3</v>
      </c>
      <c r="H136" s="373">
        <f t="shared" si="21"/>
        <v>6.5</v>
      </c>
      <c r="I136" s="382">
        <f t="shared" si="18"/>
        <v>7858.3463828614176</v>
      </c>
      <c r="J136" s="382">
        <f t="shared" si="19"/>
        <v>343685.11488121259</v>
      </c>
      <c r="K136" s="373"/>
      <c r="L136" s="373"/>
      <c r="M136" s="373"/>
      <c r="N136" s="373"/>
      <c r="O136" s="373"/>
      <c r="P136" s="373"/>
      <c r="Q136" s="373"/>
      <c r="R136" s="373"/>
      <c r="S136" s="373"/>
      <c r="T136" s="373"/>
      <c r="U136" s="373"/>
      <c r="V136" s="373"/>
      <c r="W136" s="373"/>
      <c r="X136" s="373"/>
      <c r="Y136" s="373"/>
      <c r="Z136" s="373"/>
      <c r="AA136" s="373"/>
      <c r="AB136" s="373"/>
      <c r="AC136" s="375"/>
    </row>
    <row r="137" spans="1:29" ht="13.5">
      <c r="A137" s="372"/>
      <c r="B137" s="372"/>
      <c r="C137" s="372"/>
      <c r="D137" s="373" t="s">
        <v>321</v>
      </c>
      <c r="E137" s="373" t="str">
        <f t="shared" si="20"/>
        <v>Year 1</v>
      </c>
      <c r="F137" s="389">
        <f t="shared" si="20"/>
        <v>335826.76849835116</v>
      </c>
      <c r="G137" s="433">
        <f t="shared" si="20"/>
        <v>3.5999999999999999E-3</v>
      </c>
      <c r="H137" s="373">
        <f t="shared" si="21"/>
        <v>5.5</v>
      </c>
      <c r="I137" s="382">
        <f t="shared" si="18"/>
        <v>6649.3700162673522</v>
      </c>
      <c r="J137" s="382">
        <f t="shared" si="19"/>
        <v>342476.13851461851</v>
      </c>
      <c r="K137" s="373"/>
      <c r="L137" s="373"/>
      <c r="M137" s="373"/>
      <c r="N137" s="373"/>
      <c r="O137" s="373"/>
      <c r="P137" s="373"/>
      <c r="Q137" s="373"/>
      <c r="R137" s="373"/>
      <c r="S137" s="373"/>
      <c r="T137" s="373"/>
      <c r="U137" s="373"/>
      <c r="V137" s="373"/>
      <c r="W137" s="373"/>
      <c r="X137" s="373"/>
      <c r="Y137" s="373"/>
      <c r="Z137" s="373"/>
      <c r="AA137" s="373"/>
      <c r="AB137" s="373"/>
      <c r="AC137" s="375"/>
    </row>
    <row r="138" spans="1:29" ht="13.5">
      <c r="A138" s="372"/>
      <c r="B138" s="372"/>
      <c r="C138" s="372"/>
      <c r="D138" s="373" t="s">
        <v>311</v>
      </c>
      <c r="E138" s="373" t="s">
        <v>267</v>
      </c>
      <c r="F138" s="389">
        <f t="shared" si="20"/>
        <v>335826.76849835116</v>
      </c>
      <c r="G138" s="433">
        <f t="shared" si="20"/>
        <v>3.5999999999999999E-3</v>
      </c>
      <c r="H138" s="373">
        <f t="shared" si="21"/>
        <v>4.5</v>
      </c>
      <c r="I138" s="382">
        <f t="shared" si="18"/>
        <v>5440.3936496732886</v>
      </c>
      <c r="J138" s="382">
        <f t="shared" si="19"/>
        <v>341267.16214802442</v>
      </c>
      <c r="K138" s="373"/>
      <c r="L138" s="373"/>
      <c r="M138" s="373"/>
      <c r="N138" s="373"/>
      <c r="O138" s="373"/>
      <c r="P138" s="373"/>
      <c r="Q138" s="373"/>
      <c r="R138" s="373"/>
      <c r="S138" s="373"/>
      <c r="T138" s="373"/>
      <c r="U138" s="373"/>
      <c r="V138" s="373"/>
      <c r="W138" s="373"/>
      <c r="X138" s="373"/>
      <c r="Y138" s="373"/>
      <c r="Z138" s="373"/>
      <c r="AA138" s="373"/>
      <c r="AB138" s="373"/>
      <c r="AC138" s="375"/>
    </row>
    <row r="139" spans="1:29" ht="13.5">
      <c r="A139" s="372"/>
      <c r="B139" s="372"/>
      <c r="C139" s="372"/>
      <c r="D139" s="373" t="s">
        <v>312</v>
      </c>
      <c r="E139" s="373" t="str">
        <f>+E138</f>
        <v>Year 2</v>
      </c>
      <c r="F139" s="389">
        <f t="shared" si="20"/>
        <v>335826.76849835116</v>
      </c>
      <c r="G139" s="433">
        <f t="shared" si="20"/>
        <v>3.5999999999999999E-3</v>
      </c>
      <c r="H139" s="373">
        <f t="shared" si="21"/>
        <v>3.5</v>
      </c>
      <c r="I139" s="382">
        <f t="shared" si="18"/>
        <v>4231.4172830792249</v>
      </c>
      <c r="J139" s="382">
        <f t="shared" si="19"/>
        <v>340058.18578143039</v>
      </c>
      <c r="K139" s="373"/>
      <c r="L139" s="373"/>
      <c r="M139" s="373"/>
      <c r="N139" s="373"/>
      <c r="O139" s="373"/>
      <c r="P139" s="373"/>
      <c r="Q139" s="373"/>
      <c r="R139" s="373"/>
      <c r="S139" s="373"/>
      <c r="T139" s="373"/>
      <c r="U139" s="373"/>
      <c r="V139" s="373"/>
      <c r="W139" s="373"/>
      <c r="X139" s="373"/>
      <c r="Y139" s="373"/>
      <c r="Z139" s="373"/>
      <c r="AA139" s="373"/>
      <c r="AB139" s="373"/>
      <c r="AC139" s="375"/>
    </row>
    <row r="140" spans="1:29" ht="13.5">
      <c r="A140" s="372"/>
      <c r="B140" s="372"/>
      <c r="C140" s="372"/>
      <c r="D140" s="373" t="s">
        <v>313</v>
      </c>
      <c r="E140" s="373" t="str">
        <f>+E139</f>
        <v>Year 2</v>
      </c>
      <c r="F140" s="389">
        <f t="shared" si="20"/>
        <v>335826.76849835116</v>
      </c>
      <c r="G140" s="433">
        <f t="shared" si="20"/>
        <v>3.5999999999999999E-3</v>
      </c>
      <c r="H140" s="373">
        <f t="shared" si="21"/>
        <v>2.5</v>
      </c>
      <c r="I140" s="382">
        <f t="shared" si="18"/>
        <v>3022.44091648516</v>
      </c>
      <c r="J140" s="382">
        <f t="shared" si="19"/>
        <v>338849.20941483631</v>
      </c>
      <c r="K140" s="373"/>
      <c r="L140" s="373"/>
      <c r="M140" s="373"/>
      <c r="N140" s="373"/>
      <c r="O140" s="373"/>
      <c r="P140" s="373"/>
      <c r="Q140" s="373"/>
      <c r="R140" s="373"/>
      <c r="S140" s="373"/>
      <c r="T140" s="373"/>
      <c r="U140" s="373"/>
      <c r="V140" s="373"/>
      <c r="W140" s="373"/>
      <c r="X140" s="373"/>
      <c r="Y140" s="373"/>
      <c r="Z140" s="373"/>
      <c r="AA140" s="373"/>
      <c r="AB140" s="373"/>
      <c r="AC140" s="375"/>
    </row>
    <row r="141" spans="1:29" ht="13.5">
      <c r="A141" s="372"/>
      <c r="B141" s="372"/>
      <c r="C141" s="372"/>
      <c r="D141" s="373" t="s">
        <v>314</v>
      </c>
      <c r="E141" s="373" t="str">
        <f>+E140</f>
        <v>Year 2</v>
      </c>
      <c r="F141" s="389">
        <f t="shared" si="20"/>
        <v>335826.76849835116</v>
      </c>
      <c r="G141" s="433">
        <f t="shared" si="20"/>
        <v>3.5999999999999999E-3</v>
      </c>
      <c r="H141" s="373">
        <f t="shared" si="21"/>
        <v>1.5</v>
      </c>
      <c r="I141" s="382">
        <f t="shared" si="18"/>
        <v>1813.4645498910963</v>
      </c>
      <c r="J141" s="382">
        <f t="shared" si="19"/>
        <v>337640.23304824223</v>
      </c>
      <c r="K141" s="373"/>
      <c r="L141" s="373"/>
      <c r="M141" s="373"/>
      <c r="N141" s="373"/>
      <c r="O141" s="373"/>
      <c r="P141" s="373"/>
      <c r="Q141" s="373"/>
      <c r="R141" s="373"/>
      <c r="S141" s="373"/>
      <c r="T141" s="373"/>
      <c r="U141" s="373"/>
      <c r="V141" s="373"/>
      <c r="W141" s="373"/>
      <c r="X141" s="373"/>
      <c r="Y141" s="373"/>
      <c r="Z141" s="373"/>
      <c r="AA141" s="373"/>
      <c r="AB141" s="373"/>
      <c r="AC141" s="375"/>
    </row>
    <row r="142" spans="1:29" ht="13.5">
      <c r="A142" s="372"/>
      <c r="B142" s="372"/>
      <c r="C142" s="372"/>
      <c r="D142" s="373" t="s">
        <v>271</v>
      </c>
      <c r="E142" s="373" t="str">
        <f>+E141</f>
        <v>Year 2</v>
      </c>
      <c r="F142" s="389">
        <f t="shared" si="20"/>
        <v>335826.76849835116</v>
      </c>
      <c r="G142" s="433">
        <f t="shared" si="20"/>
        <v>3.5999999999999999E-3</v>
      </c>
      <c r="H142" s="373">
        <f t="shared" si="21"/>
        <v>0.5</v>
      </c>
      <c r="I142" s="382">
        <f t="shared" si="18"/>
        <v>604.48818329703204</v>
      </c>
      <c r="J142" s="382">
        <f t="shared" si="19"/>
        <v>336431.2566816482</v>
      </c>
      <c r="K142" s="373"/>
      <c r="L142" s="373"/>
      <c r="M142" s="373"/>
      <c r="N142" s="373"/>
      <c r="O142" s="373"/>
      <c r="P142" s="373"/>
      <c r="Q142" s="373"/>
      <c r="R142" s="373"/>
      <c r="S142" s="373"/>
      <c r="T142" s="373"/>
      <c r="U142" s="373"/>
      <c r="V142" s="373"/>
      <c r="W142" s="373"/>
      <c r="X142" s="373"/>
      <c r="Y142" s="373"/>
      <c r="Z142" s="373"/>
      <c r="AA142" s="373"/>
      <c r="AB142" s="373"/>
      <c r="AC142" s="375"/>
    </row>
    <row r="143" spans="1:29" ht="13.5">
      <c r="A143" s="372"/>
      <c r="B143" s="372"/>
      <c r="C143" s="372"/>
      <c r="D143" s="373" t="s">
        <v>61</v>
      </c>
      <c r="E143" s="373"/>
      <c r="F143" s="389">
        <f>SUM(F131:F142)</f>
        <v>4029921.2219802146</v>
      </c>
      <c r="G143" s="373"/>
      <c r="H143" s="373"/>
      <c r="I143" s="373"/>
      <c r="J143" s="382">
        <f>SUM(J131:J142)</f>
        <v>4116967.5203749863</v>
      </c>
      <c r="K143" s="373"/>
      <c r="L143" s="373"/>
      <c r="M143" s="373"/>
      <c r="N143" s="373"/>
      <c r="O143" s="373"/>
      <c r="P143" s="373"/>
      <c r="Q143" s="373"/>
      <c r="R143" s="373"/>
      <c r="S143" s="373"/>
      <c r="T143" s="373"/>
      <c r="U143" s="373"/>
      <c r="V143" s="373"/>
      <c r="W143" s="373"/>
      <c r="X143" s="373"/>
      <c r="Y143" s="373"/>
      <c r="Z143" s="373"/>
      <c r="AA143" s="373"/>
      <c r="AB143" s="373"/>
      <c r="AC143" s="375"/>
    </row>
    <row r="144" spans="1:29" ht="13.5">
      <c r="A144" s="372"/>
      <c r="B144" s="372"/>
      <c r="C144" s="372"/>
      <c r="D144" s="373"/>
      <c r="E144" s="373"/>
      <c r="F144" s="389"/>
      <c r="G144" s="373"/>
      <c r="H144" s="373"/>
      <c r="I144" s="373"/>
      <c r="J144" s="382"/>
      <c r="K144" s="373"/>
      <c r="L144" s="373"/>
      <c r="M144" s="373"/>
      <c r="N144" s="373"/>
      <c r="O144" s="373"/>
      <c r="P144" s="373"/>
      <c r="Q144" s="373"/>
      <c r="R144" s="373"/>
      <c r="S144" s="373"/>
      <c r="T144" s="373"/>
      <c r="U144" s="373"/>
      <c r="V144" s="373"/>
      <c r="W144" s="373"/>
      <c r="X144" s="373"/>
      <c r="Y144" s="373"/>
      <c r="Z144" s="373"/>
      <c r="AA144" s="373"/>
      <c r="AB144" s="373"/>
      <c r="AC144" s="375"/>
    </row>
    <row r="145" spans="1:29" ht="27">
      <c r="A145" s="372"/>
      <c r="B145" s="372"/>
      <c r="C145" s="372"/>
      <c r="D145" s="373"/>
      <c r="E145" s="373"/>
      <c r="F145" s="430" t="s">
        <v>350</v>
      </c>
      <c r="G145" s="372" t="s">
        <v>351</v>
      </c>
      <c r="H145" s="434" t="s">
        <v>352</v>
      </c>
      <c r="I145" s="372" t="s">
        <v>350</v>
      </c>
      <c r="J145" s="373"/>
      <c r="K145" s="373"/>
      <c r="L145" s="373"/>
      <c r="M145" s="373"/>
      <c r="N145" s="373"/>
      <c r="O145" s="373"/>
      <c r="P145" s="373"/>
      <c r="Q145" s="373"/>
      <c r="R145" s="373"/>
      <c r="S145" s="373"/>
      <c r="T145" s="373"/>
      <c r="U145" s="373"/>
      <c r="V145" s="373"/>
      <c r="W145" s="373"/>
      <c r="X145" s="373"/>
      <c r="Y145" s="373"/>
      <c r="Z145" s="373"/>
      <c r="AA145" s="373"/>
      <c r="AB145" s="373"/>
      <c r="AC145" s="375"/>
    </row>
    <row r="146" spans="1:29" ht="13.5">
      <c r="A146" s="372"/>
      <c r="B146" s="372"/>
      <c r="C146" s="372"/>
      <c r="D146" s="373" t="str">
        <f t="shared" ref="D146:D157" si="22">+D131</f>
        <v>Jun</v>
      </c>
      <c r="E146" s="373" t="str">
        <f>+E142</f>
        <v>Year 2</v>
      </c>
      <c r="F146" s="389">
        <f>+J143</f>
        <v>4116967.5203749863</v>
      </c>
      <c r="G146" s="433">
        <f>+G142</f>
        <v>3.5999999999999999E-3</v>
      </c>
      <c r="H146" s="382">
        <f>-PMT(G146,12,J143)</f>
        <v>351161.60193874006</v>
      </c>
      <c r="I146" s="382">
        <f t="shared" ref="I146:I157" si="23">+F146+F146*G146-H146</f>
        <v>3780627.0015095966</v>
      </c>
      <c r="J146" s="373"/>
      <c r="K146" s="373"/>
      <c r="L146" s="373"/>
      <c r="M146" s="373"/>
      <c r="N146" s="373"/>
      <c r="O146" s="373"/>
      <c r="P146" s="373"/>
      <c r="Q146" s="373"/>
      <c r="R146" s="373"/>
      <c r="S146" s="373"/>
      <c r="T146" s="373"/>
      <c r="U146" s="373"/>
      <c r="V146" s="373"/>
      <c r="W146" s="373"/>
      <c r="X146" s="373"/>
      <c r="Y146" s="373"/>
      <c r="Z146" s="373"/>
      <c r="AA146" s="373"/>
      <c r="AB146" s="373"/>
      <c r="AC146" s="375"/>
    </row>
    <row r="147" spans="1:29" ht="13.5">
      <c r="A147" s="372"/>
      <c r="B147" s="372"/>
      <c r="C147" s="372"/>
      <c r="D147" s="373" t="str">
        <f t="shared" si="22"/>
        <v>Jul</v>
      </c>
      <c r="E147" s="373" t="str">
        <f t="shared" ref="E147:E152" si="24">+E146</f>
        <v>Year 2</v>
      </c>
      <c r="F147" s="389">
        <f t="shared" ref="F147:F157" si="25">+I146</f>
        <v>3780627.0015095966</v>
      </c>
      <c r="G147" s="433">
        <f t="shared" ref="G147:H157" si="26">+G146</f>
        <v>3.5999999999999999E-3</v>
      </c>
      <c r="H147" s="389">
        <f t="shared" si="26"/>
        <v>351161.60193874006</v>
      </c>
      <c r="I147" s="382">
        <f t="shared" si="23"/>
        <v>3443075.6567762913</v>
      </c>
      <c r="J147" s="373"/>
      <c r="K147" s="373"/>
      <c r="L147" s="373"/>
      <c r="M147" s="373"/>
      <c r="N147" s="373"/>
      <c r="O147" s="373"/>
      <c r="P147" s="373"/>
      <c r="Q147" s="373"/>
      <c r="R147" s="373"/>
      <c r="S147" s="373"/>
      <c r="T147" s="373"/>
      <c r="U147" s="373"/>
      <c r="V147" s="373"/>
      <c r="W147" s="373"/>
      <c r="X147" s="373"/>
      <c r="Y147" s="373"/>
      <c r="Z147" s="373"/>
      <c r="AA147" s="373"/>
      <c r="AB147" s="373"/>
      <c r="AC147" s="375"/>
    </row>
    <row r="148" spans="1:29" ht="13.5">
      <c r="A148" s="372"/>
      <c r="B148" s="372"/>
      <c r="C148" s="372"/>
      <c r="D148" s="373" t="str">
        <f t="shared" si="22"/>
        <v>Aug</v>
      </c>
      <c r="E148" s="373" t="str">
        <f t="shared" si="24"/>
        <v>Year 2</v>
      </c>
      <c r="F148" s="389">
        <f t="shared" si="25"/>
        <v>3443075.6567762913</v>
      </c>
      <c r="G148" s="433">
        <f t="shared" si="26"/>
        <v>3.5999999999999999E-3</v>
      </c>
      <c r="H148" s="389">
        <f t="shared" si="26"/>
        <v>351161.60193874006</v>
      </c>
      <c r="I148" s="382">
        <f t="shared" si="23"/>
        <v>3104309.127201946</v>
      </c>
      <c r="J148" s="373"/>
      <c r="K148" s="373"/>
      <c r="L148" s="373"/>
      <c r="M148" s="373"/>
      <c r="N148" s="373"/>
      <c r="O148" s="373"/>
      <c r="P148" s="373"/>
      <c r="Q148" s="373"/>
      <c r="R148" s="373"/>
      <c r="S148" s="373"/>
      <c r="T148" s="373"/>
      <c r="U148" s="373"/>
      <c r="V148" s="373"/>
      <c r="W148" s="373"/>
      <c r="X148" s="373"/>
      <c r="Y148" s="373"/>
      <c r="Z148" s="373"/>
      <c r="AA148" s="373"/>
      <c r="AB148" s="373"/>
      <c r="AC148" s="375"/>
    </row>
    <row r="149" spans="1:29" ht="13.5">
      <c r="A149" s="372"/>
      <c r="B149" s="372"/>
      <c r="C149" s="372"/>
      <c r="D149" s="373" t="str">
        <f t="shared" si="22"/>
        <v>Sep</v>
      </c>
      <c r="E149" s="373" t="str">
        <f t="shared" si="24"/>
        <v>Year 2</v>
      </c>
      <c r="F149" s="389">
        <f t="shared" si="25"/>
        <v>3104309.127201946</v>
      </c>
      <c r="G149" s="433">
        <f t="shared" si="26"/>
        <v>3.5999999999999999E-3</v>
      </c>
      <c r="H149" s="389">
        <f t="shared" si="26"/>
        <v>351161.60193874006</v>
      </c>
      <c r="I149" s="382">
        <f t="shared" si="23"/>
        <v>2764323.0381211331</v>
      </c>
      <c r="J149" s="373"/>
      <c r="K149" s="435"/>
      <c r="L149" s="373"/>
      <c r="M149" s="373"/>
      <c r="N149" s="373"/>
      <c r="O149" s="373"/>
      <c r="P149" s="373"/>
      <c r="Q149" s="373"/>
      <c r="R149" s="373"/>
      <c r="S149" s="373"/>
      <c r="T149" s="373"/>
      <c r="U149" s="373"/>
      <c r="V149" s="373"/>
      <c r="W149" s="373"/>
      <c r="X149" s="373"/>
      <c r="Y149" s="373"/>
      <c r="Z149" s="373"/>
      <c r="AA149" s="373"/>
      <c r="AB149" s="373"/>
      <c r="AC149" s="375"/>
    </row>
    <row r="150" spans="1:29" ht="13.5">
      <c r="A150" s="372"/>
      <c r="B150" s="372"/>
      <c r="C150" s="372"/>
      <c r="D150" s="373" t="str">
        <f t="shared" si="22"/>
        <v>Oct</v>
      </c>
      <c r="E150" s="373" t="str">
        <f t="shared" si="24"/>
        <v>Year 2</v>
      </c>
      <c r="F150" s="389">
        <f t="shared" si="25"/>
        <v>2764323.0381211331</v>
      </c>
      <c r="G150" s="433">
        <f t="shared" si="26"/>
        <v>3.5999999999999999E-3</v>
      </c>
      <c r="H150" s="389">
        <f t="shared" si="26"/>
        <v>351161.60193874006</v>
      </c>
      <c r="I150" s="382">
        <f t="shared" si="23"/>
        <v>2423112.9991196292</v>
      </c>
      <c r="J150" s="373"/>
      <c r="K150" s="433"/>
      <c r="L150" s="373"/>
      <c r="M150" s="373"/>
      <c r="N150" s="373"/>
      <c r="O150" s="373"/>
      <c r="P150" s="373"/>
      <c r="Q150" s="373"/>
      <c r="R150" s="373"/>
      <c r="S150" s="373"/>
      <c r="T150" s="373"/>
      <c r="U150" s="373"/>
      <c r="V150" s="373"/>
      <c r="W150" s="373"/>
      <c r="X150" s="373"/>
      <c r="Y150" s="373"/>
      <c r="Z150" s="373"/>
      <c r="AA150" s="373"/>
      <c r="AB150" s="373"/>
      <c r="AC150" s="375"/>
    </row>
    <row r="151" spans="1:29" ht="13.5">
      <c r="A151" s="372"/>
      <c r="B151" s="372"/>
      <c r="C151" s="372"/>
      <c r="D151" s="373" t="str">
        <f t="shared" si="22"/>
        <v>Nov</v>
      </c>
      <c r="E151" s="373" t="str">
        <f t="shared" si="24"/>
        <v>Year 2</v>
      </c>
      <c r="F151" s="389">
        <f t="shared" si="25"/>
        <v>2423112.9991196292</v>
      </c>
      <c r="G151" s="433">
        <f t="shared" si="26"/>
        <v>3.5999999999999999E-3</v>
      </c>
      <c r="H151" s="389">
        <f t="shared" si="26"/>
        <v>351161.60193874006</v>
      </c>
      <c r="I151" s="382">
        <f t="shared" si="23"/>
        <v>2080674.6039777196</v>
      </c>
      <c r="J151" s="373"/>
      <c r="K151" s="373"/>
      <c r="L151" s="373"/>
      <c r="M151" s="373"/>
      <c r="N151" s="373"/>
      <c r="O151" s="373"/>
      <c r="P151" s="373"/>
      <c r="Q151" s="373"/>
      <c r="R151" s="373"/>
      <c r="S151" s="373"/>
      <c r="T151" s="373"/>
      <c r="U151" s="373"/>
      <c r="V151" s="373"/>
      <c r="W151" s="373"/>
      <c r="X151" s="373"/>
      <c r="Y151" s="373"/>
      <c r="Z151" s="373"/>
      <c r="AA151" s="373"/>
      <c r="AB151" s="373"/>
      <c r="AC151" s="375"/>
    </row>
    <row r="152" spans="1:29" ht="13.5">
      <c r="A152" s="372"/>
      <c r="B152" s="372"/>
      <c r="C152" s="372"/>
      <c r="D152" s="373" t="str">
        <f t="shared" si="22"/>
        <v>Dec</v>
      </c>
      <c r="E152" s="373" t="str">
        <f t="shared" si="24"/>
        <v>Year 2</v>
      </c>
      <c r="F152" s="389">
        <f t="shared" si="25"/>
        <v>2080674.6039777196</v>
      </c>
      <c r="G152" s="433">
        <f t="shared" si="26"/>
        <v>3.5999999999999999E-3</v>
      </c>
      <c r="H152" s="389">
        <f t="shared" si="26"/>
        <v>351161.60193874006</v>
      </c>
      <c r="I152" s="382">
        <f t="shared" si="23"/>
        <v>1737003.4306132991</v>
      </c>
      <c r="J152" s="373"/>
      <c r="K152" s="373"/>
      <c r="L152" s="373"/>
      <c r="M152" s="373"/>
      <c r="N152" s="373"/>
      <c r="O152" s="373"/>
      <c r="P152" s="373"/>
      <c r="Q152" s="373"/>
      <c r="R152" s="373"/>
      <c r="S152" s="373"/>
      <c r="T152" s="373"/>
      <c r="U152" s="373"/>
      <c r="V152" s="373"/>
      <c r="W152" s="373"/>
      <c r="X152" s="373"/>
      <c r="Y152" s="373"/>
      <c r="Z152" s="373"/>
      <c r="AA152" s="373"/>
      <c r="AB152" s="373"/>
      <c r="AC152" s="375"/>
    </row>
    <row r="153" spans="1:29" ht="13.5">
      <c r="A153" s="372"/>
      <c r="B153" s="372"/>
      <c r="C153" s="372"/>
      <c r="D153" s="373" t="str">
        <f t="shared" si="22"/>
        <v>Jan</v>
      </c>
      <c r="E153" s="373" t="s">
        <v>275</v>
      </c>
      <c r="F153" s="389">
        <f t="shared" si="25"/>
        <v>1737003.4306132991</v>
      </c>
      <c r="G153" s="433">
        <f t="shared" si="26"/>
        <v>3.5999999999999999E-3</v>
      </c>
      <c r="H153" s="389">
        <f t="shared" si="26"/>
        <v>351161.60193874006</v>
      </c>
      <c r="I153" s="382">
        <f t="shared" si="23"/>
        <v>1392095.0410247669</v>
      </c>
      <c r="J153" s="373"/>
      <c r="K153" s="373"/>
      <c r="L153" s="373"/>
      <c r="M153" s="373"/>
      <c r="N153" s="373"/>
      <c r="O153" s="373"/>
      <c r="P153" s="373"/>
      <c r="Q153" s="373"/>
      <c r="R153" s="373"/>
      <c r="S153" s="373"/>
      <c r="T153" s="373"/>
      <c r="U153" s="373"/>
      <c r="V153" s="373"/>
      <c r="W153" s="373"/>
      <c r="X153" s="373"/>
      <c r="Y153" s="373"/>
      <c r="Z153" s="373"/>
      <c r="AA153" s="373"/>
      <c r="AB153" s="373"/>
      <c r="AC153" s="375"/>
    </row>
    <row r="154" spans="1:29" ht="13.5">
      <c r="A154" s="372"/>
      <c r="B154" s="372"/>
      <c r="C154" s="372"/>
      <c r="D154" s="373" t="str">
        <f t="shared" si="22"/>
        <v>Feb</v>
      </c>
      <c r="E154" s="373" t="str">
        <f>+E153</f>
        <v>Year 3</v>
      </c>
      <c r="F154" s="389">
        <f t="shared" si="25"/>
        <v>1392095.0410247669</v>
      </c>
      <c r="G154" s="433">
        <f t="shared" si="26"/>
        <v>3.5999999999999999E-3</v>
      </c>
      <c r="H154" s="389">
        <f t="shared" si="26"/>
        <v>351161.60193874006</v>
      </c>
      <c r="I154" s="382">
        <f t="shared" si="23"/>
        <v>1045944.981233716</v>
      </c>
      <c r="J154" s="373"/>
      <c r="K154" s="373"/>
      <c r="L154" s="373"/>
      <c r="M154" s="373"/>
      <c r="N154" s="373"/>
      <c r="O154" s="373"/>
      <c r="P154" s="373"/>
      <c r="Q154" s="373"/>
      <c r="R154" s="373"/>
      <c r="S154" s="373"/>
      <c r="T154" s="373"/>
      <c r="U154" s="373"/>
      <c r="V154" s="373"/>
      <c r="W154" s="373"/>
      <c r="X154" s="373"/>
      <c r="Y154" s="373"/>
      <c r="Z154" s="373"/>
      <c r="AA154" s="373"/>
      <c r="AB154" s="373"/>
      <c r="AC154" s="375"/>
    </row>
    <row r="155" spans="1:29" ht="13.5">
      <c r="A155" s="372"/>
      <c r="B155" s="372"/>
      <c r="C155" s="372"/>
      <c r="D155" s="373" t="str">
        <f t="shared" si="22"/>
        <v>Mar</v>
      </c>
      <c r="E155" s="373" t="str">
        <f>+E154</f>
        <v>Year 3</v>
      </c>
      <c r="F155" s="389">
        <f t="shared" si="25"/>
        <v>1045944.981233716</v>
      </c>
      <c r="G155" s="433">
        <f t="shared" si="26"/>
        <v>3.5999999999999999E-3</v>
      </c>
      <c r="H155" s="389">
        <f t="shared" si="26"/>
        <v>351161.60193874006</v>
      </c>
      <c r="I155" s="382">
        <f t="shared" si="23"/>
        <v>698548.78122741729</v>
      </c>
      <c r="J155" s="373"/>
      <c r="K155" s="373"/>
      <c r="L155" s="436"/>
      <c r="M155" s="373"/>
      <c r="N155" s="373"/>
      <c r="O155" s="373"/>
      <c r="P155" s="373"/>
      <c r="Q155" s="373"/>
      <c r="R155" s="373"/>
      <c r="S155" s="373"/>
      <c r="T155" s="373"/>
      <c r="U155" s="373"/>
      <c r="V155" s="373"/>
      <c r="W155" s="373"/>
      <c r="X155" s="373"/>
      <c r="Y155" s="373"/>
      <c r="Z155" s="373"/>
      <c r="AA155" s="373"/>
      <c r="AB155" s="373"/>
      <c r="AC155" s="375"/>
    </row>
    <row r="156" spans="1:29" ht="13.5">
      <c r="A156" s="372"/>
      <c r="B156" s="372"/>
      <c r="C156" s="372"/>
      <c r="D156" s="373" t="str">
        <f t="shared" si="22"/>
        <v>Apr</v>
      </c>
      <c r="E156" s="373" t="str">
        <f>+E155</f>
        <v>Year 3</v>
      </c>
      <c r="F156" s="389">
        <f t="shared" si="25"/>
        <v>698548.78122741729</v>
      </c>
      <c r="G156" s="433">
        <f t="shared" si="26"/>
        <v>3.5999999999999999E-3</v>
      </c>
      <c r="H156" s="389">
        <f t="shared" si="26"/>
        <v>351161.60193874006</v>
      </c>
      <c r="I156" s="382">
        <f t="shared" si="23"/>
        <v>349901.95490109589</v>
      </c>
      <c r="J156" s="373"/>
      <c r="K156" s="373"/>
      <c r="L156" s="373"/>
      <c r="M156" s="373"/>
      <c r="N156" s="373"/>
      <c r="O156" s="373"/>
      <c r="P156" s="373"/>
      <c r="Q156" s="373"/>
      <c r="R156" s="373"/>
      <c r="S156" s="373"/>
      <c r="T156" s="373"/>
      <c r="U156" s="373"/>
      <c r="V156" s="373"/>
      <c r="W156" s="373"/>
      <c r="X156" s="373"/>
      <c r="Y156" s="373"/>
      <c r="Z156" s="373"/>
      <c r="AA156" s="373"/>
      <c r="AB156" s="373"/>
      <c r="AC156" s="375"/>
    </row>
    <row r="157" spans="1:29" ht="13.5">
      <c r="A157" s="372"/>
      <c r="B157" s="372"/>
      <c r="C157" s="372"/>
      <c r="D157" s="373" t="str">
        <f t="shared" si="22"/>
        <v>May</v>
      </c>
      <c r="E157" s="373" t="str">
        <f>+E156</f>
        <v>Year 3</v>
      </c>
      <c r="F157" s="389">
        <f t="shared" si="25"/>
        <v>349901.95490109589</v>
      </c>
      <c r="G157" s="433">
        <f t="shared" si="26"/>
        <v>3.5999999999999999E-3</v>
      </c>
      <c r="H157" s="389">
        <f t="shared" si="26"/>
        <v>351161.60193874006</v>
      </c>
      <c r="I157" s="382">
        <f t="shared" si="23"/>
        <v>0</v>
      </c>
      <c r="J157" s="373"/>
      <c r="K157" s="373"/>
      <c r="L157" s="373"/>
      <c r="M157" s="373"/>
      <c r="N157" s="373"/>
      <c r="O157" s="373"/>
      <c r="P157" s="373"/>
      <c r="Q157" s="373"/>
      <c r="R157" s="373"/>
      <c r="S157" s="373"/>
      <c r="T157" s="373"/>
      <c r="U157" s="373"/>
      <c r="V157" s="373"/>
      <c r="W157" s="373"/>
      <c r="X157" s="373"/>
      <c r="Y157" s="373"/>
      <c r="Z157" s="373"/>
      <c r="AA157" s="373"/>
      <c r="AB157" s="373"/>
      <c r="AC157" s="375"/>
    </row>
    <row r="158" spans="1:29" ht="13.5">
      <c r="A158" s="372"/>
      <c r="B158" s="372"/>
      <c r="C158" s="372"/>
      <c r="D158" s="373" t="s">
        <v>353</v>
      </c>
      <c r="E158" s="373"/>
      <c r="F158" s="373"/>
      <c r="G158" s="373"/>
      <c r="H158" s="389">
        <f>SUM(H146:H157)</f>
        <v>4213939.2232648795</v>
      </c>
      <c r="I158" s="373"/>
      <c r="J158" s="373"/>
      <c r="K158" s="373"/>
      <c r="L158" s="373"/>
      <c r="M158" s="373"/>
      <c r="N158" s="373"/>
      <c r="O158" s="373"/>
      <c r="P158" s="373"/>
      <c r="Q158" s="373"/>
      <c r="R158" s="373"/>
      <c r="S158" s="373"/>
      <c r="T158" s="373"/>
      <c r="U158" s="373"/>
      <c r="V158" s="373"/>
      <c r="W158" s="373"/>
      <c r="X158" s="373"/>
      <c r="Y158" s="373"/>
      <c r="Z158" s="373"/>
      <c r="AA158" s="373"/>
      <c r="AB158" s="373"/>
      <c r="AC158" s="375"/>
    </row>
    <row r="159" spans="1:29" ht="13.5">
      <c r="A159" s="372"/>
      <c r="B159" s="372"/>
      <c r="C159" s="372"/>
      <c r="D159" s="373"/>
      <c r="E159" s="373"/>
      <c r="F159" s="373"/>
      <c r="G159" s="373"/>
      <c r="H159" s="373"/>
      <c r="I159" s="373"/>
      <c r="J159" s="373"/>
      <c r="K159" s="373"/>
      <c r="L159" s="373"/>
      <c r="M159" s="373"/>
      <c r="N159" s="373"/>
      <c r="O159" s="373"/>
      <c r="P159" s="373"/>
      <c r="Q159" s="373"/>
      <c r="R159" s="373"/>
      <c r="S159" s="373"/>
      <c r="T159" s="373"/>
      <c r="U159" s="373"/>
      <c r="V159" s="373"/>
      <c r="W159" s="373"/>
      <c r="X159" s="373"/>
      <c r="Y159" s="373"/>
      <c r="Z159" s="373"/>
      <c r="AA159" s="373"/>
      <c r="AB159" s="373"/>
      <c r="AC159" s="375"/>
    </row>
    <row r="160" spans="1:29" ht="13.5">
      <c r="B160" s="372"/>
      <c r="C160" s="372"/>
      <c r="D160" s="428" t="s">
        <v>354</v>
      </c>
      <c r="E160" s="372"/>
      <c r="G160" s="372"/>
      <c r="H160" s="389">
        <f>+H158</f>
        <v>4213939.2232648795</v>
      </c>
      <c r="I160" s="372"/>
      <c r="J160" s="389"/>
      <c r="K160" s="373"/>
      <c r="L160" s="373"/>
      <c r="M160" s="373"/>
      <c r="N160" s="373"/>
      <c r="O160" s="373"/>
      <c r="P160" s="373"/>
      <c r="Q160" s="373"/>
      <c r="R160" s="373"/>
      <c r="S160" s="373"/>
      <c r="T160" s="373"/>
      <c r="U160" s="373"/>
      <c r="V160" s="373"/>
      <c r="W160" s="373"/>
      <c r="X160" s="373"/>
      <c r="Y160" s="373"/>
      <c r="Z160" s="373"/>
      <c r="AA160" s="373"/>
      <c r="AB160" s="373"/>
      <c r="AC160" s="375"/>
    </row>
    <row r="161" spans="1:29" ht="13.5">
      <c r="B161" s="372"/>
      <c r="C161" s="372"/>
      <c r="D161" s="428"/>
      <c r="E161" s="372"/>
      <c r="G161" s="437"/>
      <c r="H161" s="438"/>
      <c r="I161" s="439"/>
      <c r="J161" s="389"/>
      <c r="K161" s="373"/>
      <c r="L161" s="373"/>
      <c r="M161" s="373"/>
      <c r="N161" s="373"/>
      <c r="O161" s="373"/>
      <c r="P161" s="373"/>
      <c r="Q161" s="373"/>
      <c r="R161" s="373"/>
      <c r="S161" s="373"/>
      <c r="T161" s="373"/>
      <c r="U161" s="373"/>
      <c r="V161" s="373"/>
      <c r="W161" s="373"/>
      <c r="X161" s="373"/>
      <c r="Y161" s="373"/>
      <c r="Z161" s="373"/>
      <c r="AA161" s="373"/>
      <c r="AB161" s="373"/>
      <c r="AC161" s="375"/>
    </row>
    <row r="162" spans="1:29" ht="13.5">
      <c r="B162" s="372"/>
      <c r="C162" s="372"/>
      <c r="D162" s="428" t="s">
        <v>355</v>
      </c>
      <c r="E162" s="372"/>
      <c r="G162" s="372"/>
      <c r="H162" s="440">
        <f>D116</f>
        <v>169575931.93205062</v>
      </c>
      <c r="I162" s="384"/>
      <c r="J162" s="419"/>
      <c r="K162" s="373"/>
      <c r="L162" s="373"/>
      <c r="M162" s="373"/>
      <c r="N162" s="373"/>
      <c r="O162" s="373"/>
      <c r="P162" s="373"/>
      <c r="Q162" s="373"/>
      <c r="R162" s="373"/>
      <c r="S162" s="373"/>
      <c r="T162" s="373"/>
      <c r="U162" s="373"/>
      <c r="V162" s="373"/>
      <c r="W162" s="373"/>
      <c r="X162" s="373"/>
      <c r="Y162" s="373"/>
      <c r="Z162" s="373"/>
      <c r="AA162" s="373"/>
      <c r="AB162" s="373"/>
      <c r="AC162" s="375"/>
    </row>
    <row r="163" spans="1:29" ht="13.5">
      <c r="B163" s="372"/>
      <c r="C163" s="372"/>
      <c r="D163" s="428" t="s">
        <v>356</v>
      </c>
      <c r="E163" s="372"/>
      <c r="G163" s="372"/>
      <c r="H163" s="389">
        <f>H160+H162</f>
        <v>173789871.15531549</v>
      </c>
      <c r="I163" s="431"/>
      <c r="J163" s="419"/>
      <c r="K163" s="373"/>
      <c r="L163" s="373"/>
      <c r="M163" s="373"/>
      <c r="N163" s="373"/>
      <c r="O163" s="373"/>
      <c r="P163" s="373"/>
      <c r="Q163" s="373"/>
      <c r="R163" s="373"/>
      <c r="S163" s="373"/>
      <c r="T163" s="373"/>
      <c r="U163" s="373"/>
      <c r="V163" s="373"/>
      <c r="W163" s="373"/>
      <c r="X163" s="373"/>
      <c r="Y163" s="373"/>
      <c r="Z163" s="373"/>
      <c r="AA163" s="373"/>
      <c r="AB163" s="373"/>
      <c r="AC163" s="375"/>
    </row>
    <row r="164" spans="1:29" ht="13.5">
      <c r="B164" s="372"/>
      <c r="C164" s="372"/>
      <c r="D164" s="392"/>
      <c r="E164" s="372"/>
      <c r="G164" s="441"/>
      <c r="H164" s="442"/>
      <c r="I164" s="439"/>
      <c r="J164" s="443"/>
      <c r="K164" s="373"/>
      <c r="L164" s="373"/>
      <c r="M164" s="373"/>
      <c r="N164" s="373"/>
      <c r="O164" s="373"/>
      <c r="P164" s="373"/>
      <c r="Q164" s="373"/>
      <c r="R164" s="373"/>
      <c r="S164" s="373"/>
      <c r="T164" s="373"/>
      <c r="U164" s="373"/>
      <c r="V164" s="373"/>
      <c r="W164" s="373"/>
      <c r="X164" s="373"/>
      <c r="Y164" s="373"/>
      <c r="Z164" s="373"/>
      <c r="AA164" s="373"/>
      <c r="AB164" s="373"/>
      <c r="AC164" s="375"/>
    </row>
    <row r="165" spans="1:29" ht="13.5">
      <c r="A165" s="372"/>
      <c r="B165" s="372"/>
      <c r="C165" s="372"/>
      <c r="D165" s="392"/>
      <c r="E165" s="372"/>
      <c r="F165" s="389"/>
      <c r="G165" s="441"/>
      <c r="H165" s="442"/>
      <c r="J165" s="443"/>
      <c r="K165" s="373"/>
      <c r="L165" s="373"/>
      <c r="M165" s="373"/>
      <c r="N165" s="373"/>
      <c r="O165" s="373"/>
      <c r="P165" s="373"/>
      <c r="Q165" s="373"/>
      <c r="R165" s="373"/>
      <c r="S165" s="373"/>
      <c r="T165" s="373"/>
      <c r="U165" s="373"/>
      <c r="V165" s="373"/>
      <c r="W165" s="373"/>
      <c r="X165" s="373"/>
      <c r="Y165" s="373"/>
      <c r="Z165" s="373"/>
      <c r="AA165" s="373"/>
      <c r="AB165" s="373"/>
      <c r="AC165" s="375"/>
    </row>
    <row r="166" spans="1:29" ht="13.5">
      <c r="A166" s="372">
        <f>+A20</f>
        <v>10</v>
      </c>
      <c r="B166" s="372" t="str">
        <f>+B20</f>
        <v>May</v>
      </c>
      <c r="C166" s="372" t="str">
        <f>+C20</f>
        <v>Year 3</v>
      </c>
      <c r="D166" s="378" t="str">
        <f>+D20</f>
        <v>Post results of Step 9 on PJM web site</v>
      </c>
      <c r="E166" s="373"/>
      <c r="F166" s="373"/>
      <c r="G166" s="444"/>
      <c r="H166" s="442"/>
      <c r="I166" s="439"/>
      <c r="J166" s="445"/>
      <c r="K166" s="373"/>
      <c r="L166" s="373"/>
      <c r="M166" s="373"/>
      <c r="N166" s="373"/>
      <c r="O166" s="373"/>
      <c r="P166" s="373"/>
      <c r="Q166" s="373"/>
      <c r="R166" s="373"/>
      <c r="S166" s="373"/>
      <c r="T166" s="373"/>
      <c r="U166" s="373"/>
      <c r="V166" s="373"/>
      <c r="W166" s="373"/>
      <c r="X166" s="373"/>
      <c r="Y166" s="373"/>
      <c r="Z166" s="373"/>
      <c r="AA166" s="373"/>
      <c r="AB166" s="373"/>
      <c r="AC166" s="375"/>
    </row>
    <row r="167" spans="1:29" ht="13.5">
      <c r="A167" s="372"/>
      <c r="B167" s="372"/>
      <c r="C167" s="372"/>
      <c r="D167" s="394">
        <f>H163</f>
        <v>173789871.15531549</v>
      </c>
      <c r="E167" s="373" t="str">
        <f>+D52</f>
        <v>Post results of Step 3 on PJM web site</v>
      </c>
      <c r="F167" s="373"/>
      <c r="G167" s="446"/>
      <c r="H167" s="442"/>
      <c r="I167" s="445"/>
      <c r="J167" s="445"/>
      <c r="K167" s="373"/>
      <c r="L167" s="373"/>
      <c r="M167" s="373"/>
      <c r="N167" s="373"/>
      <c r="O167" s="373"/>
      <c r="P167" s="373"/>
      <c r="Q167" s="373"/>
      <c r="R167" s="373"/>
      <c r="S167" s="373"/>
      <c r="T167" s="373"/>
      <c r="U167" s="373"/>
      <c r="V167" s="373"/>
      <c r="W167" s="373"/>
      <c r="X167" s="373"/>
      <c r="Y167" s="373"/>
      <c r="Z167" s="373"/>
      <c r="AA167" s="373"/>
      <c r="AB167" s="373"/>
      <c r="AC167" s="375"/>
    </row>
    <row r="168" spans="1:29" ht="13.5">
      <c r="A168" s="372"/>
      <c r="B168" s="372"/>
      <c r="C168" s="372"/>
      <c r="D168" s="400"/>
      <c r="E168" s="392"/>
      <c r="F168" s="373"/>
      <c r="I168" s="406"/>
      <c r="J168" s="406"/>
      <c r="K168" s="373"/>
      <c r="L168" s="373"/>
      <c r="M168" s="373"/>
      <c r="N168" s="373"/>
      <c r="O168" s="373"/>
      <c r="P168" s="373"/>
      <c r="Q168" s="373"/>
      <c r="R168" s="373"/>
      <c r="S168" s="373"/>
      <c r="T168" s="373"/>
      <c r="U168" s="373"/>
      <c r="V168" s="373"/>
      <c r="W168" s="373"/>
      <c r="X168" s="373"/>
      <c r="Y168" s="373"/>
      <c r="Z168" s="373"/>
      <c r="AA168" s="373"/>
      <c r="AB168" s="373"/>
      <c r="AC168" s="375"/>
    </row>
    <row r="169" spans="1:29" ht="13.5">
      <c r="A169" s="372"/>
      <c r="B169" s="372"/>
      <c r="C169" s="372"/>
      <c r="D169" s="394"/>
      <c r="E169" s="373"/>
      <c r="F169" s="373"/>
      <c r="G169" s="373"/>
      <c r="H169" s="373"/>
      <c r="I169" s="406"/>
      <c r="J169" s="406"/>
      <c r="K169" s="373"/>
      <c r="L169" s="373"/>
      <c r="M169" s="373"/>
      <c r="N169" s="373"/>
      <c r="O169" s="373"/>
      <c r="P169" s="373"/>
      <c r="Q169" s="373"/>
      <c r="R169" s="373"/>
      <c r="S169" s="373"/>
      <c r="T169" s="373"/>
      <c r="U169" s="373"/>
      <c r="V169" s="373"/>
      <c r="W169" s="373"/>
      <c r="X169" s="373"/>
      <c r="Y169" s="373"/>
      <c r="Z169" s="373"/>
      <c r="AA169" s="373"/>
      <c r="AB169" s="373"/>
      <c r="AC169" s="375"/>
    </row>
    <row r="170" spans="1:29" ht="13.5">
      <c r="A170" s="372">
        <f>+A21</f>
        <v>11</v>
      </c>
      <c r="B170" s="372" t="str">
        <f>+B21</f>
        <v>June</v>
      </c>
      <c r="C170" s="372" t="str">
        <f>+C21</f>
        <v>Year 3</v>
      </c>
      <c r="D170" s="447" t="str">
        <f>+D21</f>
        <v>Results of Step 9 go into effect for the Rate Year 2 (e.g., June 1, 2006 - May 31, 2007)</v>
      </c>
      <c r="E170" s="373"/>
      <c r="F170" s="373"/>
      <c r="G170" s="373"/>
      <c r="H170" s="373"/>
      <c r="I170" s="373"/>
      <c r="J170" s="373"/>
      <c r="K170" s="373"/>
      <c r="L170" s="373"/>
      <c r="M170" s="373"/>
      <c r="N170" s="373"/>
      <c r="O170" s="373"/>
      <c r="P170" s="373"/>
      <c r="Q170" s="373"/>
      <c r="R170" s="373"/>
      <c r="S170" s="373"/>
      <c r="T170" s="373"/>
      <c r="U170" s="373"/>
      <c r="V170" s="373"/>
      <c r="W170" s="373"/>
      <c r="X170" s="373"/>
      <c r="Y170" s="373"/>
      <c r="Z170" s="373"/>
      <c r="AA170" s="373"/>
      <c r="AB170" s="373"/>
      <c r="AC170" s="375"/>
    </row>
    <row r="171" spans="1:29" ht="13.5">
      <c r="A171" s="372"/>
      <c r="B171" s="372"/>
      <c r="C171" s="372"/>
      <c r="D171" s="448">
        <f>+D167</f>
        <v>173789871.15531549</v>
      </c>
      <c r="E171" s="373"/>
      <c r="F171" s="373"/>
      <c r="G171" s="373"/>
      <c r="H171" s="373"/>
      <c r="I171" s="373"/>
      <c r="J171" s="373"/>
      <c r="K171" s="373"/>
      <c r="L171" s="373"/>
      <c r="M171" s="373"/>
      <c r="N171" s="373"/>
      <c r="O171" s="373"/>
      <c r="P171" s="373"/>
      <c r="Q171" s="373"/>
      <c r="R171" s="373"/>
      <c r="S171" s="373"/>
      <c r="T171" s="373"/>
      <c r="U171" s="373"/>
      <c r="V171" s="373"/>
      <c r="W171" s="373"/>
      <c r="X171" s="373"/>
      <c r="Y171" s="373"/>
      <c r="Z171" s="373"/>
      <c r="AA171" s="373"/>
      <c r="AB171" s="373"/>
      <c r="AC171" s="375"/>
    </row>
    <row r="172" spans="1:29" ht="13.5">
      <c r="A172" s="372"/>
      <c r="B172" s="372"/>
      <c r="C172" s="372"/>
      <c r="D172" s="392"/>
      <c r="E172" s="373"/>
      <c r="F172" s="373"/>
      <c r="G172" s="373"/>
      <c r="H172" s="373"/>
      <c r="I172" s="373"/>
      <c r="J172" s="373"/>
      <c r="K172" s="373"/>
      <c r="L172" s="373"/>
      <c r="M172" s="373"/>
      <c r="N172" s="373"/>
      <c r="O172" s="373"/>
      <c r="P172" s="373"/>
      <c r="Q172" s="373"/>
      <c r="R172" s="373"/>
      <c r="S172" s="373"/>
      <c r="T172" s="373"/>
      <c r="U172" s="373"/>
      <c r="V172" s="373"/>
      <c r="W172" s="373"/>
      <c r="X172" s="373"/>
      <c r="Y172" s="373"/>
      <c r="Z172" s="373"/>
      <c r="AA172" s="373"/>
      <c r="AB172" s="373"/>
      <c r="AC172" s="375"/>
    </row>
    <row r="173" spans="1:29" ht="13.5">
      <c r="A173" s="372"/>
      <c r="B173" s="373"/>
      <c r="C173" s="372"/>
      <c r="D173" s="392"/>
      <c r="E173" s="373"/>
      <c r="F173" s="373"/>
      <c r="G173" s="373"/>
      <c r="H173" s="373"/>
      <c r="I173" s="373"/>
      <c r="J173" s="373"/>
      <c r="K173" s="373"/>
      <c r="L173" s="373"/>
      <c r="M173" s="373"/>
      <c r="N173" s="373"/>
      <c r="O173" s="373"/>
      <c r="P173" s="373"/>
      <c r="Q173" s="373"/>
      <c r="R173" s="373"/>
      <c r="S173" s="373"/>
      <c r="T173" s="373"/>
      <c r="U173" s="373"/>
      <c r="V173" s="373"/>
      <c r="W173" s="373"/>
      <c r="X173" s="373"/>
      <c r="Y173" s="373"/>
      <c r="Z173" s="373"/>
      <c r="AA173" s="373"/>
      <c r="AB173" s="373"/>
      <c r="AC173" s="375"/>
    </row>
    <row r="174" spans="1:29" ht="13.5">
      <c r="A174" s="372"/>
      <c r="B174" s="372"/>
      <c r="C174" s="372"/>
      <c r="D174" s="392"/>
      <c r="E174" s="373"/>
      <c r="F174" s="373"/>
      <c r="G174" s="373"/>
      <c r="H174" s="373"/>
      <c r="I174" s="373"/>
      <c r="J174" s="373"/>
      <c r="K174" s="373"/>
      <c r="L174" s="373"/>
      <c r="M174" s="373"/>
      <c r="N174" s="373"/>
      <c r="O174" s="373"/>
      <c r="P174" s="373"/>
      <c r="Q174" s="373"/>
      <c r="R174" s="373"/>
      <c r="S174" s="373"/>
      <c r="T174" s="373"/>
      <c r="U174" s="373"/>
      <c r="V174" s="373"/>
      <c r="W174" s="373"/>
      <c r="X174" s="373"/>
      <c r="Y174" s="373"/>
      <c r="Z174" s="373"/>
      <c r="AA174" s="373"/>
      <c r="AB174" s="373"/>
      <c r="AC174" s="375"/>
    </row>
    <row r="175" spans="1:29" ht="13.5">
      <c r="A175" s="372"/>
      <c r="B175" s="372"/>
      <c r="C175" s="372"/>
      <c r="D175" s="373"/>
      <c r="E175" s="373"/>
      <c r="F175" s="373"/>
      <c r="G175" s="373"/>
      <c r="H175" s="373"/>
      <c r="I175" s="373"/>
      <c r="J175" s="373"/>
      <c r="K175" s="373"/>
      <c r="L175" s="373"/>
      <c r="M175" s="373"/>
      <c r="N175" s="373"/>
      <c r="O175" s="373"/>
      <c r="P175" s="373"/>
      <c r="Q175" s="373"/>
      <c r="R175" s="373"/>
      <c r="S175" s="373"/>
      <c r="T175" s="373"/>
      <c r="U175" s="373"/>
      <c r="V175" s="373"/>
      <c r="W175" s="373"/>
      <c r="X175" s="373"/>
      <c r="Y175" s="373"/>
      <c r="Z175" s="373"/>
      <c r="AA175" s="373"/>
      <c r="AB175" s="373"/>
      <c r="AC175" s="375"/>
    </row>
    <row r="176" spans="1:29" ht="13.5">
      <c r="A176" s="372"/>
      <c r="B176" s="372"/>
      <c r="C176" s="372"/>
      <c r="I176" s="373"/>
      <c r="J176" s="373"/>
      <c r="K176" s="373"/>
      <c r="L176" s="373"/>
      <c r="M176" s="373"/>
      <c r="N176" s="373"/>
      <c r="O176" s="373"/>
      <c r="P176" s="373"/>
      <c r="Q176" s="373"/>
      <c r="R176" s="373"/>
      <c r="S176" s="373"/>
      <c r="T176" s="373"/>
      <c r="U176" s="373"/>
      <c r="V176" s="373"/>
      <c r="W176" s="373"/>
      <c r="X176" s="373"/>
      <c r="Y176" s="373"/>
      <c r="Z176" s="373"/>
      <c r="AA176" s="373"/>
      <c r="AB176" s="373"/>
      <c r="AC176" s="375"/>
    </row>
    <row r="177" spans="1:29" ht="13.5">
      <c r="A177" s="372"/>
      <c r="B177" s="372"/>
      <c r="C177" s="372"/>
      <c r="I177" s="373"/>
      <c r="J177" s="373"/>
      <c r="K177" s="373"/>
      <c r="L177" s="373"/>
      <c r="M177" s="373"/>
      <c r="N177" s="373"/>
      <c r="O177" s="373"/>
      <c r="P177" s="373"/>
      <c r="Q177" s="373"/>
      <c r="R177" s="373"/>
      <c r="S177" s="373"/>
      <c r="T177" s="373"/>
      <c r="U177" s="373"/>
      <c r="V177" s="373"/>
      <c r="W177" s="373"/>
      <c r="X177" s="373"/>
      <c r="Y177" s="373"/>
      <c r="Z177" s="373"/>
      <c r="AA177" s="373"/>
      <c r="AB177" s="373"/>
      <c r="AC177" s="375"/>
    </row>
    <row r="178" spans="1:29" ht="13.5">
      <c r="A178" s="372"/>
      <c r="B178" s="372"/>
      <c r="C178" s="372"/>
      <c r="I178" s="373"/>
      <c r="J178" s="373"/>
      <c r="K178" s="373"/>
      <c r="L178" s="373"/>
      <c r="M178" s="373"/>
      <c r="N178" s="373"/>
      <c r="O178" s="373"/>
      <c r="P178" s="373"/>
      <c r="Q178" s="373"/>
      <c r="R178" s="373"/>
      <c r="S178" s="373"/>
      <c r="T178" s="373"/>
      <c r="U178" s="373"/>
      <c r="V178" s="373"/>
      <c r="W178" s="373"/>
      <c r="X178" s="373"/>
      <c r="Y178" s="373"/>
      <c r="Z178" s="373"/>
      <c r="AA178" s="373"/>
      <c r="AB178" s="373"/>
      <c r="AC178" s="375"/>
    </row>
    <row r="179" spans="1:29" ht="13.5">
      <c r="A179" s="372"/>
      <c r="B179" s="372"/>
      <c r="C179" s="372"/>
      <c r="I179" s="373"/>
      <c r="J179" s="373"/>
      <c r="K179" s="373"/>
      <c r="L179" s="373"/>
      <c r="M179" s="373"/>
      <c r="N179" s="373"/>
      <c r="O179" s="373"/>
      <c r="P179" s="373"/>
      <c r="Q179" s="373"/>
      <c r="R179" s="373"/>
      <c r="S179" s="373"/>
      <c r="T179" s="373"/>
      <c r="U179" s="373"/>
      <c r="V179" s="373"/>
      <c r="W179" s="373"/>
      <c r="X179" s="373"/>
      <c r="Y179" s="373"/>
      <c r="Z179" s="373"/>
      <c r="AA179" s="373"/>
      <c r="AB179" s="373"/>
      <c r="AC179" s="375"/>
    </row>
    <row r="180" spans="1:29" ht="13.5">
      <c r="A180" s="372"/>
      <c r="B180" s="372"/>
      <c r="C180" s="372"/>
      <c r="I180" s="373"/>
      <c r="J180" s="373"/>
      <c r="K180" s="373"/>
      <c r="L180" s="373"/>
      <c r="M180" s="373"/>
      <c r="N180" s="373"/>
      <c r="O180" s="373"/>
      <c r="P180" s="373"/>
      <c r="Q180" s="373"/>
      <c r="R180" s="373"/>
      <c r="S180" s="373"/>
      <c r="T180" s="373"/>
      <c r="U180" s="373"/>
      <c r="V180" s="373"/>
      <c r="W180" s="373"/>
      <c r="X180" s="373"/>
      <c r="Y180" s="373"/>
      <c r="Z180" s="373"/>
      <c r="AA180" s="373"/>
      <c r="AB180" s="373"/>
      <c r="AC180" s="375"/>
    </row>
    <row r="181" spans="1:29" ht="13.5">
      <c r="A181" s="372"/>
      <c r="B181" s="372"/>
      <c r="C181" s="372"/>
      <c r="I181" s="373"/>
      <c r="J181" s="373"/>
      <c r="K181" s="373"/>
      <c r="L181" s="373"/>
      <c r="M181" s="373"/>
      <c r="N181" s="373"/>
      <c r="O181" s="373"/>
      <c r="P181" s="373"/>
      <c r="Q181" s="373"/>
      <c r="R181" s="373"/>
      <c r="S181" s="373"/>
      <c r="T181" s="373"/>
      <c r="U181" s="373"/>
      <c r="V181" s="373"/>
      <c r="W181" s="373"/>
      <c r="X181" s="373"/>
      <c r="Y181" s="373"/>
      <c r="Z181" s="373"/>
      <c r="AA181" s="373"/>
      <c r="AB181" s="373"/>
      <c r="AC181" s="375"/>
    </row>
    <row r="182" spans="1:29" ht="13.5">
      <c r="A182" s="372"/>
      <c r="B182" s="372"/>
      <c r="C182" s="372"/>
      <c r="I182" s="373"/>
      <c r="J182" s="373"/>
      <c r="K182" s="373"/>
      <c r="L182" s="373"/>
      <c r="M182" s="373"/>
      <c r="N182" s="373"/>
      <c r="O182" s="373"/>
      <c r="P182" s="373"/>
      <c r="Q182" s="373"/>
      <c r="R182" s="373"/>
      <c r="S182" s="373"/>
      <c r="T182" s="373"/>
      <c r="U182" s="373"/>
      <c r="V182" s="373"/>
      <c r="W182" s="373"/>
      <c r="X182" s="373"/>
      <c r="Y182" s="373"/>
      <c r="Z182" s="373"/>
      <c r="AA182" s="373"/>
      <c r="AB182" s="373"/>
      <c r="AC182" s="375"/>
    </row>
    <row r="183" spans="1:29" ht="13.5">
      <c r="A183" s="372"/>
      <c r="B183" s="372"/>
      <c r="C183" s="372"/>
      <c r="I183" s="373"/>
      <c r="J183" s="373"/>
      <c r="K183" s="373"/>
      <c r="L183" s="373"/>
      <c r="M183" s="373"/>
      <c r="N183" s="373"/>
      <c r="O183" s="373"/>
      <c r="P183" s="373"/>
      <c r="Q183" s="373"/>
      <c r="R183" s="373"/>
      <c r="S183" s="373"/>
      <c r="T183" s="373"/>
      <c r="U183" s="373"/>
      <c r="V183" s="373"/>
      <c r="W183" s="373"/>
      <c r="X183" s="373"/>
      <c r="Y183" s="373"/>
      <c r="Z183" s="373"/>
      <c r="AA183" s="373"/>
      <c r="AB183" s="373"/>
      <c r="AC183" s="375"/>
    </row>
    <row r="184" spans="1:29" ht="13.5">
      <c r="A184" s="372"/>
      <c r="B184" s="372"/>
      <c r="C184" s="372"/>
      <c r="I184" s="373"/>
      <c r="J184" s="373"/>
      <c r="K184" s="373"/>
      <c r="L184" s="373"/>
      <c r="M184" s="373"/>
      <c r="N184" s="373"/>
      <c r="O184" s="373"/>
      <c r="P184" s="373"/>
      <c r="Q184" s="373"/>
      <c r="R184" s="373"/>
      <c r="S184" s="373"/>
      <c r="T184" s="373"/>
      <c r="U184" s="373"/>
      <c r="V184" s="373"/>
      <c r="W184" s="373"/>
      <c r="X184" s="373"/>
      <c r="Y184" s="373"/>
      <c r="Z184" s="373"/>
      <c r="AA184" s="373"/>
      <c r="AB184" s="373"/>
      <c r="AC184" s="375"/>
    </row>
    <row r="185" spans="1:29" ht="13.5">
      <c r="A185" s="372"/>
      <c r="B185" s="372"/>
      <c r="C185" s="372"/>
      <c r="I185" s="373"/>
      <c r="J185" s="373"/>
      <c r="K185" s="373"/>
      <c r="L185" s="373"/>
      <c r="M185" s="373"/>
      <c r="N185" s="373"/>
      <c r="O185" s="373"/>
      <c r="P185" s="373"/>
      <c r="Q185" s="373"/>
      <c r="R185" s="373"/>
      <c r="S185" s="373"/>
      <c r="T185" s="373"/>
      <c r="U185" s="373"/>
      <c r="V185" s="373"/>
      <c r="W185" s="373"/>
      <c r="X185" s="373"/>
      <c r="Y185" s="373"/>
      <c r="Z185" s="373"/>
      <c r="AA185" s="373"/>
      <c r="AB185" s="373"/>
      <c r="AC185" s="375"/>
    </row>
    <row r="186" spans="1:29" ht="13.5">
      <c r="A186" s="372"/>
      <c r="B186" s="372"/>
      <c r="C186" s="372"/>
      <c r="I186" s="373"/>
      <c r="J186" s="373"/>
      <c r="K186" s="373"/>
      <c r="L186" s="373"/>
      <c r="M186" s="373"/>
      <c r="N186" s="373"/>
      <c r="O186" s="373"/>
      <c r="P186" s="373"/>
      <c r="Q186" s="373"/>
      <c r="R186" s="373"/>
      <c r="S186" s="373"/>
      <c r="T186" s="373"/>
      <c r="U186" s="373"/>
      <c r="V186" s="373"/>
      <c r="W186" s="373"/>
      <c r="X186" s="373"/>
      <c r="Y186" s="373"/>
      <c r="Z186" s="373"/>
      <c r="AA186" s="373"/>
      <c r="AB186" s="373"/>
      <c r="AC186" s="375"/>
    </row>
    <row r="187" spans="1:29" ht="13.5">
      <c r="A187" s="372"/>
      <c r="B187" s="372"/>
      <c r="C187" s="372"/>
      <c r="I187" s="373"/>
      <c r="J187" s="373"/>
      <c r="K187" s="373"/>
      <c r="L187" s="373"/>
      <c r="M187" s="373"/>
      <c r="N187" s="373"/>
      <c r="O187" s="373"/>
      <c r="P187" s="373"/>
      <c r="Q187" s="373"/>
      <c r="R187" s="373"/>
      <c r="S187" s="373"/>
      <c r="T187" s="373"/>
      <c r="U187" s="373"/>
      <c r="V187" s="373"/>
      <c r="W187" s="373"/>
      <c r="X187" s="373"/>
      <c r="Y187" s="373"/>
      <c r="Z187" s="373"/>
      <c r="AA187" s="373"/>
      <c r="AB187" s="373"/>
      <c r="AC187" s="375"/>
    </row>
    <row r="188" spans="1:29" ht="13.5">
      <c r="A188" s="372"/>
      <c r="B188" s="372"/>
      <c r="C188" s="372"/>
      <c r="I188" s="373"/>
      <c r="J188" s="373"/>
      <c r="K188" s="373"/>
      <c r="L188" s="373"/>
      <c r="M188" s="373"/>
      <c r="N188" s="373"/>
      <c r="O188" s="373"/>
      <c r="P188" s="373"/>
      <c r="Q188" s="373"/>
      <c r="R188" s="373"/>
      <c r="S188" s="373"/>
      <c r="T188" s="373"/>
      <c r="U188" s="373"/>
      <c r="V188" s="373"/>
      <c r="W188" s="373"/>
      <c r="X188" s="373"/>
      <c r="Y188" s="373"/>
      <c r="Z188" s="373"/>
      <c r="AA188" s="373"/>
      <c r="AB188" s="373"/>
      <c r="AC188" s="375"/>
    </row>
    <row r="189" spans="1:29" ht="15.75">
      <c r="A189" s="449"/>
      <c r="B189" s="372"/>
      <c r="C189" s="372"/>
      <c r="I189" s="373"/>
      <c r="J189" s="373"/>
      <c r="K189" s="373"/>
      <c r="L189" s="373"/>
      <c r="M189" s="373"/>
      <c r="N189" s="373"/>
      <c r="O189" s="373"/>
      <c r="P189" s="373"/>
      <c r="Q189" s="373"/>
      <c r="R189" s="373"/>
      <c r="S189" s="373"/>
      <c r="T189" s="373"/>
      <c r="U189" s="373"/>
      <c r="V189" s="373"/>
      <c r="W189" s="373"/>
      <c r="X189" s="373"/>
      <c r="Y189" s="373"/>
      <c r="Z189" s="373"/>
      <c r="AA189" s="373"/>
      <c r="AB189" s="373"/>
      <c r="AC189" s="375"/>
    </row>
    <row r="190" spans="1:29" ht="15.75">
      <c r="A190" s="449"/>
      <c r="B190" s="372"/>
      <c r="C190" s="372"/>
      <c r="I190" s="373"/>
      <c r="J190" s="373"/>
      <c r="K190" s="373"/>
      <c r="L190" s="373"/>
      <c r="M190" s="373"/>
      <c r="N190" s="373"/>
      <c r="O190" s="373"/>
      <c r="P190" s="373"/>
      <c r="Q190" s="373"/>
      <c r="R190" s="373"/>
      <c r="S190" s="373"/>
      <c r="T190" s="373"/>
      <c r="U190" s="373"/>
      <c r="V190" s="373"/>
      <c r="W190" s="373"/>
      <c r="X190" s="373"/>
      <c r="Y190" s="373"/>
      <c r="Z190" s="373"/>
      <c r="AA190" s="373"/>
      <c r="AB190" s="373"/>
      <c r="AC190" s="375"/>
    </row>
    <row r="191" spans="1:29" ht="15.75">
      <c r="A191" s="449"/>
      <c r="B191" s="449"/>
      <c r="C191" s="449"/>
      <c r="I191" s="364"/>
      <c r="J191" s="364"/>
      <c r="K191" s="364"/>
      <c r="L191" s="364"/>
      <c r="M191" s="364"/>
      <c r="N191" s="364"/>
      <c r="O191" s="364"/>
      <c r="P191" s="364"/>
      <c r="Q191" s="364"/>
      <c r="R191" s="364"/>
      <c r="S191" s="364"/>
      <c r="T191" s="364"/>
      <c r="U191" s="364"/>
      <c r="V191" s="364"/>
      <c r="W191" s="364"/>
      <c r="X191" s="364"/>
      <c r="Y191" s="364"/>
      <c r="Z191" s="364"/>
      <c r="AA191" s="364"/>
      <c r="AB191" s="364"/>
    </row>
    <row r="192" spans="1:29" ht="15.75">
      <c r="A192" s="449"/>
      <c r="B192" s="449"/>
      <c r="C192" s="449"/>
      <c r="I192" s="364"/>
      <c r="J192" s="364"/>
      <c r="K192" s="364"/>
      <c r="L192" s="364"/>
      <c r="M192" s="364"/>
      <c r="N192" s="364"/>
      <c r="O192" s="364"/>
      <c r="P192" s="364"/>
      <c r="Q192" s="364"/>
      <c r="R192" s="364"/>
      <c r="S192" s="364"/>
      <c r="T192" s="364"/>
      <c r="U192" s="364"/>
      <c r="V192" s="364"/>
      <c r="W192" s="364"/>
      <c r="X192" s="364"/>
      <c r="Y192" s="364"/>
      <c r="Z192" s="364"/>
      <c r="AA192" s="364"/>
      <c r="AB192" s="364"/>
    </row>
    <row r="193" spans="1:28" ht="15.75">
      <c r="A193" s="449"/>
      <c r="B193" s="449"/>
      <c r="C193" s="449"/>
      <c r="I193" s="364"/>
      <c r="J193" s="364"/>
      <c r="K193" s="364"/>
      <c r="L193" s="364"/>
      <c r="M193" s="364"/>
      <c r="N193" s="364"/>
      <c r="O193" s="364"/>
      <c r="P193" s="364"/>
      <c r="Q193" s="364"/>
      <c r="R193" s="364"/>
      <c r="S193" s="364"/>
      <c r="T193" s="364"/>
      <c r="U193" s="364"/>
      <c r="V193" s="364"/>
      <c r="W193" s="364"/>
      <c r="X193" s="364"/>
      <c r="Y193" s="364"/>
      <c r="Z193" s="364"/>
      <c r="AA193" s="364"/>
      <c r="AB193" s="364"/>
    </row>
    <row r="194" spans="1:28" ht="15.75">
      <c r="A194" s="449"/>
      <c r="B194" s="449"/>
      <c r="C194" s="449"/>
      <c r="I194" s="364"/>
      <c r="J194" s="364"/>
      <c r="K194" s="364"/>
      <c r="L194" s="364"/>
      <c r="M194" s="364"/>
      <c r="N194" s="364"/>
      <c r="O194" s="364"/>
      <c r="P194" s="364"/>
      <c r="Q194" s="364"/>
      <c r="R194" s="364"/>
      <c r="S194" s="364"/>
      <c r="T194" s="364"/>
      <c r="U194" s="364"/>
      <c r="V194" s="364"/>
      <c r="W194" s="364"/>
      <c r="X194" s="364"/>
      <c r="Y194" s="364"/>
      <c r="Z194" s="364"/>
      <c r="AA194" s="364"/>
      <c r="AB194" s="364"/>
    </row>
    <row r="195" spans="1:28" ht="15.75">
      <c r="A195" s="449"/>
      <c r="B195" s="449"/>
      <c r="C195" s="449"/>
      <c r="I195" s="364"/>
      <c r="J195" s="364"/>
      <c r="K195" s="364"/>
      <c r="L195" s="364"/>
      <c r="M195" s="364"/>
      <c r="N195" s="364"/>
      <c r="O195" s="364"/>
      <c r="P195" s="364"/>
      <c r="Q195" s="364"/>
      <c r="R195" s="364"/>
      <c r="S195" s="364"/>
      <c r="T195" s="364"/>
      <c r="U195" s="364"/>
      <c r="V195" s="364"/>
      <c r="W195" s="364"/>
      <c r="X195" s="364"/>
      <c r="Y195" s="364"/>
      <c r="Z195" s="364"/>
      <c r="AA195" s="364"/>
      <c r="AB195" s="364"/>
    </row>
    <row r="196" spans="1:28" ht="15.75">
      <c r="A196" s="449"/>
      <c r="B196" s="449"/>
      <c r="C196" s="449"/>
      <c r="I196" s="364"/>
      <c r="J196" s="364"/>
      <c r="K196" s="364"/>
      <c r="L196" s="364"/>
      <c r="M196" s="364"/>
      <c r="N196" s="364"/>
      <c r="O196" s="364"/>
      <c r="P196" s="364"/>
      <c r="Q196" s="364"/>
      <c r="R196" s="364"/>
      <c r="S196" s="364"/>
      <c r="T196" s="364"/>
      <c r="U196" s="364"/>
      <c r="V196" s="364"/>
      <c r="W196" s="364"/>
      <c r="X196" s="364"/>
      <c r="Y196" s="364"/>
      <c r="Z196" s="364"/>
      <c r="AA196" s="364"/>
      <c r="AB196" s="364"/>
    </row>
    <row r="197" spans="1:28" ht="15.75">
      <c r="A197" s="449"/>
      <c r="B197" s="449"/>
      <c r="C197" s="449"/>
      <c r="I197" s="364"/>
      <c r="J197" s="364"/>
      <c r="K197" s="364"/>
      <c r="L197" s="364"/>
      <c r="M197" s="364"/>
      <c r="N197" s="364"/>
      <c r="O197" s="364"/>
      <c r="P197" s="364"/>
      <c r="Q197" s="364"/>
      <c r="R197" s="364"/>
      <c r="S197" s="364"/>
      <c r="T197" s="364"/>
      <c r="U197" s="364"/>
      <c r="V197" s="364"/>
      <c r="W197" s="364"/>
      <c r="X197" s="364"/>
      <c r="Y197" s="364"/>
      <c r="Z197" s="364"/>
      <c r="AA197" s="364"/>
      <c r="AB197" s="364"/>
    </row>
    <row r="198" spans="1:28" ht="15.75">
      <c r="A198" s="449"/>
      <c r="B198" s="449"/>
      <c r="C198" s="449"/>
      <c r="I198" s="364"/>
      <c r="J198" s="364"/>
      <c r="K198" s="364"/>
      <c r="L198" s="364"/>
      <c r="M198" s="364"/>
      <c r="N198" s="364"/>
      <c r="O198" s="364"/>
      <c r="P198" s="364"/>
      <c r="Q198" s="364"/>
      <c r="R198" s="364"/>
      <c r="S198" s="364"/>
      <c r="T198" s="364"/>
      <c r="U198" s="364"/>
      <c r="V198" s="364"/>
      <c r="W198" s="364"/>
      <c r="X198" s="364"/>
      <c r="Y198" s="364"/>
      <c r="Z198" s="364"/>
      <c r="AA198" s="364"/>
      <c r="AB198" s="364"/>
    </row>
    <row r="199" spans="1:28" ht="15.75">
      <c r="A199" s="449"/>
      <c r="B199" s="449"/>
      <c r="C199" s="449"/>
      <c r="I199" s="364"/>
      <c r="J199" s="364"/>
      <c r="K199" s="364"/>
      <c r="L199" s="364"/>
      <c r="M199" s="364"/>
      <c r="N199" s="364"/>
      <c r="O199" s="364"/>
      <c r="P199" s="364"/>
      <c r="Q199" s="364"/>
      <c r="R199" s="364"/>
      <c r="S199" s="364"/>
      <c r="T199" s="364"/>
      <c r="U199" s="364"/>
      <c r="V199" s="364"/>
      <c r="W199" s="364"/>
      <c r="X199" s="364"/>
      <c r="Y199" s="364"/>
      <c r="Z199" s="364"/>
      <c r="AA199" s="364"/>
      <c r="AB199" s="364"/>
    </row>
    <row r="200" spans="1:28" ht="15.75">
      <c r="A200" s="449"/>
      <c r="B200" s="449"/>
      <c r="C200" s="449"/>
      <c r="I200" s="364"/>
      <c r="J200" s="364"/>
      <c r="K200" s="364"/>
      <c r="L200" s="364"/>
      <c r="M200" s="364"/>
      <c r="N200" s="364"/>
      <c r="O200" s="364"/>
      <c r="P200" s="364"/>
      <c r="Q200" s="364"/>
      <c r="R200" s="364"/>
      <c r="S200" s="364"/>
      <c r="T200" s="364"/>
      <c r="U200" s="364"/>
      <c r="V200" s="364"/>
      <c r="W200" s="364"/>
      <c r="X200" s="364"/>
      <c r="Y200" s="364"/>
      <c r="Z200" s="364"/>
      <c r="AA200" s="364"/>
      <c r="AB200" s="364"/>
    </row>
    <row r="201" spans="1:28" ht="15.75">
      <c r="A201" s="449"/>
      <c r="B201" s="449"/>
      <c r="C201" s="449"/>
      <c r="I201" s="364"/>
      <c r="J201" s="364"/>
      <c r="K201" s="364"/>
      <c r="L201" s="364"/>
      <c r="M201" s="364"/>
      <c r="N201" s="364"/>
      <c r="O201" s="364"/>
      <c r="P201" s="364"/>
      <c r="Q201" s="364"/>
      <c r="R201" s="364"/>
      <c r="S201" s="364"/>
      <c r="T201" s="364"/>
      <c r="U201" s="364"/>
      <c r="V201" s="364"/>
      <c r="W201" s="364"/>
      <c r="X201" s="364"/>
      <c r="Y201" s="364"/>
      <c r="Z201" s="364"/>
      <c r="AA201" s="364"/>
      <c r="AB201" s="364"/>
    </row>
    <row r="202" spans="1:28" ht="15.75">
      <c r="A202" s="449"/>
      <c r="B202" s="449"/>
      <c r="C202" s="449"/>
      <c r="I202" s="364"/>
      <c r="J202" s="364"/>
      <c r="K202" s="364"/>
      <c r="L202" s="364"/>
      <c r="M202" s="364"/>
      <c r="N202" s="364"/>
      <c r="O202" s="364"/>
      <c r="P202" s="364"/>
      <c r="Q202" s="364"/>
      <c r="R202" s="364"/>
      <c r="S202" s="364"/>
      <c r="T202" s="364"/>
      <c r="U202" s="364"/>
      <c r="V202" s="364"/>
      <c r="W202" s="364"/>
      <c r="X202" s="364"/>
      <c r="Y202" s="364"/>
      <c r="Z202" s="364"/>
      <c r="AA202" s="364"/>
      <c r="AB202" s="364"/>
    </row>
    <row r="203" spans="1:28" ht="15.75">
      <c r="A203" s="449"/>
      <c r="B203" s="449"/>
      <c r="C203" s="449"/>
      <c r="D203" s="364"/>
      <c r="E203" s="364"/>
      <c r="F203" s="364"/>
      <c r="G203" s="364"/>
      <c r="H203" s="364"/>
      <c r="I203" s="364"/>
      <c r="J203" s="364"/>
      <c r="K203" s="364"/>
      <c r="L203" s="364"/>
      <c r="M203" s="364"/>
      <c r="N203" s="364"/>
      <c r="O203" s="364"/>
      <c r="P203" s="364"/>
      <c r="Q203" s="364"/>
      <c r="R203" s="364"/>
      <c r="S203" s="364"/>
      <c r="T203" s="364"/>
      <c r="U203" s="364"/>
      <c r="V203" s="364"/>
      <c r="W203" s="364"/>
      <c r="X203" s="364"/>
      <c r="Y203" s="364"/>
      <c r="Z203" s="364"/>
      <c r="AA203" s="364"/>
      <c r="AB203" s="364"/>
    </row>
    <row r="204" spans="1:28" ht="15.75">
      <c r="A204" s="449"/>
      <c r="B204" s="449"/>
      <c r="C204" s="449"/>
      <c r="D204" s="364"/>
      <c r="E204" s="364"/>
      <c r="F204" s="364"/>
      <c r="G204" s="364"/>
      <c r="H204" s="364"/>
      <c r="I204" s="364"/>
      <c r="J204" s="364"/>
      <c r="K204" s="364"/>
      <c r="L204" s="364"/>
      <c r="M204" s="364"/>
      <c r="N204" s="364"/>
      <c r="O204" s="364"/>
      <c r="P204" s="364"/>
      <c r="Q204" s="364"/>
      <c r="R204" s="364"/>
      <c r="S204" s="364"/>
      <c r="T204" s="364"/>
      <c r="U204" s="364"/>
      <c r="V204" s="364"/>
      <c r="W204" s="364"/>
      <c r="X204" s="364"/>
      <c r="Y204" s="364"/>
      <c r="Z204" s="364"/>
      <c r="AA204" s="364"/>
      <c r="AB204" s="364"/>
    </row>
    <row r="205" spans="1:28" ht="15.75">
      <c r="A205" s="449"/>
      <c r="B205" s="449"/>
      <c r="C205" s="449"/>
      <c r="D205" s="364"/>
      <c r="E205" s="364"/>
      <c r="F205" s="364"/>
      <c r="G205" s="364"/>
      <c r="H205" s="364"/>
      <c r="I205" s="364"/>
      <c r="J205" s="364"/>
      <c r="K205" s="364"/>
      <c r="L205" s="364"/>
      <c r="M205" s="364"/>
      <c r="N205" s="364"/>
      <c r="O205" s="364"/>
      <c r="P205" s="364"/>
      <c r="Q205" s="364"/>
      <c r="R205" s="364"/>
      <c r="S205" s="364"/>
      <c r="T205" s="364"/>
      <c r="U205" s="364"/>
      <c r="V205" s="364"/>
      <c r="W205" s="364"/>
      <c r="X205" s="364"/>
      <c r="Y205" s="364"/>
      <c r="Z205" s="364"/>
      <c r="AA205" s="364"/>
      <c r="AB205" s="364"/>
    </row>
    <row r="206" spans="1:28" ht="15.75">
      <c r="A206" s="449"/>
      <c r="B206" s="449"/>
      <c r="C206" s="449"/>
      <c r="D206" s="364"/>
      <c r="E206" s="364"/>
      <c r="F206" s="364"/>
      <c r="G206" s="364"/>
      <c r="H206" s="364"/>
      <c r="I206" s="364"/>
      <c r="J206" s="364"/>
      <c r="K206" s="364"/>
      <c r="L206" s="364"/>
      <c r="M206" s="364"/>
      <c r="N206" s="364"/>
      <c r="O206" s="364"/>
      <c r="P206" s="364"/>
      <c r="Q206" s="364"/>
      <c r="R206" s="364"/>
      <c r="S206" s="364"/>
      <c r="T206" s="364"/>
      <c r="U206" s="364"/>
      <c r="V206" s="364"/>
      <c r="W206" s="364"/>
      <c r="X206" s="364"/>
      <c r="Y206" s="364"/>
      <c r="Z206" s="364"/>
      <c r="AA206" s="364"/>
      <c r="AB206" s="364"/>
    </row>
    <row r="207" spans="1:28" ht="15.75">
      <c r="A207" s="449"/>
      <c r="B207" s="449"/>
      <c r="C207" s="449"/>
      <c r="D207" s="364"/>
      <c r="E207" s="364"/>
      <c r="F207" s="364"/>
      <c r="G207" s="364"/>
      <c r="H207" s="364"/>
      <c r="I207" s="364"/>
      <c r="J207" s="364"/>
      <c r="K207" s="364"/>
      <c r="L207" s="364"/>
      <c r="M207" s="364"/>
      <c r="N207" s="364"/>
      <c r="O207" s="364"/>
      <c r="P207" s="364"/>
      <c r="Q207" s="364"/>
      <c r="R207" s="364"/>
      <c r="S207" s="364"/>
      <c r="T207" s="364"/>
      <c r="U207" s="364"/>
      <c r="V207" s="364"/>
      <c r="W207" s="364"/>
      <c r="X207" s="364"/>
      <c r="Y207" s="364"/>
      <c r="Z207" s="364"/>
      <c r="AA207" s="364"/>
      <c r="AB207" s="364"/>
    </row>
    <row r="208" spans="1:28" ht="15.75">
      <c r="A208" s="449"/>
      <c r="B208" s="449"/>
      <c r="C208" s="449"/>
      <c r="D208" s="364"/>
      <c r="E208" s="364"/>
      <c r="F208" s="364"/>
      <c r="G208" s="364"/>
      <c r="H208" s="364"/>
      <c r="I208" s="364"/>
      <c r="J208" s="364"/>
      <c r="K208" s="364"/>
      <c r="L208" s="364"/>
      <c r="M208" s="364"/>
      <c r="N208" s="364"/>
      <c r="O208" s="364"/>
      <c r="P208" s="364"/>
      <c r="Q208" s="364"/>
      <c r="R208" s="364"/>
      <c r="S208" s="364"/>
      <c r="T208" s="364"/>
      <c r="U208" s="364"/>
      <c r="V208" s="364"/>
      <c r="W208" s="364"/>
      <c r="X208" s="364"/>
      <c r="Y208" s="364"/>
      <c r="Z208" s="364"/>
      <c r="AA208" s="364"/>
      <c r="AB208" s="364"/>
    </row>
    <row r="209" spans="1:28" ht="15.75">
      <c r="A209" s="449"/>
      <c r="B209" s="449"/>
      <c r="C209" s="449"/>
      <c r="D209" s="364"/>
      <c r="E209" s="364"/>
      <c r="F209" s="364"/>
      <c r="G209" s="364"/>
      <c r="H209" s="364"/>
      <c r="I209" s="364"/>
      <c r="J209" s="364"/>
      <c r="K209" s="364"/>
      <c r="L209" s="364"/>
      <c r="M209" s="364"/>
      <c r="N209" s="364"/>
      <c r="O209" s="364"/>
      <c r="P209" s="364"/>
      <c r="Q209" s="364"/>
      <c r="R209" s="364"/>
      <c r="S209" s="364"/>
      <c r="T209" s="364"/>
      <c r="U209" s="364"/>
      <c r="V209" s="364"/>
      <c r="W209" s="364"/>
      <c r="X209" s="364"/>
      <c r="Y209" s="364"/>
      <c r="Z209" s="364"/>
      <c r="AA209" s="364"/>
      <c r="AB209" s="364"/>
    </row>
    <row r="210" spans="1:28" ht="15.75">
      <c r="A210" s="449"/>
      <c r="B210" s="449"/>
      <c r="C210" s="449"/>
      <c r="D210" s="364"/>
      <c r="E210" s="364"/>
      <c r="F210" s="364"/>
      <c r="G210" s="364"/>
      <c r="H210" s="364"/>
      <c r="I210" s="364"/>
      <c r="J210" s="364"/>
      <c r="K210" s="364"/>
      <c r="L210" s="364"/>
      <c r="M210" s="364"/>
      <c r="N210" s="364"/>
      <c r="O210" s="364"/>
      <c r="P210" s="364"/>
      <c r="Q210" s="364"/>
      <c r="R210" s="364"/>
      <c r="S210" s="364"/>
      <c r="T210" s="364"/>
      <c r="U210" s="364"/>
      <c r="V210" s="364"/>
      <c r="W210" s="364"/>
      <c r="X210" s="364"/>
      <c r="Y210" s="364"/>
      <c r="Z210" s="364"/>
      <c r="AA210" s="364"/>
      <c r="AB210" s="364"/>
    </row>
    <row r="211" spans="1:28" ht="15.75">
      <c r="A211" s="449"/>
      <c r="B211" s="449"/>
      <c r="C211" s="449"/>
      <c r="D211" s="364"/>
      <c r="E211" s="364"/>
      <c r="F211" s="364"/>
      <c r="G211" s="364"/>
      <c r="H211" s="364"/>
      <c r="I211" s="364"/>
      <c r="J211" s="364"/>
      <c r="K211" s="364"/>
      <c r="L211" s="364"/>
      <c r="M211" s="364"/>
      <c r="N211" s="364"/>
      <c r="O211" s="364"/>
      <c r="P211" s="364"/>
      <c r="Q211" s="364"/>
      <c r="R211" s="364"/>
      <c r="S211" s="364"/>
      <c r="T211" s="364"/>
      <c r="U211" s="364"/>
      <c r="V211" s="364"/>
      <c r="W211" s="364"/>
      <c r="X211" s="364"/>
      <c r="Y211" s="364"/>
      <c r="Z211" s="364"/>
      <c r="AA211" s="364"/>
      <c r="AB211" s="364"/>
    </row>
    <row r="212" spans="1:28" ht="15.75">
      <c r="A212" s="449"/>
      <c r="B212" s="449"/>
      <c r="C212" s="449"/>
      <c r="D212" s="364"/>
      <c r="E212" s="364"/>
      <c r="F212" s="364"/>
      <c r="G212" s="364"/>
      <c r="H212" s="364"/>
      <c r="I212" s="364"/>
      <c r="J212" s="364"/>
      <c r="K212" s="364"/>
      <c r="L212" s="364"/>
      <c r="M212" s="364"/>
      <c r="N212" s="364"/>
      <c r="O212" s="364"/>
      <c r="P212" s="364"/>
      <c r="Q212" s="364"/>
      <c r="R212" s="364"/>
      <c r="S212" s="364"/>
      <c r="T212" s="364"/>
      <c r="U212" s="364"/>
      <c r="V212" s="364"/>
      <c r="W212" s="364"/>
      <c r="X212" s="364"/>
      <c r="Y212" s="364"/>
      <c r="Z212" s="364"/>
      <c r="AA212" s="364"/>
      <c r="AB212" s="364"/>
    </row>
    <row r="213" spans="1:28" ht="15.75">
      <c r="A213" s="449"/>
      <c r="B213" s="449"/>
      <c r="C213" s="449"/>
      <c r="D213" s="364"/>
      <c r="E213" s="364"/>
      <c r="F213" s="364"/>
      <c r="G213" s="364"/>
      <c r="H213" s="364"/>
      <c r="I213" s="364"/>
      <c r="J213" s="364"/>
      <c r="K213" s="364"/>
      <c r="L213" s="364"/>
      <c r="M213" s="364"/>
      <c r="N213" s="364"/>
      <c r="O213" s="364"/>
      <c r="P213" s="364"/>
      <c r="Q213" s="364"/>
      <c r="R213" s="364"/>
      <c r="S213" s="364"/>
      <c r="T213" s="364"/>
      <c r="U213" s="364"/>
      <c r="V213" s="364"/>
      <c r="W213" s="364"/>
      <c r="X213" s="364"/>
      <c r="Y213" s="364"/>
      <c r="Z213" s="364"/>
      <c r="AA213" s="364"/>
      <c r="AB213" s="364"/>
    </row>
    <row r="214" spans="1:28" ht="15.75">
      <c r="A214" s="449"/>
      <c r="B214" s="449"/>
      <c r="C214" s="449"/>
      <c r="D214" s="364"/>
      <c r="E214" s="364"/>
      <c r="F214" s="364"/>
      <c r="G214" s="364"/>
      <c r="H214" s="364"/>
      <c r="I214" s="364"/>
      <c r="J214" s="364"/>
      <c r="K214" s="364"/>
      <c r="L214" s="364"/>
      <c r="M214" s="364"/>
      <c r="N214" s="364"/>
      <c r="O214" s="364"/>
      <c r="P214" s="364"/>
      <c r="Q214" s="364"/>
      <c r="R214" s="364"/>
      <c r="S214" s="364"/>
      <c r="T214" s="364"/>
      <c r="U214" s="364"/>
      <c r="V214" s="364"/>
      <c r="W214" s="364"/>
      <c r="X214" s="364"/>
      <c r="Y214" s="364"/>
      <c r="Z214" s="364"/>
      <c r="AA214" s="364"/>
      <c r="AB214" s="364"/>
    </row>
    <row r="215" spans="1:28" ht="15.75">
      <c r="A215" s="449"/>
      <c r="B215" s="449"/>
      <c r="C215" s="449"/>
      <c r="D215" s="364"/>
      <c r="E215" s="364"/>
      <c r="F215" s="364"/>
      <c r="G215" s="364"/>
      <c r="H215" s="364"/>
      <c r="I215" s="364"/>
      <c r="J215" s="364"/>
      <c r="K215" s="364"/>
      <c r="L215" s="364"/>
      <c r="M215" s="364"/>
      <c r="N215" s="364"/>
      <c r="O215" s="364"/>
      <c r="P215" s="364"/>
      <c r="Q215" s="364"/>
      <c r="R215" s="364"/>
      <c r="S215" s="364"/>
      <c r="T215" s="364"/>
      <c r="U215" s="364"/>
      <c r="V215" s="364"/>
      <c r="W215" s="364"/>
      <c r="X215" s="364"/>
      <c r="Y215" s="364"/>
      <c r="Z215" s="364"/>
      <c r="AA215" s="364"/>
      <c r="AB215" s="364"/>
    </row>
    <row r="216" spans="1:28" ht="15.75">
      <c r="A216" s="449"/>
      <c r="B216" s="449"/>
      <c r="C216" s="449"/>
      <c r="D216" s="364"/>
      <c r="E216" s="364"/>
      <c r="F216" s="364"/>
      <c r="G216" s="364"/>
      <c r="H216" s="364"/>
      <c r="I216" s="364"/>
      <c r="J216" s="364"/>
      <c r="K216" s="364"/>
      <c r="L216" s="364"/>
      <c r="M216" s="364"/>
      <c r="N216" s="364"/>
      <c r="O216" s="364"/>
      <c r="P216" s="364"/>
      <c r="Q216" s="364"/>
      <c r="R216" s="364"/>
      <c r="S216" s="364"/>
      <c r="T216" s="364"/>
      <c r="U216" s="364"/>
      <c r="V216" s="364"/>
      <c r="W216" s="364"/>
      <c r="X216" s="364"/>
      <c r="Y216" s="364"/>
      <c r="Z216" s="364"/>
      <c r="AA216" s="364"/>
      <c r="AB216" s="364"/>
    </row>
    <row r="217" spans="1:28" ht="15.75">
      <c r="A217" s="449"/>
      <c r="B217" s="449"/>
      <c r="C217" s="449"/>
      <c r="D217" s="364"/>
      <c r="E217" s="364"/>
      <c r="F217" s="364"/>
      <c r="G217" s="364"/>
      <c r="H217" s="364"/>
      <c r="I217" s="364"/>
      <c r="J217" s="364"/>
      <c r="K217" s="364"/>
      <c r="L217" s="364"/>
      <c r="M217" s="364"/>
      <c r="N217" s="364"/>
      <c r="O217" s="364"/>
      <c r="P217" s="364"/>
      <c r="Q217" s="364"/>
      <c r="R217" s="364"/>
      <c r="S217" s="364"/>
      <c r="T217" s="364"/>
      <c r="U217" s="364"/>
      <c r="V217" s="364"/>
      <c r="W217" s="364"/>
      <c r="X217" s="364"/>
      <c r="Y217" s="364"/>
      <c r="Z217" s="364"/>
      <c r="AA217" s="364"/>
      <c r="AB217" s="364"/>
    </row>
    <row r="218" spans="1:28" ht="15.75">
      <c r="A218" s="449"/>
      <c r="B218" s="449"/>
      <c r="C218" s="449"/>
      <c r="D218" s="364"/>
      <c r="E218" s="364"/>
      <c r="F218" s="364"/>
      <c r="G218" s="364"/>
      <c r="H218" s="364"/>
      <c r="I218" s="364"/>
      <c r="J218" s="364"/>
      <c r="K218" s="364"/>
      <c r="L218" s="364"/>
      <c r="M218" s="364"/>
      <c r="N218" s="364"/>
      <c r="O218" s="364"/>
      <c r="P218" s="364"/>
      <c r="Q218" s="364"/>
      <c r="R218" s="364"/>
      <c r="S218" s="364"/>
      <c r="T218" s="364"/>
      <c r="U218" s="364"/>
      <c r="V218" s="364"/>
      <c r="W218" s="364"/>
      <c r="X218" s="364"/>
      <c r="Y218" s="364"/>
      <c r="Z218" s="364"/>
      <c r="AA218" s="364"/>
      <c r="AB218" s="364"/>
    </row>
    <row r="219" spans="1:28" ht="15.75">
      <c r="A219" s="449"/>
      <c r="B219" s="449"/>
      <c r="C219" s="449"/>
      <c r="D219" s="364"/>
      <c r="E219" s="364"/>
      <c r="F219" s="364"/>
      <c r="G219" s="364"/>
      <c r="H219" s="364"/>
      <c r="I219" s="364"/>
      <c r="J219" s="364"/>
      <c r="K219" s="364"/>
      <c r="L219" s="364"/>
      <c r="M219" s="364"/>
      <c r="N219" s="364"/>
      <c r="O219" s="364"/>
      <c r="P219" s="364"/>
      <c r="Q219" s="364"/>
      <c r="R219" s="364"/>
      <c r="S219" s="364"/>
      <c r="T219" s="364"/>
      <c r="U219" s="364"/>
      <c r="V219" s="364"/>
      <c r="W219" s="364"/>
      <c r="X219" s="364"/>
      <c r="Y219" s="364"/>
      <c r="Z219" s="364"/>
      <c r="AA219" s="364"/>
      <c r="AB219" s="364"/>
    </row>
    <row r="220" spans="1:28" ht="15.75">
      <c r="A220" s="449"/>
      <c r="B220" s="449"/>
      <c r="C220" s="449"/>
      <c r="D220" s="364"/>
      <c r="E220" s="364"/>
      <c r="F220" s="364"/>
      <c r="G220" s="364"/>
      <c r="H220" s="364"/>
      <c r="I220" s="364"/>
      <c r="J220" s="364"/>
      <c r="K220" s="364"/>
      <c r="L220" s="364"/>
      <c r="M220" s="364"/>
      <c r="N220" s="364"/>
      <c r="O220" s="364"/>
      <c r="P220" s="364"/>
      <c r="Q220" s="364"/>
      <c r="R220" s="364"/>
      <c r="S220" s="364"/>
      <c r="T220" s="364"/>
      <c r="U220" s="364"/>
      <c r="V220" s="364"/>
      <c r="W220" s="364"/>
      <c r="X220" s="364"/>
      <c r="Y220" s="364"/>
      <c r="Z220" s="364"/>
      <c r="AA220" s="364"/>
      <c r="AB220" s="364"/>
    </row>
    <row r="221" spans="1:28" ht="15.75">
      <c r="A221" s="449"/>
      <c r="B221" s="449"/>
      <c r="C221" s="449"/>
      <c r="D221" s="364"/>
      <c r="E221" s="364"/>
      <c r="F221" s="364"/>
      <c r="G221" s="364"/>
      <c r="H221" s="364"/>
      <c r="I221" s="364"/>
      <c r="J221" s="364"/>
      <c r="K221" s="364"/>
      <c r="L221" s="364"/>
      <c r="M221" s="364"/>
      <c r="N221" s="364"/>
      <c r="O221" s="364"/>
      <c r="P221" s="364"/>
      <c r="Q221" s="364"/>
      <c r="R221" s="364"/>
      <c r="S221" s="364"/>
      <c r="T221" s="364"/>
      <c r="U221" s="364"/>
      <c r="V221" s="364"/>
      <c r="W221" s="364"/>
      <c r="X221" s="364"/>
      <c r="Y221" s="364"/>
      <c r="Z221" s="364"/>
      <c r="AA221" s="364"/>
      <c r="AB221" s="364"/>
    </row>
    <row r="222" spans="1:28" ht="15.75">
      <c r="A222" s="449"/>
      <c r="B222" s="449"/>
      <c r="C222" s="449"/>
      <c r="D222" s="364"/>
      <c r="E222" s="364"/>
      <c r="F222" s="364"/>
      <c r="G222" s="364"/>
      <c r="H222" s="364"/>
      <c r="I222" s="364"/>
      <c r="J222" s="364"/>
      <c r="K222" s="364"/>
      <c r="L222" s="364"/>
      <c r="M222" s="364"/>
      <c r="N222" s="364"/>
      <c r="O222" s="364"/>
      <c r="P222" s="364"/>
      <c r="Q222" s="364"/>
      <c r="R222" s="364"/>
      <c r="S222" s="364"/>
      <c r="T222" s="364"/>
      <c r="U222" s="364"/>
      <c r="V222" s="364"/>
      <c r="W222" s="364"/>
      <c r="X222" s="364"/>
      <c r="Y222" s="364"/>
      <c r="Z222" s="364"/>
      <c r="AA222" s="364"/>
      <c r="AB222" s="364"/>
    </row>
    <row r="223" spans="1:28" ht="15.75">
      <c r="A223" s="449"/>
      <c r="B223" s="449"/>
      <c r="C223" s="449"/>
      <c r="D223" s="364"/>
      <c r="E223" s="364"/>
      <c r="F223" s="364"/>
      <c r="G223" s="364"/>
      <c r="H223" s="364"/>
      <c r="I223" s="364"/>
      <c r="J223" s="364"/>
      <c r="K223" s="364"/>
      <c r="L223" s="364"/>
      <c r="M223" s="364"/>
      <c r="N223" s="364"/>
      <c r="O223" s="364"/>
      <c r="P223" s="364"/>
      <c r="Q223" s="364"/>
      <c r="R223" s="364"/>
      <c r="S223" s="364"/>
      <c r="T223" s="364"/>
      <c r="U223" s="364"/>
      <c r="V223" s="364"/>
      <c r="W223" s="364"/>
      <c r="X223" s="364"/>
      <c r="Y223" s="364"/>
      <c r="Z223" s="364"/>
      <c r="AA223" s="364"/>
      <c r="AB223" s="364"/>
    </row>
    <row r="224" spans="1:28" ht="15.75">
      <c r="A224" s="449"/>
      <c r="B224" s="449"/>
      <c r="C224" s="449"/>
      <c r="D224" s="364"/>
      <c r="E224" s="364"/>
      <c r="F224" s="364"/>
      <c r="G224" s="364"/>
      <c r="H224" s="364"/>
      <c r="I224" s="364"/>
      <c r="J224" s="364"/>
      <c r="K224" s="364"/>
      <c r="L224" s="364"/>
      <c r="M224" s="364"/>
      <c r="N224" s="364"/>
      <c r="O224" s="364"/>
      <c r="P224" s="364"/>
      <c r="Q224" s="364"/>
      <c r="R224" s="364"/>
      <c r="S224" s="364"/>
      <c r="T224" s="364"/>
      <c r="U224" s="364"/>
      <c r="V224" s="364"/>
      <c r="W224" s="364"/>
      <c r="X224" s="364"/>
      <c r="Y224" s="364"/>
      <c r="Z224" s="364"/>
      <c r="AA224" s="364"/>
      <c r="AB224" s="364"/>
    </row>
    <row r="225" spans="1:28" ht="15.75">
      <c r="A225" s="449"/>
      <c r="B225" s="449"/>
      <c r="C225" s="449"/>
      <c r="D225" s="364"/>
      <c r="E225" s="364"/>
      <c r="F225" s="364"/>
      <c r="G225" s="364"/>
      <c r="H225" s="364"/>
      <c r="I225" s="364"/>
      <c r="J225" s="364"/>
      <c r="K225" s="364"/>
      <c r="L225" s="364"/>
      <c r="M225" s="364"/>
      <c r="N225" s="364"/>
      <c r="O225" s="364"/>
      <c r="P225" s="364"/>
      <c r="Q225" s="364"/>
      <c r="R225" s="364"/>
      <c r="S225" s="364"/>
      <c r="T225" s="364"/>
      <c r="U225" s="364"/>
      <c r="V225" s="364"/>
      <c r="W225" s="364"/>
      <c r="X225" s="364"/>
      <c r="Y225" s="364"/>
      <c r="Z225" s="364"/>
      <c r="AA225" s="364"/>
      <c r="AB225" s="364"/>
    </row>
    <row r="226" spans="1:28" ht="15.75">
      <c r="A226" s="449"/>
      <c r="B226" s="449"/>
      <c r="C226" s="449"/>
      <c r="D226" s="364"/>
      <c r="E226" s="364"/>
      <c r="F226" s="364"/>
      <c r="G226" s="364"/>
      <c r="H226" s="364"/>
      <c r="I226" s="364"/>
      <c r="J226" s="364"/>
      <c r="K226" s="364"/>
      <c r="L226" s="364"/>
      <c r="M226" s="364"/>
      <c r="N226" s="364"/>
      <c r="O226" s="364"/>
      <c r="P226" s="364"/>
      <c r="Q226" s="364"/>
      <c r="R226" s="364"/>
      <c r="S226" s="364"/>
      <c r="T226" s="364"/>
      <c r="U226" s="364"/>
      <c r="V226" s="364"/>
      <c r="W226" s="364"/>
      <c r="X226" s="364"/>
      <c r="Y226" s="364"/>
      <c r="Z226" s="364"/>
      <c r="AA226" s="364"/>
      <c r="AB226" s="364"/>
    </row>
    <row r="227" spans="1:28" ht="15.75">
      <c r="A227" s="449"/>
      <c r="B227" s="449"/>
      <c r="C227" s="449"/>
      <c r="D227" s="364"/>
      <c r="E227" s="364"/>
      <c r="F227" s="364"/>
      <c r="G227" s="364"/>
      <c r="H227" s="364"/>
      <c r="I227" s="364"/>
      <c r="J227" s="364"/>
      <c r="K227" s="364"/>
      <c r="L227" s="364"/>
      <c r="M227" s="364"/>
      <c r="N227" s="364"/>
      <c r="O227" s="364"/>
      <c r="P227" s="364"/>
      <c r="Q227" s="364"/>
      <c r="R227" s="364"/>
      <c r="S227" s="364"/>
      <c r="T227" s="364"/>
      <c r="U227" s="364"/>
      <c r="V227" s="364"/>
      <c r="W227" s="364"/>
      <c r="X227" s="364"/>
      <c r="Y227" s="364"/>
      <c r="Z227" s="364"/>
      <c r="AA227" s="364"/>
      <c r="AB227" s="364"/>
    </row>
    <row r="228" spans="1:28" ht="15.75">
      <c r="A228" s="449"/>
      <c r="B228" s="449"/>
      <c r="C228" s="449"/>
      <c r="D228" s="364"/>
      <c r="E228" s="364"/>
      <c r="F228" s="364"/>
      <c r="G228" s="364"/>
      <c r="H228" s="364"/>
      <c r="I228" s="364"/>
      <c r="J228" s="364"/>
      <c r="K228" s="364"/>
      <c r="L228" s="364"/>
      <c r="M228" s="364"/>
      <c r="N228" s="364"/>
      <c r="O228" s="364"/>
      <c r="P228" s="364"/>
      <c r="Q228" s="364"/>
      <c r="R228" s="364"/>
      <c r="S228" s="364"/>
      <c r="T228" s="364"/>
      <c r="U228" s="364"/>
      <c r="V228" s="364"/>
      <c r="W228" s="364"/>
      <c r="X228" s="364"/>
      <c r="Y228" s="364"/>
      <c r="Z228" s="364"/>
      <c r="AA228" s="364"/>
      <c r="AB228" s="364"/>
    </row>
    <row r="229" spans="1:28" ht="15.75">
      <c r="A229" s="449"/>
      <c r="B229" s="449"/>
      <c r="C229" s="449"/>
      <c r="D229" s="364"/>
      <c r="E229" s="364"/>
      <c r="F229" s="364"/>
      <c r="G229" s="364"/>
      <c r="H229" s="364"/>
      <c r="I229" s="364"/>
      <c r="J229" s="364"/>
      <c r="K229" s="364"/>
      <c r="L229" s="364"/>
      <c r="M229" s="364"/>
      <c r="N229" s="364"/>
      <c r="O229" s="364"/>
      <c r="P229" s="364"/>
      <c r="Q229" s="364"/>
      <c r="R229" s="364"/>
      <c r="S229" s="364"/>
      <c r="T229" s="364"/>
      <c r="U229" s="364"/>
      <c r="V229" s="364"/>
      <c r="W229" s="364"/>
      <c r="X229" s="364"/>
      <c r="Y229" s="364"/>
      <c r="Z229" s="364"/>
      <c r="AA229" s="364"/>
      <c r="AB229" s="364"/>
    </row>
    <row r="230" spans="1:28" ht="15.75">
      <c r="A230" s="449"/>
      <c r="B230" s="449"/>
      <c r="C230" s="449"/>
      <c r="D230" s="364"/>
      <c r="E230" s="364"/>
      <c r="F230" s="364"/>
      <c r="G230" s="364"/>
      <c r="H230" s="364"/>
      <c r="I230" s="364"/>
      <c r="J230" s="364"/>
      <c r="K230" s="364"/>
      <c r="L230" s="364"/>
      <c r="M230" s="364"/>
      <c r="N230" s="364"/>
      <c r="O230" s="364"/>
      <c r="P230" s="364"/>
      <c r="Q230" s="364"/>
      <c r="R230" s="364"/>
      <c r="S230" s="364"/>
      <c r="T230" s="364"/>
      <c r="U230" s="364"/>
      <c r="V230" s="364"/>
      <c r="W230" s="364"/>
      <c r="X230" s="364"/>
      <c r="Y230" s="364"/>
      <c r="Z230" s="364"/>
      <c r="AA230" s="364"/>
      <c r="AB230" s="364"/>
    </row>
    <row r="231" spans="1:28" ht="15.75">
      <c r="A231" s="449"/>
      <c r="B231" s="449"/>
      <c r="C231" s="449"/>
      <c r="D231" s="364"/>
      <c r="E231" s="364"/>
      <c r="F231" s="364"/>
      <c r="G231" s="364"/>
      <c r="H231" s="364"/>
      <c r="I231" s="364"/>
      <c r="J231" s="364"/>
      <c r="K231" s="364"/>
      <c r="L231" s="364"/>
      <c r="M231" s="364"/>
      <c r="N231" s="364"/>
      <c r="O231" s="364"/>
      <c r="P231" s="364"/>
      <c r="Q231" s="364"/>
      <c r="R231" s="364"/>
      <c r="S231" s="364"/>
      <c r="T231" s="364"/>
      <c r="U231" s="364"/>
      <c r="V231" s="364"/>
      <c r="W231" s="364"/>
      <c r="X231" s="364"/>
      <c r="Y231" s="364"/>
      <c r="Z231" s="364"/>
      <c r="AA231" s="364"/>
      <c r="AB231" s="364"/>
    </row>
    <row r="232" spans="1:28" ht="15.75">
      <c r="A232" s="449"/>
      <c r="B232" s="449"/>
      <c r="C232" s="449"/>
      <c r="D232" s="364"/>
      <c r="E232" s="364"/>
      <c r="F232" s="364"/>
      <c r="G232" s="364"/>
      <c r="H232" s="364"/>
      <c r="I232" s="364"/>
      <c r="J232" s="364"/>
      <c r="K232" s="364"/>
      <c r="L232" s="364"/>
      <c r="M232" s="364"/>
      <c r="N232" s="364"/>
      <c r="O232" s="364"/>
      <c r="P232" s="364"/>
      <c r="Q232" s="364"/>
      <c r="R232" s="364"/>
      <c r="S232" s="364"/>
      <c r="T232" s="364"/>
      <c r="U232" s="364"/>
      <c r="V232" s="364"/>
      <c r="W232" s="364"/>
      <c r="X232" s="364"/>
      <c r="Y232" s="364"/>
      <c r="Z232" s="364"/>
      <c r="AA232" s="364"/>
      <c r="AB232" s="364"/>
    </row>
    <row r="233" spans="1:28" ht="15.75">
      <c r="A233" s="449"/>
      <c r="B233" s="449"/>
      <c r="C233" s="449"/>
      <c r="D233" s="364"/>
      <c r="E233" s="364"/>
      <c r="F233" s="364"/>
      <c r="G233" s="364"/>
      <c r="H233" s="364"/>
      <c r="I233" s="364"/>
      <c r="J233" s="364"/>
      <c r="K233" s="364"/>
      <c r="L233" s="364"/>
      <c r="M233" s="364"/>
      <c r="N233" s="364"/>
      <c r="O233" s="364"/>
      <c r="P233" s="364"/>
      <c r="Q233" s="364"/>
      <c r="R233" s="364"/>
      <c r="S233" s="364"/>
      <c r="T233" s="364"/>
      <c r="U233" s="364"/>
      <c r="V233" s="364"/>
      <c r="W233" s="364"/>
      <c r="X233" s="364"/>
      <c r="Y233" s="364"/>
      <c r="Z233" s="364"/>
      <c r="AA233" s="364"/>
      <c r="AB233" s="364"/>
    </row>
    <row r="234" spans="1:28" ht="15.75">
      <c r="A234" s="449"/>
      <c r="B234" s="449"/>
      <c r="C234" s="449"/>
      <c r="D234" s="364"/>
      <c r="E234" s="364"/>
      <c r="F234" s="364"/>
      <c r="G234" s="364"/>
      <c r="H234" s="364"/>
      <c r="I234" s="364"/>
      <c r="J234" s="364"/>
      <c r="K234" s="364"/>
      <c r="L234" s="364"/>
      <c r="M234" s="364"/>
      <c r="N234" s="364"/>
      <c r="O234" s="364"/>
      <c r="P234" s="364"/>
      <c r="Q234" s="364"/>
      <c r="R234" s="364"/>
      <c r="S234" s="364"/>
      <c r="T234" s="364"/>
      <c r="U234" s="364"/>
      <c r="V234" s="364"/>
      <c r="W234" s="364"/>
      <c r="X234" s="364"/>
      <c r="Y234" s="364"/>
      <c r="Z234" s="364"/>
      <c r="AA234" s="364"/>
      <c r="AB234" s="364"/>
    </row>
    <row r="235" spans="1:28" ht="15.75">
      <c r="A235" s="449"/>
      <c r="B235" s="449"/>
      <c r="C235" s="449"/>
      <c r="D235" s="364"/>
      <c r="E235" s="364"/>
      <c r="F235" s="364"/>
      <c r="G235" s="364"/>
      <c r="H235" s="364"/>
      <c r="I235" s="364"/>
      <c r="J235" s="364"/>
      <c r="K235" s="364"/>
      <c r="L235" s="364"/>
      <c r="M235" s="364"/>
      <c r="N235" s="364"/>
      <c r="O235" s="364"/>
      <c r="P235" s="364"/>
      <c r="Q235" s="364"/>
      <c r="R235" s="364"/>
      <c r="S235" s="364"/>
      <c r="T235" s="364"/>
      <c r="U235" s="364"/>
      <c r="V235" s="364"/>
      <c r="W235" s="364"/>
      <c r="X235" s="364"/>
      <c r="Y235" s="364"/>
      <c r="Z235" s="364"/>
      <c r="AA235" s="364"/>
      <c r="AB235" s="364"/>
    </row>
    <row r="236" spans="1:28" ht="15.75">
      <c r="A236" s="449"/>
      <c r="B236" s="449"/>
      <c r="C236" s="449"/>
      <c r="D236" s="364"/>
      <c r="E236" s="364"/>
      <c r="F236" s="364"/>
      <c r="G236" s="364"/>
      <c r="H236" s="364"/>
      <c r="I236" s="364"/>
      <c r="J236" s="364"/>
      <c r="K236" s="364"/>
      <c r="L236" s="364"/>
      <c r="M236" s="364"/>
      <c r="N236" s="364"/>
      <c r="O236" s="364"/>
      <c r="P236" s="364"/>
      <c r="Q236" s="364"/>
      <c r="R236" s="364"/>
      <c r="S236" s="364"/>
      <c r="T236" s="364"/>
      <c r="U236" s="364"/>
      <c r="V236" s="364"/>
      <c r="W236" s="364"/>
      <c r="X236" s="364"/>
      <c r="Y236" s="364"/>
      <c r="Z236" s="364"/>
      <c r="AA236" s="364"/>
      <c r="AB236" s="364"/>
    </row>
    <row r="237" spans="1:28" ht="15.75">
      <c r="A237" s="449"/>
      <c r="B237" s="449"/>
      <c r="C237" s="449"/>
      <c r="D237" s="364"/>
      <c r="E237" s="364"/>
      <c r="F237" s="364"/>
      <c r="G237" s="364"/>
      <c r="H237" s="364"/>
      <c r="I237" s="364"/>
      <c r="J237" s="364"/>
      <c r="K237" s="364"/>
      <c r="L237" s="364"/>
      <c r="M237" s="364"/>
      <c r="N237" s="364"/>
      <c r="O237" s="364"/>
      <c r="P237" s="364"/>
      <c r="Q237" s="364"/>
      <c r="R237" s="364"/>
      <c r="S237" s="364"/>
      <c r="T237" s="364"/>
      <c r="U237" s="364"/>
      <c r="V237" s="364"/>
      <c r="W237" s="364"/>
      <c r="X237" s="364"/>
      <c r="Y237" s="364"/>
      <c r="Z237" s="364"/>
      <c r="AA237" s="364"/>
      <c r="AB237" s="364"/>
    </row>
    <row r="238" spans="1:28" ht="15.75">
      <c r="A238" s="449"/>
      <c r="B238" s="449"/>
      <c r="C238" s="449"/>
      <c r="D238" s="364"/>
      <c r="E238" s="364"/>
      <c r="F238" s="364"/>
      <c r="G238" s="364"/>
      <c r="H238" s="364"/>
      <c r="I238" s="364"/>
      <c r="J238" s="364"/>
      <c r="K238" s="364"/>
      <c r="L238" s="364"/>
      <c r="M238" s="364"/>
      <c r="N238" s="364"/>
      <c r="O238" s="364"/>
      <c r="P238" s="364"/>
      <c r="Q238" s="364"/>
      <c r="R238" s="364"/>
      <c r="S238" s="364"/>
      <c r="T238" s="364"/>
      <c r="U238" s="364"/>
      <c r="V238" s="364"/>
      <c r="W238" s="364"/>
      <c r="X238" s="364"/>
      <c r="Y238" s="364"/>
      <c r="Z238" s="364"/>
      <c r="AA238" s="364"/>
      <c r="AB238" s="364"/>
    </row>
    <row r="239" spans="1:28" ht="15.75">
      <c r="A239" s="449"/>
      <c r="B239" s="449"/>
      <c r="C239" s="449"/>
      <c r="D239" s="364"/>
      <c r="E239" s="364"/>
      <c r="F239" s="364"/>
      <c r="G239" s="364"/>
      <c r="H239" s="364"/>
      <c r="I239" s="364"/>
      <c r="J239" s="364"/>
      <c r="K239" s="364"/>
      <c r="L239" s="364"/>
      <c r="M239" s="364"/>
      <c r="N239" s="364"/>
      <c r="O239" s="364"/>
      <c r="P239" s="364"/>
      <c r="Q239" s="364"/>
      <c r="R239" s="364"/>
      <c r="S239" s="364"/>
      <c r="T239" s="364"/>
      <c r="U239" s="364"/>
      <c r="V239" s="364"/>
      <c r="W239" s="364"/>
      <c r="X239" s="364"/>
      <c r="Y239" s="364"/>
      <c r="Z239" s="364"/>
      <c r="AA239" s="364"/>
      <c r="AB239" s="364"/>
    </row>
    <row r="240" spans="1:28" ht="15.75">
      <c r="A240" s="449"/>
      <c r="B240" s="449"/>
      <c r="C240" s="449"/>
      <c r="D240" s="364"/>
      <c r="E240" s="364"/>
      <c r="F240" s="364"/>
      <c r="G240" s="364"/>
      <c r="H240" s="364"/>
      <c r="I240" s="364"/>
      <c r="J240" s="364"/>
      <c r="K240" s="364"/>
      <c r="L240" s="364"/>
      <c r="M240" s="364"/>
      <c r="N240" s="364"/>
      <c r="O240" s="364"/>
      <c r="P240" s="364"/>
      <c r="Q240" s="364"/>
      <c r="R240" s="364"/>
      <c r="S240" s="364"/>
      <c r="T240" s="364"/>
      <c r="U240" s="364"/>
      <c r="V240" s="364"/>
      <c r="W240" s="364"/>
      <c r="X240" s="364"/>
      <c r="Y240" s="364"/>
      <c r="Z240" s="364"/>
      <c r="AA240" s="364"/>
      <c r="AB240" s="364"/>
    </row>
    <row r="241" spans="1:28" ht="15.75">
      <c r="A241" s="449"/>
      <c r="B241" s="449"/>
      <c r="C241" s="449"/>
      <c r="D241" s="364"/>
      <c r="E241" s="364"/>
      <c r="F241" s="364"/>
      <c r="G241" s="364"/>
      <c r="H241" s="364"/>
      <c r="I241" s="364"/>
      <c r="J241" s="364"/>
      <c r="K241" s="364"/>
      <c r="L241" s="364"/>
      <c r="M241" s="364"/>
      <c r="N241" s="364"/>
      <c r="O241" s="364"/>
      <c r="P241" s="364"/>
      <c r="Q241" s="364"/>
      <c r="R241" s="364"/>
      <c r="S241" s="364"/>
      <c r="T241" s="364"/>
      <c r="U241" s="364"/>
      <c r="V241" s="364"/>
      <c r="W241" s="364"/>
      <c r="X241" s="364"/>
      <c r="Y241" s="364"/>
      <c r="Z241" s="364"/>
      <c r="AA241" s="364"/>
      <c r="AB241" s="364"/>
    </row>
    <row r="242" spans="1:28" ht="15.75">
      <c r="A242" s="449"/>
      <c r="B242" s="449"/>
      <c r="C242" s="449"/>
      <c r="D242" s="364"/>
      <c r="E242" s="364"/>
      <c r="F242" s="364"/>
      <c r="G242" s="364"/>
      <c r="H242" s="364"/>
      <c r="I242" s="364"/>
      <c r="J242" s="364"/>
      <c r="K242" s="364"/>
      <c r="L242" s="364"/>
      <c r="M242" s="364"/>
      <c r="N242" s="364"/>
      <c r="O242" s="364"/>
      <c r="P242" s="364"/>
      <c r="Q242" s="364"/>
      <c r="R242" s="364"/>
      <c r="S242" s="364"/>
      <c r="T242" s="364"/>
      <c r="U242" s="364"/>
      <c r="V242" s="364"/>
      <c r="W242" s="364"/>
      <c r="X242" s="364"/>
      <c r="Y242" s="364"/>
      <c r="Z242" s="364"/>
      <c r="AA242" s="364"/>
      <c r="AB242" s="364"/>
    </row>
    <row r="243" spans="1:28" ht="15.75">
      <c r="A243" s="449"/>
      <c r="B243" s="449"/>
      <c r="C243" s="449"/>
      <c r="D243" s="364"/>
      <c r="E243" s="364"/>
      <c r="F243" s="364"/>
      <c r="G243" s="364"/>
      <c r="H243" s="364"/>
      <c r="I243" s="364"/>
      <c r="J243" s="364"/>
      <c r="K243" s="364"/>
      <c r="L243" s="364"/>
      <c r="M243" s="364"/>
      <c r="N243" s="364"/>
      <c r="O243" s="364"/>
      <c r="P243" s="364"/>
      <c r="Q243" s="364"/>
      <c r="R243" s="364"/>
      <c r="S243" s="364"/>
      <c r="T243" s="364"/>
      <c r="U243" s="364"/>
      <c r="V243" s="364"/>
      <c r="W243" s="364"/>
      <c r="X243" s="364"/>
      <c r="Y243" s="364"/>
      <c r="Z243" s="364"/>
      <c r="AA243" s="364"/>
      <c r="AB243" s="364"/>
    </row>
    <row r="244" spans="1:28" ht="15.75">
      <c r="A244" s="449"/>
      <c r="B244" s="449"/>
      <c r="C244" s="449"/>
      <c r="D244" s="364"/>
      <c r="E244" s="364"/>
      <c r="F244" s="364"/>
      <c r="G244" s="364"/>
      <c r="H244" s="364"/>
      <c r="I244" s="364"/>
      <c r="J244" s="364"/>
      <c r="K244" s="364"/>
      <c r="L244" s="364"/>
      <c r="M244" s="364"/>
      <c r="N244" s="364"/>
      <c r="O244" s="364"/>
      <c r="P244" s="364"/>
      <c r="Q244" s="364"/>
      <c r="R244" s="364"/>
      <c r="S244" s="364"/>
      <c r="T244" s="364"/>
      <c r="U244" s="364"/>
      <c r="V244" s="364"/>
      <c r="W244" s="364"/>
      <c r="X244" s="364"/>
      <c r="Y244" s="364"/>
      <c r="Z244" s="364"/>
      <c r="AA244" s="364"/>
      <c r="AB244" s="364"/>
    </row>
    <row r="245" spans="1:28" ht="15.75">
      <c r="A245" s="449"/>
      <c r="B245" s="449"/>
      <c r="C245" s="449"/>
      <c r="D245" s="364"/>
      <c r="E245" s="364"/>
      <c r="F245" s="364"/>
      <c r="G245" s="364"/>
      <c r="H245" s="364"/>
      <c r="I245" s="364"/>
      <c r="J245" s="364"/>
      <c r="K245" s="364"/>
      <c r="L245" s="364"/>
      <c r="M245" s="364"/>
      <c r="N245" s="364"/>
      <c r="O245" s="364"/>
      <c r="P245" s="364"/>
      <c r="Q245" s="364"/>
      <c r="R245" s="364"/>
      <c r="S245" s="364"/>
      <c r="T245" s="364"/>
      <c r="U245" s="364"/>
      <c r="V245" s="364"/>
      <c r="W245" s="364"/>
      <c r="X245" s="364"/>
      <c r="Y245" s="364"/>
      <c r="Z245" s="364"/>
      <c r="AA245" s="364"/>
      <c r="AB245" s="364"/>
    </row>
    <row r="246" spans="1:28" ht="15.75">
      <c r="A246" s="449"/>
      <c r="B246" s="449"/>
      <c r="C246" s="449"/>
      <c r="D246" s="364"/>
      <c r="E246" s="364"/>
      <c r="F246" s="364"/>
      <c r="G246" s="364"/>
      <c r="H246" s="364"/>
      <c r="I246" s="364"/>
      <c r="J246" s="364"/>
      <c r="K246" s="364"/>
      <c r="L246" s="364"/>
      <c r="M246" s="364"/>
      <c r="N246" s="364"/>
      <c r="O246" s="364"/>
      <c r="P246" s="364"/>
      <c r="Q246" s="364"/>
      <c r="R246" s="364"/>
      <c r="S246" s="364"/>
      <c r="T246" s="364"/>
      <c r="U246" s="364"/>
      <c r="V246" s="364"/>
      <c r="W246" s="364"/>
      <c r="X246" s="364"/>
      <c r="Y246" s="364"/>
      <c r="Z246" s="364"/>
      <c r="AA246" s="364"/>
      <c r="AB246" s="364"/>
    </row>
    <row r="247" spans="1:28" ht="15.75">
      <c r="A247" s="449"/>
      <c r="B247" s="449"/>
      <c r="C247" s="449"/>
      <c r="D247" s="364"/>
      <c r="E247" s="364"/>
      <c r="F247" s="364"/>
      <c r="G247" s="364"/>
      <c r="H247" s="364"/>
      <c r="I247" s="364"/>
      <c r="J247" s="364"/>
      <c r="K247" s="364"/>
      <c r="L247" s="364"/>
      <c r="M247" s="364"/>
      <c r="N247" s="364"/>
      <c r="O247" s="364"/>
      <c r="P247" s="364"/>
      <c r="Q247" s="364"/>
      <c r="R247" s="364"/>
      <c r="S247" s="364"/>
      <c r="T247" s="364"/>
      <c r="U247" s="364"/>
      <c r="V247" s="364"/>
      <c r="W247" s="364"/>
      <c r="X247" s="364"/>
      <c r="Y247" s="364"/>
      <c r="Z247" s="364"/>
      <c r="AA247" s="364"/>
      <c r="AB247" s="364"/>
    </row>
    <row r="248" spans="1:28" ht="15.75">
      <c r="A248" s="449"/>
      <c r="B248" s="449"/>
      <c r="C248" s="449"/>
      <c r="D248" s="364"/>
      <c r="E248" s="364"/>
      <c r="F248" s="364"/>
      <c r="G248" s="364"/>
      <c r="H248" s="364"/>
      <c r="I248" s="364"/>
      <c r="J248" s="364"/>
      <c r="K248" s="364"/>
      <c r="L248" s="364"/>
      <c r="M248" s="364"/>
      <c r="N248" s="364"/>
      <c r="O248" s="364"/>
      <c r="P248" s="364"/>
      <c r="Q248" s="364"/>
      <c r="R248" s="364"/>
      <c r="S248" s="364"/>
      <c r="T248" s="364"/>
      <c r="U248" s="364"/>
      <c r="V248" s="364"/>
      <c r="W248" s="364"/>
      <c r="X248" s="364"/>
      <c r="Y248" s="364"/>
      <c r="Z248" s="364"/>
      <c r="AA248" s="364"/>
      <c r="AB248" s="364"/>
    </row>
    <row r="249" spans="1:28" ht="15.75">
      <c r="A249" s="449"/>
      <c r="B249" s="449"/>
      <c r="C249" s="449"/>
      <c r="D249" s="364"/>
      <c r="E249" s="364"/>
      <c r="F249" s="364"/>
      <c r="G249" s="364"/>
      <c r="H249" s="364"/>
      <c r="I249" s="364"/>
      <c r="J249" s="364"/>
      <c r="K249" s="364"/>
      <c r="L249" s="364"/>
      <c r="M249" s="364"/>
      <c r="N249" s="364"/>
      <c r="O249" s="364"/>
      <c r="P249" s="364"/>
      <c r="Q249" s="364"/>
      <c r="R249" s="364"/>
      <c r="S249" s="364"/>
      <c r="T249" s="364"/>
      <c r="U249" s="364"/>
      <c r="V249" s="364"/>
      <c r="W249" s="364"/>
      <c r="X249" s="364"/>
      <c r="Y249" s="364"/>
      <c r="Z249" s="364"/>
      <c r="AA249" s="364"/>
      <c r="AB249" s="364"/>
    </row>
    <row r="250" spans="1:28" ht="15.75">
      <c r="A250" s="449"/>
      <c r="B250" s="449"/>
      <c r="C250" s="449"/>
      <c r="D250" s="364"/>
      <c r="E250" s="364"/>
      <c r="F250" s="364"/>
      <c r="G250" s="364"/>
      <c r="H250" s="364"/>
      <c r="I250" s="364"/>
      <c r="J250" s="364"/>
      <c r="K250" s="364"/>
      <c r="L250" s="364"/>
      <c r="M250" s="364"/>
      <c r="N250" s="364"/>
      <c r="O250" s="364"/>
      <c r="P250" s="364"/>
      <c r="Q250" s="364"/>
      <c r="R250" s="364"/>
      <c r="S250" s="364"/>
      <c r="T250" s="364"/>
      <c r="U250" s="364"/>
      <c r="V250" s="364"/>
      <c r="W250" s="364"/>
      <c r="X250" s="364"/>
      <c r="Y250" s="364"/>
      <c r="Z250" s="364"/>
      <c r="AA250" s="364"/>
      <c r="AB250" s="364"/>
    </row>
    <row r="251" spans="1:28" ht="15.75">
      <c r="A251" s="449"/>
      <c r="B251" s="449"/>
      <c r="C251" s="449"/>
      <c r="D251" s="364"/>
      <c r="E251" s="364"/>
      <c r="F251" s="364"/>
      <c r="G251" s="364"/>
      <c r="H251" s="364"/>
      <c r="I251" s="364"/>
      <c r="J251" s="364"/>
      <c r="K251" s="364"/>
      <c r="L251" s="364"/>
      <c r="M251" s="364"/>
      <c r="N251" s="364"/>
      <c r="O251" s="364"/>
      <c r="P251" s="364"/>
      <c r="Q251" s="364"/>
      <c r="R251" s="364"/>
      <c r="S251" s="364"/>
      <c r="T251" s="364"/>
      <c r="U251" s="364"/>
      <c r="V251" s="364"/>
      <c r="W251" s="364"/>
      <c r="X251" s="364"/>
      <c r="Y251" s="364"/>
      <c r="Z251" s="364"/>
      <c r="AA251" s="364"/>
      <c r="AB251" s="364"/>
    </row>
    <row r="252" spans="1:28" ht="15.75">
      <c r="A252" s="449"/>
      <c r="B252" s="449"/>
      <c r="C252" s="449"/>
      <c r="D252" s="364"/>
      <c r="E252" s="364"/>
      <c r="F252" s="364"/>
      <c r="G252" s="364"/>
      <c r="H252" s="364"/>
      <c r="I252" s="364"/>
      <c r="J252" s="364"/>
      <c r="K252" s="364"/>
      <c r="L252" s="364"/>
      <c r="M252" s="364"/>
      <c r="N252" s="364"/>
      <c r="O252" s="364"/>
      <c r="P252" s="364"/>
      <c r="Q252" s="364"/>
      <c r="R252" s="364"/>
      <c r="S252" s="364"/>
      <c r="T252" s="364"/>
      <c r="U252" s="364"/>
      <c r="V252" s="364"/>
      <c r="W252" s="364"/>
      <c r="X252" s="364"/>
      <c r="Y252" s="364"/>
      <c r="Z252" s="364"/>
      <c r="AA252" s="364"/>
      <c r="AB252" s="364"/>
    </row>
    <row r="253" spans="1:28" ht="15.75">
      <c r="A253" s="449"/>
      <c r="B253" s="449"/>
      <c r="C253" s="449"/>
      <c r="D253" s="364"/>
      <c r="E253" s="364"/>
      <c r="F253" s="364"/>
      <c r="G253" s="364"/>
      <c r="H253" s="364"/>
      <c r="I253" s="364"/>
      <c r="J253" s="364"/>
      <c r="K253" s="364"/>
      <c r="L253" s="364"/>
      <c r="M253" s="364"/>
      <c r="N253" s="364"/>
      <c r="O253" s="364"/>
      <c r="P253" s="364"/>
      <c r="Q253" s="364"/>
      <c r="R253" s="364"/>
      <c r="S253" s="364"/>
      <c r="T253" s="364"/>
      <c r="U253" s="364"/>
      <c r="V253" s="364"/>
      <c r="W253" s="364"/>
      <c r="X253" s="364"/>
      <c r="Y253" s="364"/>
      <c r="Z253" s="364"/>
      <c r="AA253" s="364"/>
      <c r="AB253" s="364"/>
    </row>
    <row r="254" spans="1:28" ht="15.75">
      <c r="A254" s="449"/>
      <c r="B254" s="449"/>
      <c r="C254" s="449"/>
      <c r="D254" s="364"/>
      <c r="E254" s="364"/>
      <c r="F254" s="364"/>
      <c r="G254" s="364"/>
      <c r="H254" s="364"/>
      <c r="I254" s="364"/>
      <c r="J254" s="364"/>
      <c r="K254" s="364"/>
      <c r="L254" s="364"/>
      <c r="M254" s="364"/>
      <c r="N254" s="364"/>
      <c r="O254" s="364"/>
      <c r="P254" s="364"/>
      <c r="Q254" s="364"/>
      <c r="R254" s="364"/>
      <c r="S254" s="364"/>
      <c r="T254" s="364"/>
      <c r="U254" s="364"/>
      <c r="V254" s="364"/>
      <c r="W254" s="364"/>
      <c r="X254" s="364"/>
      <c r="Y254" s="364"/>
      <c r="Z254" s="364"/>
      <c r="AA254" s="364"/>
      <c r="AB254" s="364"/>
    </row>
    <row r="255" spans="1:28" ht="15.75">
      <c r="A255" s="449"/>
      <c r="B255" s="449"/>
      <c r="C255" s="449"/>
      <c r="D255" s="364"/>
      <c r="E255" s="364"/>
      <c r="F255" s="364"/>
      <c r="G255" s="364"/>
      <c r="H255" s="364"/>
      <c r="I255" s="364"/>
      <c r="J255" s="364"/>
      <c r="K255" s="364"/>
      <c r="L255" s="364"/>
      <c r="M255" s="364"/>
      <c r="N255" s="364"/>
      <c r="O255" s="364"/>
      <c r="P255" s="364"/>
      <c r="Q255" s="364"/>
      <c r="R255" s="364"/>
      <c r="S255" s="364"/>
      <c r="T255" s="364"/>
      <c r="U255" s="364"/>
      <c r="V255" s="364"/>
      <c r="W255" s="364"/>
      <c r="X255" s="364"/>
      <c r="Y255" s="364"/>
      <c r="Z255" s="364"/>
      <c r="AA255" s="364"/>
      <c r="AB255" s="364"/>
    </row>
    <row r="256" spans="1:28" ht="15.75">
      <c r="A256" s="449"/>
      <c r="B256" s="449"/>
      <c r="C256" s="449"/>
      <c r="D256" s="364"/>
      <c r="E256" s="364"/>
      <c r="F256" s="364"/>
      <c r="G256" s="364"/>
      <c r="H256" s="364"/>
      <c r="I256" s="364"/>
      <c r="J256" s="364"/>
      <c r="K256" s="364"/>
      <c r="L256" s="364"/>
      <c r="M256" s="364"/>
      <c r="N256" s="364"/>
      <c r="O256" s="364"/>
      <c r="P256" s="364"/>
      <c r="Q256" s="364"/>
      <c r="R256" s="364"/>
      <c r="S256" s="364"/>
      <c r="T256" s="364"/>
      <c r="U256" s="364"/>
      <c r="V256" s="364"/>
      <c r="W256" s="364"/>
      <c r="X256" s="364"/>
      <c r="Y256" s="364"/>
      <c r="Z256" s="364"/>
      <c r="AA256" s="364"/>
      <c r="AB256" s="364"/>
    </row>
    <row r="257" spans="1:28" ht="15.75">
      <c r="A257" s="449"/>
      <c r="B257" s="449"/>
      <c r="C257" s="449"/>
      <c r="D257" s="364"/>
      <c r="E257" s="364"/>
      <c r="F257" s="364"/>
      <c r="G257" s="364"/>
      <c r="H257" s="364"/>
      <c r="I257" s="364"/>
      <c r="J257" s="364"/>
      <c r="K257" s="364"/>
      <c r="L257" s="364"/>
      <c r="M257" s="364"/>
      <c r="N257" s="364"/>
      <c r="O257" s="364"/>
      <c r="P257" s="364"/>
      <c r="Q257" s="364"/>
      <c r="R257" s="364"/>
      <c r="S257" s="364"/>
      <c r="T257" s="364"/>
      <c r="U257" s="364"/>
      <c r="V257" s="364"/>
      <c r="W257" s="364"/>
      <c r="X257" s="364"/>
      <c r="Y257" s="364"/>
      <c r="Z257" s="364"/>
      <c r="AA257" s="364"/>
      <c r="AB257" s="364"/>
    </row>
    <row r="258" spans="1:28" ht="15.75">
      <c r="A258" s="449"/>
      <c r="B258" s="449"/>
      <c r="C258" s="449"/>
      <c r="D258" s="364"/>
      <c r="E258" s="364"/>
      <c r="F258" s="364"/>
      <c r="G258" s="364"/>
      <c r="H258" s="364"/>
      <c r="I258" s="364"/>
      <c r="J258" s="364"/>
      <c r="K258" s="364"/>
      <c r="L258" s="364"/>
      <c r="M258" s="364"/>
      <c r="N258" s="364"/>
      <c r="O258" s="364"/>
      <c r="P258" s="364"/>
      <c r="Q258" s="364"/>
      <c r="R258" s="364"/>
      <c r="S258" s="364"/>
      <c r="T258" s="364"/>
      <c r="U258" s="364"/>
      <c r="V258" s="364"/>
      <c r="W258" s="364"/>
      <c r="X258" s="364"/>
      <c r="Y258" s="364"/>
      <c r="Z258" s="364"/>
      <c r="AA258" s="364"/>
      <c r="AB258" s="364"/>
    </row>
    <row r="259" spans="1:28" ht="15.75">
      <c r="A259" s="449"/>
      <c r="B259" s="449"/>
      <c r="C259" s="449"/>
      <c r="D259" s="364"/>
      <c r="E259" s="364"/>
      <c r="F259" s="364"/>
      <c r="G259" s="364"/>
      <c r="H259" s="364"/>
      <c r="I259" s="364"/>
      <c r="J259" s="364"/>
      <c r="K259" s="364"/>
      <c r="L259" s="364"/>
      <c r="M259" s="364"/>
      <c r="N259" s="364"/>
      <c r="O259" s="364"/>
      <c r="P259" s="364"/>
      <c r="Q259" s="364"/>
      <c r="R259" s="364"/>
      <c r="S259" s="364"/>
      <c r="T259" s="364"/>
      <c r="U259" s="364"/>
      <c r="V259" s="364"/>
      <c r="W259" s="364"/>
      <c r="X259" s="364"/>
      <c r="Y259" s="364"/>
      <c r="Z259" s="364"/>
      <c r="AA259" s="364"/>
      <c r="AB259" s="364"/>
    </row>
    <row r="260" spans="1:28" ht="15.75">
      <c r="A260" s="449"/>
      <c r="B260" s="449"/>
      <c r="C260" s="449"/>
      <c r="D260" s="364"/>
      <c r="E260" s="364"/>
      <c r="F260" s="364"/>
      <c r="G260" s="364"/>
      <c r="H260" s="364"/>
      <c r="I260" s="364"/>
      <c r="J260" s="364"/>
      <c r="K260" s="364"/>
      <c r="L260" s="364"/>
      <c r="M260" s="364"/>
      <c r="N260" s="364"/>
      <c r="O260" s="364"/>
      <c r="P260" s="364"/>
      <c r="Q260" s="364"/>
      <c r="R260" s="364"/>
      <c r="S260" s="364"/>
      <c r="T260" s="364"/>
      <c r="U260" s="364"/>
      <c r="V260" s="364"/>
      <c r="W260" s="364"/>
      <c r="X260" s="364"/>
      <c r="Y260" s="364"/>
      <c r="Z260" s="364"/>
      <c r="AA260" s="364"/>
      <c r="AB260" s="364"/>
    </row>
    <row r="261" spans="1:28" ht="15.75">
      <c r="A261" s="449"/>
      <c r="B261" s="449"/>
      <c r="C261" s="449"/>
      <c r="D261" s="364"/>
      <c r="E261" s="364"/>
      <c r="F261" s="364"/>
      <c r="G261" s="364"/>
      <c r="H261" s="364"/>
      <c r="I261" s="364"/>
      <c r="J261" s="364"/>
      <c r="K261" s="364"/>
      <c r="L261" s="364"/>
      <c r="M261" s="364"/>
      <c r="N261" s="364"/>
      <c r="O261" s="364"/>
      <c r="P261" s="364"/>
      <c r="Q261" s="364"/>
      <c r="R261" s="364"/>
      <c r="S261" s="364"/>
      <c r="T261" s="364"/>
      <c r="U261" s="364"/>
      <c r="V261" s="364"/>
      <c r="W261" s="364"/>
      <c r="X261" s="364"/>
      <c r="Y261" s="364"/>
      <c r="Z261" s="364"/>
      <c r="AA261" s="364"/>
      <c r="AB261" s="364"/>
    </row>
    <row r="262" spans="1:28" ht="15.75">
      <c r="A262" s="449"/>
      <c r="B262" s="449"/>
      <c r="C262" s="449"/>
      <c r="D262" s="364"/>
      <c r="E262" s="364"/>
      <c r="F262" s="364"/>
      <c r="G262" s="364"/>
      <c r="H262" s="364"/>
      <c r="I262" s="364"/>
      <c r="J262" s="364"/>
      <c r="K262" s="364"/>
      <c r="L262" s="364"/>
      <c r="M262" s="364"/>
      <c r="N262" s="364"/>
      <c r="O262" s="364"/>
      <c r="P262" s="364"/>
      <c r="Q262" s="364"/>
      <c r="R262" s="364"/>
      <c r="S262" s="364"/>
      <c r="T262" s="364"/>
      <c r="U262" s="364"/>
      <c r="V262" s="364"/>
      <c r="W262" s="364"/>
      <c r="X262" s="364"/>
      <c r="Y262" s="364"/>
      <c r="Z262" s="364"/>
      <c r="AA262" s="364"/>
      <c r="AB262" s="364"/>
    </row>
    <row r="263" spans="1:28" ht="15.75">
      <c r="A263" s="449"/>
      <c r="B263" s="449"/>
      <c r="C263" s="449"/>
      <c r="D263" s="364"/>
      <c r="E263" s="364"/>
      <c r="F263" s="364"/>
      <c r="G263" s="364"/>
      <c r="H263" s="364"/>
      <c r="I263" s="364"/>
      <c r="J263" s="364"/>
      <c r="K263" s="364"/>
      <c r="L263" s="364"/>
      <c r="M263" s="364"/>
      <c r="N263" s="364"/>
      <c r="O263" s="364"/>
      <c r="P263" s="364"/>
      <c r="Q263" s="364"/>
      <c r="R263" s="364"/>
      <c r="S263" s="364"/>
      <c r="T263" s="364"/>
      <c r="U263" s="364"/>
      <c r="V263" s="364"/>
      <c r="W263" s="364"/>
      <c r="X263" s="364"/>
      <c r="Y263" s="364"/>
      <c r="Z263" s="364"/>
      <c r="AA263" s="364"/>
      <c r="AB263" s="364"/>
    </row>
    <row r="264" spans="1:28" ht="15.75">
      <c r="A264" s="449"/>
      <c r="B264" s="449"/>
      <c r="C264" s="449"/>
      <c r="D264" s="364"/>
      <c r="E264" s="364"/>
      <c r="F264" s="364"/>
      <c r="G264" s="364"/>
      <c r="H264" s="364"/>
      <c r="I264" s="364"/>
      <c r="J264" s="364"/>
      <c r="K264" s="364"/>
      <c r="L264" s="364"/>
      <c r="M264" s="364"/>
      <c r="N264" s="364"/>
      <c r="O264" s="364"/>
      <c r="P264" s="364"/>
      <c r="Q264" s="364"/>
      <c r="R264" s="364"/>
      <c r="S264" s="364"/>
      <c r="T264" s="364"/>
      <c r="U264" s="364"/>
      <c r="V264" s="364"/>
      <c r="W264" s="364"/>
      <c r="X264" s="364"/>
      <c r="Y264" s="364"/>
      <c r="Z264" s="364"/>
      <c r="AA264" s="364"/>
      <c r="AB264" s="364"/>
    </row>
    <row r="265" spans="1:28" ht="15.75">
      <c r="A265" s="449"/>
      <c r="B265" s="449"/>
      <c r="C265" s="449"/>
      <c r="D265" s="364"/>
      <c r="E265" s="364"/>
      <c r="F265" s="364"/>
      <c r="G265" s="364"/>
      <c r="H265" s="364"/>
      <c r="I265" s="364"/>
      <c r="J265" s="364"/>
      <c r="K265" s="364"/>
      <c r="L265" s="364"/>
      <c r="M265" s="364"/>
      <c r="N265" s="364"/>
      <c r="O265" s="364"/>
      <c r="P265" s="364"/>
      <c r="Q265" s="364"/>
      <c r="R265" s="364"/>
      <c r="S265" s="364"/>
      <c r="T265" s="364"/>
      <c r="U265" s="364"/>
      <c r="V265" s="364"/>
      <c r="W265" s="364"/>
      <c r="X265" s="364"/>
      <c r="Y265" s="364"/>
      <c r="Z265" s="364"/>
      <c r="AA265" s="364"/>
      <c r="AB265" s="364"/>
    </row>
    <row r="266" spans="1:28" ht="15.75">
      <c r="A266" s="449"/>
      <c r="B266" s="449"/>
      <c r="C266" s="449"/>
      <c r="D266" s="364"/>
      <c r="E266" s="364"/>
      <c r="F266" s="364"/>
      <c r="G266" s="364"/>
      <c r="H266" s="364"/>
      <c r="I266" s="364"/>
      <c r="J266" s="364"/>
      <c r="K266" s="364"/>
      <c r="L266" s="364"/>
      <c r="M266" s="364"/>
      <c r="N266" s="364"/>
      <c r="O266" s="364"/>
      <c r="P266" s="364"/>
      <c r="Q266" s="364"/>
      <c r="R266" s="364"/>
      <c r="S266" s="364"/>
      <c r="T266" s="364"/>
      <c r="U266" s="364"/>
      <c r="V266" s="364"/>
      <c r="W266" s="364"/>
      <c r="X266" s="364"/>
      <c r="Y266" s="364"/>
      <c r="Z266" s="364"/>
      <c r="AA266" s="364"/>
      <c r="AB266" s="364"/>
    </row>
    <row r="267" spans="1:28" ht="15.75">
      <c r="A267" s="449"/>
      <c r="B267" s="449"/>
      <c r="C267" s="449"/>
      <c r="D267" s="364"/>
      <c r="E267" s="364"/>
      <c r="F267" s="364"/>
      <c r="G267" s="364"/>
      <c r="H267" s="364"/>
      <c r="I267" s="364"/>
      <c r="J267" s="364"/>
      <c r="K267" s="364"/>
      <c r="L267" s="364"/>
      <c r="M267" s="364"/>
      <c r="N267" s="364"/>
      <c r="O267" s="364"/>
      <c r="P267" s="364"/>
      <c r="Q267" s="364"/>
      <c r="R267" s="364"/>
      <c r="S267" s="364"/>
      <c r="T267" s="364"/>
      <c r="U267" s="364"/>
      <c r="V267" s="364"/>
      <c r="W267" s="364"/>
      <c r="X267" s="364"/>
      <c r="Y267" s="364"/>
      <c r="Z267" s="364"/>
      <c r="AA267" s="364"/>
      <c r="AB267" s="364"/>
    </row>
    <row r="268" spans="1:28" ht="15.75">
      <c r="A268" s="449"/>
      <c r="B268" s="449"/>
      <c r="C268" s="449"/>
      <c r="D268" s="364"/>
      <c r="E268" s="364"/>
      <c r="F268" s="364"/>
      <c r="G268" s="364"/>
      <c r="H268" s="364"/>
      <c r="I268" s="364"/>
      <c r="J268" s="364"/>
      <c r="K268" s="364"/>
      <c r="L268" s="364"/>
      <c r="M268" s="364"/>
      <c r="N268" s="364"/>
      <c r="O268" s="364"/>
      <c r="P268" s="364"/>
      <c r="Q268" s="364"/>
      <c r="R268" s="364"/>
      <c r="S268" s="364"/>
      <c r="T268" s="364"/>
      <c r="U268" s="364"/>
      <c r="V268" s="364"/>
      <c r="W268" s="364"/>
      <c r="X268" s="364"/>
      <c r="Y268" s="364"/>
      <c r="Z268" s="364"/>
      <c r="AA268" s="364"/>
      <c r="AB268" s="364"/>
    </row>
    <row r="269" spans="1:28" ht="15.75">
      <c r="A269" s="449"/>
      <c r="B269" s="449"/>
      <c r="C269" s="449"/>
      <c r="D269" s="364"/>
      <c r="E269" s="364"/>
      <c r="F269" s="364"/>
      <c r="G269" s="364"/>
      <c r="H269" s="364"/>
      <c r="I269" s="364"/>
      <c r="J269" s="364"/>
      <c r="K269" s="364"/>
      <c r="L269" s="364"/>
      <c r="M269" s="364"/>
      <c r="N269" s="364"/>
      <c r="O269" s="364"/>
      <c r="P269" s="364"/>
      <c r="Q269" s="364"/>
      <c r="R269" s="364"/>
      <c r="S269" s="364"/>
      <c r="T269" s="364"/>
      <c r="U269" s="364"/>
      <c r="V269" s="364"/>
      <c r="W269" s="364"/>
      <c r="X269" s="364"/>
      <c r="Y269" s="364"/>
      <c r="Z269" s="364"/>
      <c r="AA269" s="364"/>
      <c r="AB269" s="364"/>
    </row>
    <row r="270" spans="1:28" ht="15.75">
      <c r="A270" s="449"/>
      <c r="B270" s="449"/>
      <c r="C270" s="449"/>
      <c r="D270" s="364"/>
      <c r="E270" s="364"/>
      <c r="F270" s="364"/>
      <c r="G270" s="364"/>
      <c r="H270" s="364"/>
      <c r="I270" s="364"/>
      <c r="J270" s="364"/>
      <c r="K270" s="364"/>
      <c r="L270" s="364"/>
      <c r="M270" s="364"/>
      <c r="N270" s="364"/>
      <c r="O270" s="364"/>
      <c r="P270" s="364"/>
      <c r="Q270" s="364"/>
      <c r="R270" s="364"/>
      <c r="S270" s="364"/>
      <c r="T270" s="364"/>
      <c r="U270" s="364"/>
      <c r="V270" s="364"/>
      <c r="W270" s="364"/>
      <c r="X270" s="364"/>
      <c r="Y270" s="364"/>
      <c r="Z270" s="364"/>
      <c r="AA270" s="364"/>
      <c r="AB270" s="364"/>
    </row>
    <row r="271" spans="1:28" ht="15.75">
      <c r="A271" s="449"/>
      <c r="B271" s="449"/>
      <c r="C271" s="449"/>
      <c r="D271" s="364"/>
      <c r="E271" s="364"/>
      <c r="F271" s="364"/>
      <c r="G271" s="364"/>
      <c r="H271" s="364"/>
      <c r="I271" s="364"/>
      <c r="J271" s="364"/>
      <c r="K271" s="364"/>
      <c r="L271" s="364"/>
      <c r="M271" s="364"/>
      <c r="N271" s="364"/>
      <c r="O271" s="364"/>
      <c r="P271" s="364"/>
      <c r="Q271" s="364"/>
      <c r="R271" s="364"/>
      <c r="S271" s="364"/>
      <c r="T271" s="364"/>
      <c r="U271" s="364"/>
      <c r="V271" s="364"/>
      <c r="W271" s="364"/>
      <c r="X271" s="364"/>
      <c r="Y271" s="364"/>
      <c r="Z271" s="364"/>
      <c r="AA271" s="364"/>
      <c r="AB271" s="364"/>
    </row>
    <row r="272" spans="1:28" ht="15.75">
      <c r="A272" s="449"/>
      <c r="B272" s="449"/>
      <c r="C272" s="449"/>
      <c r="D272" s="364"/>
      <c r="E272" s="364"/>
      <c r="F272" s="364"/>
      <c r="G272" s="364"/>
      <c r="H272" s="364"/>
      <c r="I272" s="364"/>
      <c r="J272" s="364"/>
      <c r="K272" s="364"/>
      <c r="L272" s="364"/>
      <c r="M272" s="364"/>
      <c r="N272" s="364"/>
      <c r="O272" s="364"/>
      <c r="P272" s="364"/>
      <c r="Q272" s="364"/>
      <c r="R272" s="364"/>
      <c r="S272" s="364"/>
      <c r="T272" s="364"/>
      <c r="U272" s="364"/>
      <c r="V272" s="364"/>
      <c r="W272" s="364"/>
      <c r="X272" s="364"/>
      <c r="Y272" s="364"/>
      <c r="Z272" s="364"/>
      <c r="AA272" s="364"/>
      <c r="AB272" s="364"/>
    </row>
    <row r="273" spans="1:28" ht="15.75">
      <c r="A273" s="449"/>
      <c r="B273" s="449"/>
      <c r="C273" s="449"/>
      <c r="D273" s="364"/>
      <c r="E273" s="364"/>
      <c r="F273" s="364"/>
      <c r="G273" s="364"/>
      <c r="H273" s="364"/>
      <c r="I273" s="364"/>
      <c r="J273" s="364"/>
      <c r="K273" s="364"/>
      <c r="L273" s="364"/>
      <c r="M273" s="364"/>
      <c r="N273" s="364"/>
      <c r="O273" s="364"/>
      <c r="P273" s="364"/>
      <c r="Q273" s="364"/>
      <c r="R273" s="364"/>
      <c r="S273" s="364"/>
      <c r="T273" s="364"/>
      <c r="U273" s="364"/>
      <c r="V273" s="364"/>
      <c r="W273" s="364"/>
      <c r="X273" s="364"/>
      <c r="Y273" s="364"/>
      <c r="Z273" s="364"/>
      <c r="AA273" s="364"/>
      <c r="AB273" s="364"/>
    </row>
    <row r="274" spans="1:28" ht="15.75">
      <c r="A274" s="449"/>
      <c r="B274" s="449"/>
      <c r="C274" s="449"/>
      <c r="D274" s="364"/>
      <c r="E274" s="364"/>
      <c r="F274" s="364"/>
      <c r="G274" s="364"/>
      <c r="H274" s="364"/>
      <c r="I274" s="364"/>
      <c r="J274" s="364"/>
      <c r="K274" s="364"/>
      <c r="L274" s="364"/>
      <c r="M274" s="364"/>
      <c r="N274" s="364"/>
      <c r="O274" s="364"/>
      <c r="P274" s="364"/>
      <c r="Q274" s="364"/>
      <c r="R274" s="364"/>
      <c r="S274" s="364"/>
      <c r="T274" s="364"/>
      <c r="U274" s="364"/>
      <c r="V274" s="364"/>
      <c r="W274" s="364"/>
      <c r="X274" s="364"/>
      <c r="Y274" s="364"/>
      <c r="Z274" s="364"/>
      <c r="AA274" s="364"/>
      <c r="AB274" s="364"/>
    </row>
    <row r="275" spans="1:28" ht="15.75">
      <c r="A275" s="449"/>
      <c r="B275" s="449"/>
      <c r="C275" s="449"/>
      <c r="D275" s="364"/>
      <c r="E275" s="364"/>
      <c r="F275" s="364"/>
      <c r="G275" s="364"/>
      <c r="H275" s="364"/>
      <c r="I275" s="364"/>
      <c r="J275" s="364"/>
      <c r="K275" s="364"/>
      <c r="L275" s="364"/>
      <c r="M275" s="364"/>
      <c r="N275" s="364"/>
      <c r="O275" s="364"/>
      <c r="P275" s="364"/>
      <c r="Q275" s="364"/>
      <c r="R275" s="364"/>
      <c r="S275" s="364"/>
      <c r="T275" s="364"/>
      <c r="U275" s="364"/>
      <c r="V275" s="364"/>
      <c r="W275" s="364"/>
      <c r="X275" s="364"/>
      <c r="Y275" s="364"/>
      <c r="Z275" s="364"/>
      <c r="AA275" s="364"/>
      <c r="AB275" s="364"/>
    </row>
    <row r="276" spans="1:28" ht="15.75">
      <c r="A276" s="449"/>
      <c r="B276" s="449"/>
      <c r="C276" s="449"/>
      <c r="D276" s="364"/>
      <c r="E276" s="364"/>
      <c r="F276" s="364"/>
      <c r="G276" s="364"/>
      <c r="H276" s="364"/>
      <c r="I276" s="364"/>
      <c r="J276" s="364"/>
      <c r="K276" s="364"/>
      <c r="L276" s="364"/>
      <c r="M276" s="364"/>
      <c r="N276" s="364"/>
      <c r="O276" s="364"/>
      <c r="P276" s="364"/>
      <c r="Q276" s="364"/>
      <c r="R276" s="364"/>
      <c r="S276" s="364"/>
      <c r="T276" s="364"/>
      <c r="U276" s="364"/>
      <c r="V276" s="364"/>
      <c r="W276" s="364"/>
      <c r="X276" s="364"/>
      <c r="Y276" s="364"/>
      <c r="Z276" s="364"/>
      <c r="AA276" s="364"/>
      <c r="AB276" s="364"/>
    </row>
    <row r="277" spans="1:28" ht="15.75">
      <c r="A277" s="449"/>
      <c r="B277" s="449"/>
      <c r="C277" s="449"/>
      <c r="D277" s="364"/>
      <c r="E277" s="364"/>
      <c r="F277" s="364"/>
      <c r="G277" s="364"/>
      <c r="H277" s="364"/>
      <c r="I277" s="364"/>
      <c r="J277" s="364"/>
      <c r="K277" s="364"/>
      <c r="L277" s="364"/>
      <c r="M277" s="364"/>
      <c r="N277" s="364"/>
      <c r="O277" s="364"/>
      <c r="P277" s="364"/>
      <c r="Q277" s="364"/>
      <c r="R277" s="364"/>
      <c r="S277" s="364"/>
      <c r="T277" s="364"/>
      <c r="U277" s="364"/>
      <c r="V277" s="364"/>
      <c r="W277" s="364"/>
      <c r="X277" s="364"/>
      <c r="Y277" s="364"/>
      <c r="Z277" s="364"/>
      <c r="AA277" s="364"/>
      <c r="AB277" s="364"/>
    </row>
    <row r="278" spans="1:28" ht="15.75">
      <c r="A278" s="449"/>
      <c r="B278" s="449"/>
      <c r="C278" s="449"/>
      <c r="D278" s="364"/>
      <c r="E278" s="364"/>
      <c r="F278" s="364"/>
      <c r="G278" s="364"/>
      <c r="H278" s="364"/>
      <c r="I278" s="364"/>
      <c r="J278" s="364"/>
      <c r="K278" s="364"/>
      <c r="L278" s="364"/>
      <c r="M278" s="364"/>
      <c r="N278" s="364"/>
      <c r="O278" s="364"/>
      <c r="P278" s="364"/>
      <c r="Q278" s="364"/>
      <c r="R278" s="364"/>
      <c r="S278" s="364"/>
      <c r="T278" s="364"/>
      <c r="U278" s="364"/>
      <c r="V278" s="364"/>
      <c r="W278" s="364"/>
      <c r="X278" s="364"/>
      <c r="Y278" s="364"/>
      <c r="Z278" s="364"/>
      <c r="AA278" s="364"/>
      <c r="AB278" s="364"/>
    </row>
    <row r="279" spans="1:28" ht="15.75">
      <c r="A279" s="449"/>
      <c r="B279" s="449"/>
      <c r="C279" s="449"/>
      <c r="D279" s="364"/>
      <c r="E279" s="364"/>
      <c r="F279" s="364"/>
      <c r="G279" s="364"/>
      <c r="H279" s="364"/>
      <c r="I279" s="364"/>
      <c r="J279" s="364"/>
      <c r="K279" s="364"/>
      <c r="L279" s="364"/>
      <c r="M279" s="364"/>
      <c r="N279" s="364"/>
      <c r="O279" s="364"/>
      <c r="P279" s="364"/>
      <c r="Q279" s="364"/>
      <c r="R279" s="364"/>
      <c r="S279" s="364"/>
      <c r="T279" s="364"/>
      <c r="U279" s="364"/>
      <c r="V279" s="364"/>
      <c r="W279" s="364"/>
      <c r="X279" s="364"/>
      <c r="Y279" s="364"/>
      <c r="Z279" s="364"/>
      <c r="AA279" s="364"/>
      <c r="AB279" s="364"/>
    </row>
    <row r="280" spans="1:28" ht="15.75">
      <c r="A280" s="449"/>
      <c r="B280" s="449"/>
      <c r="C280" s="449"/>
      <c r="D280" s="364"/>
      <c r="E280" s="364"/>
      <c r="F280" s="364"/>
      <c r="G280" s="364"/>
      <c r="H280" s="364"/>
      <c r="I280" s="364"/>
      <c r="J280" s="364"/>
      <c r="K280" s="364"/>
      <c r="L280" s="364"/>
      <c r="M280" s="364"/>
      <c r="N280" s="364"/>
      <c r="O280" s="364"/>
      <c r="P280" s="364"/>
      <c r="Q280" s="364"/>
      <c r="R280" s="364"/>
      <c r="S280" s="364"/>
      <c r="T280" s="364"/>
      <c r="U280" s="364"/>
      <c r="V280" s="364"/>
      <c r="W280" s="364"/>
      <c r="X280" s="364"/>
      <c r="Y280" s="364"/>
      <c r="Z280" s="364"/>
      <c r="AA280" s="364"/>
      <c r="AB280" s="364"/>
    </row>
    <row r="281" spans="1:28" ht="15.75">
      <c r="A281" s="449"/>
      <c r="B281" s="449"/>
      <c r="C281" s="449"/>
      <c r="D281" s="364"/>
      <c r="E281" s="364"/>
      <c r="F281" s="364"/>
      <c r="G281" s="364"/>
      <c r="H281" s="364"/>
      <c r="I281" s="364"/>
      <c r="J281" s="364"/>
      <c r="K281" s="364"/>
      <c r="L281" s="364"/>
      <c r="M281" s="364"/>
      <c r="N281" s="364"/>
      <c r="O281" s="364"/>
      <c r="P281" s="364"/>
      <c r="Q281" s="364"/>
      <c r="R281" s="364"/>
      <c r="S281" s="364"/>
      <c r="T281" s="364"/>
      <c r="U281" s="364"/>
      <c r="V281" s="364"/>
      <c r="W281" s="364"/>
      <c r="X281" s="364"/>
      <c r="Y281" s="364"/>
      <c r="Z281" s="364"/>
      <c r="AA281" s="364"/>
      <c r="AB281" s="364"/>
    </row>
    <row r="282" spans="1:28" ht="15.75">
      <c r="A282" s="449"/>
      <c r="B282" s="449"/>
      <c r="C282" s="449"/>
      <c r="D282" s="364"/>
      <c r="E282" s="364"/>
      <c r="F282" s="364"/>
      <c r="G282" s="364"/>
      <c r="H282" s="364"/>
      <c r="I282" s="364"/>
      <c r="J282" s="364"/>
      <c r="K282" s="364"/>
      <c r="L282" s="364"/>
      <c r="M282" s="364"/>
      <c r="N282" s="364"/>
      <c r="O282" s="364"/>
      <c r="P282" s="364"/>
      <c r="Q282" s="364"/>
      <c r="R282" s="364"/>
      <c r="S282" s="364"/>
      <c r="T282" s="364"/>
      <c r="U282" s="364"/>
      <c r="V282" s="364"/>
      <c r="W282" s="364"/>
      <c r="X282" s="364"/>
      <c r="Y282" s="364"/>
      <c r="Z282" s="364"/>
      <c r="AA282" s="364"/>
      <c r="AB282" s="364"/>
    </row>
    <row r="283" spans="1:28" ht="15.75">
      <c r="A283" s="449"/>
      <c r="B283" s="449"/>
      <c r="C283" s="449"/>
      <c r="D283" s="364"/>
      <c r="E283" s="364"/>
      <c r="F283" s="364"/>
      <c r="G283" s="364"/>
      <c r="H283" s="364"/>
      <c r="I283" s="364"/>
      <c r="J283" s="364"/>
      <c r="K283" s="364"/>
      <c r="L283" s="364"/>
      <c r="M283" s="364"/>
      <c r="N283" s="364"/>
      <c r="O283" s="364"/>
      <c r="P283" s="364"/>
      <c r="Q283" s="364"/>
      <c r="R283" s="364"/>
      <c r="S283" s="364"/>
      <c r="T283" s="364"/>
      <c r="U283" s="364"/>
      <c r="V283" s="364"/>
      <c r="W283" s="364"/>
      <c r="X283" s="364"/>
      <c r="Y283" s="364"/>
      <c r="Z283" s="364"/>
      <c r="AA283" s="364"/>
      <c r="AB283" s="364"/>
    </row>
    <row r="284" spans="1:28" ht="15.75">
      <c r="A284" s="449"/>
      <c r="B284" s="449"/>
      <c r="C284" s="449"/>
      <c r="D284" s="364"/>
      <c r="E284" s="364"/>
      <c r="F284" s="364"/>
      <c r="G284" s="364"/>
      <c r="H284" s="364"/>
      <c r="I284" s="364"/>
      <c r="J284" s="364"/>
      <c r="K284" s="364"/>
      <c r="L284" s="364"/>
      <c r="M284" s="364"/>
      <c r="N284" s="364"/>
      <c r="O284" s="364"/>
      <c r="P284" s="364"/>
      <c r="Q284" s="364"/>
      <c r="R284" s="364"/>
      <c r="S284" s="364"/>
      <c r="T284" s="364"/>
      <c r="U284" s="364"/>
      <c r="V284" s="364"/>
      <c r="W284" s="364"/>
      <c r="X284" s="364"/>
      <c r="Y284" s="364"/>
      <c r="Z284" s="364"/>
      <c r="AA284" s="364"/>
      <c r="AB284" s="364"/>
    </row>
    <row r="285" spans="1:28" ht="15.75">
      <c r="A285" s="449"/>
      <c r="B285" s="449"/>
      <c r="C285" s="449"/>
      <c r="D285" s="364"/>
      <c r="E285" s="364"/>
      <c r="F285" s="364"/>
      <c r="G285" s="364"/>
      <c r="H285" s="364"/>
      <c r="I285" s="364"/>
      <c r="J285" s="364"/>
      <c r="K285" s="364"/>
      <c r="L285" s="364"/>
      <c r="M285" s="364"/>
      <c r="N285" s="364"/>
      <c r="O285" s="364"/>
      <c r="P285" s="364"/>
      <c r="Q285" s="364"/>
      <c r="R285" s="364"/>
      <c r="S285" s="364"/>
      <c r="T285" s="364"/>
      <c r="U285" s="364"/>
      <c r="V285" s="364"/>
      <c r="W285" s="364"/>
      <c r="X285" s="364"/>
      <c r="Y285" s="364"/>
      <c r="Z285" s="364"/>
      <c r="AA285" s="364"/>
      <c r="AB285" s="364"/>
    </row>
    <row r="286" spans="1:28" ht="15.75">
      <c r="A286" s="449"/>
      <c r="B286" s="449"/>
      <c r="C286" s="449"/>
      <c r="D286" s="364"/>
      <c r="E286" s="364"/>
      <c r="F286" s="364"/>
      <c r="G286" s="364"/>
      <c r="H286" s="364"/>
      <c r="I286" s="364"/>
      <c r="J286" s="364"/>
      <c r="K286" s="364"/>
      <c r="L286" s="364"/>
      <c r="M286" s="364"/>
      <c r="N286" s="364"/>
      <c r="O286" s="364"/>
      <c r="P286" s="364"/>
      <c r="Q286" s="364"/>
      <c r="R286" s="364"/>
      <c r="S286" s="364"/>
      <c r="T286" s="364"/>
      <c r="U286" s="364"/>
      <c r="V286" s="364"/>
      <c r="W286" s="364"/>
      <c r="X286" s="364"/>
      <c r="Y286" s="364"/>
      <c r="Z286" s="364"/>
      <c r="AA286" s="364"/>
      <c r="AB286" s="364"/>
    </row>
    <row r="287" spans="1:28" ht="15.75">
      <c r="A287" s="449"/>
      <c r="B287" s="449"/>
      <c r="C287" s="449"/>
      <c r="D287" s="364"/>
      <c r="E287" s="364"/>
      <c r="F287" s="364"/>
      <c r="G287" s="364"/>
      <c r="H287" s="364"/>
      <c r="I287" s="364"/>
      <c r="J287" s="364"/>
      <c r="K287" s="364"/>
      <c r="L287" s="364"/>
      <c r="M287" s="364"/>
      <c r="N287" s="364"/>
      <c r="O287" s="364"/>
      <c r="P287" s="364"/>
      <c r="Q287" s="364"/>
      <c r="R287" s="364"/>
      <c r="S287" s="364"/>
      <c r="T287" s="364"/>
      <c r="U287" s="364"/>
      <c r="V287" s="364"/>
      <c r="W287" s="364"/>
      <c r="X287" s="364"/>
      <c r="Y287" s="364"/>
      <c r="Z287" s="364"/>
      <c r="AA287" s="364"/>
      <c r="AB287" s="364"/>
    </row>
    <row r="288" spans="1:28" ht="15.75">
      <c r="A288" s="449"/>
      <c r="B288" s="449"/>
      <c r="C288" s="449"/>
      <c r="D288" s="364"/>
      <c r="E288" s="364"/>
      <c r="F288" s="364"/>
      <c r="G288" s="364"/>
      <c r="H288" s="364"/>
      <c r="I288" s="364"/>
      <c r="J288" s="364"/>
      <c r="K288" s="364"/>
      <c r="L288" s="364"/>
      <c r="M288" s="364"/>
      <c r="N288" s="364"/>
      <c r="O288" s="364"/>
      <c r="P288" s="364"/>
      <c r="Q288" s="364"/>
      <c r="R288" s="364"/>
      <c r="S288" s="364"/>
      <c r="T288" s="364"/>
      <c r="U288" s="364"/>
      <c r="V288" s="364"/>
      <c r="W288" s="364"/>
      <c r="X288" s="364"/>
      <c r="Y288" s="364"/>
      <c r="Z288" s="364"/>
      <c r="AA288" s="364"/>
      <c r="AB288" s="364"/>
    </row>
    <row r="289" spans="1:28" ht="15.75">
      <c r="A289" s="449"/>
      <c r="B289" s="449"/>
      <c r="C289" s="449"/>
      <c r="D289" s="364"/>
      <c r="E289" s="364"/>
      <c r="F289" s="364"/>
      <c r="G289" s="364"/>
      <c r="H289" s="364"/>
      <c r="I289" s="364"/>
      <c r="J289" s="364"/>
      <c r="K289" s="364"/>
      <c r="L289" s="364"/>
      <c r="M289" s="364"/>
      <c r="N289" s="364"/>
      <c r="O289" s="364"/>
      <c r="P289" s="364"/>
      <c r="Q289" s="364"/>
      <c r="R289" s="364"/>
      <c r="S289" s="364"/>
      <c r="T289" s="364"/>
      <c r="U289" s="364"/>
      <c r="V289" s="364"/>
      <c r="W289" s="364"/>
      <c r="X289" s="364"/>
      <c r="Y289" s="364"/>
      <c r="Z289" s="364"/>
      <c r="AA289" s="364"/>
      <c r="AB289" s="364"/>
    </row>
    <row r="290" spans="1:28" ht="15.75">
      <c r="A290" s="449"/>
      <c r="B290" s="449"/>
      <c r="C290" s="449"/>
      <c r="D290" s="364"/>
      <c r="E290" s="364"/>
      <c r="F290" s="364"/>
      <c r="G290" s="364"/>
      <c r="H290" s="364"/>
      <c r="I290" s="364"/>
      <c r="J290" s="364"/>
      <c r="K290" s="364"/>
      <c r="L290" s="364"/>
      <c r="M290" s="364"/>
      <c r="N290" s="364"/>
      <c r="O290" s="364"/>
      <c r="P290" s="364"/>
      <c r="Q290" s="364"/>
      <c r="R290" s="364"/>
      <c r="S290" s="364"/>
      <c r="T290" s="364"/>
      <c r="U290" s="364"/>
      <c r="V290" s="364"/>
      <c r="W290" s="364"/>
      <c r="X290" s="364"/>
      <c r="Y290" s="364"/>
      <c r="Z290" s="364"/>
      <c r="AA290" s="364"/>
      <c r="AB290" s="364"/>
    </row>
    <row r="291" spans="1:28" ht="15.75">
      <c r="A291" s="449"/>
      <c r="B291" s="449"/>
      <c r="C291" s="449"/>
      <c r="D291" s="364"/>
      <c r="E291" s="364"/>
      <c r="F291" s="364"/>
      <c r="G291" s="364"/>
      <c r="H291" s="364"/>
      <c r="I291" s="364"/>
      <c r="J291" s="364"/>
      <c r="K291" s="364"/>
      <c r="L291" s="364"/>
      <c r="M291" s="364"/>
      <c r="N291" s="364"/>
      <c r="O291" s="364"/>
      <c r="P291" s="364"/>
      <c r="Q291" s="364"/>
      <c r="R291" s="364"/>
      <c r="S291" s="364"/>
      <c r="T291" s="364"/>
      <c r="U291" s="364"/>
      <c r="V291" s="364"/>
      <c r="W291" s="364"/>
      <c r="X291" s="364"/>
      <c r="Y291" s="364"/>
      <c r="Z291" s="364"/>
      <c r="AA291" s="364"/>
      <c r="AB291" s="364"/>
    </row>
    <row r="292" spans="1:28" ht="15.75">
      <c r="A292" s="449"/>
      <c r="B292" s="449"/>
      <c r="C292" s="449"/>
      <c r="D292" s="364"/>
      <c r="E292" s="364"/>
      <c r="F292" s="364"/>
      <c r="G292" s="364"/>
      <c r="H292" s="364"/>
      <c r="I292" s="364"/>
      <c r="J292" s="364"/>
      <c r="K292" s="364"/>
      <c r="L292" s="364"/>
      <c r="M292" s="364"/>
      <c r="N292" s="364"/>
      <c r="O292" s="364"/>
      <c r="P292" s="364"/>
      <c r="Q292" s="364"/>
      <c r="R292" s="364"/>
      <c r="S292" s="364"/>
      <c r="T292" s="364"/>
      <c r="U292" s="364"/>
      <c r="V292" s="364"/>
      <c r="W292" s="364"/>
      <c r="X292" s="364"/>
      <c r="Y292" s="364"/>
      <c r="Z292" s="364"/>
      <c r="AA292" s="364"/>
      <c r="AB292" s="364"/>
    </row>
    <row r="293" spans="1:28" ht="15.75">
      <c r="A293" s="449"/>
      <c r="B293" s="449"/>
      <c r="C293" s="449"/>
      <c r="D293" s="364"/>
      <c r="E293" s="364"/>
      <c r="F293" s="364"/>
      <c r="G293" s="364"/>
      <c r="H293" s="364"/>
      <c r="I293" s="364"/>
      <c r="J293" s="364"/>
      <c r="K293" s="364"/>
      <c r="L293" s="364"/>
      <c r="M293" s="364"/>
      <c r="N293" s="364"/>
      <c r="O293" s="364"/>
      <c r="P293" s="364"/>
      <c r="Q293" s="364"/>
      <c r="R293" s="364"/>
      <c r="S293" s="364"/>
      <c r="T293" s="364"/>
      <c r="U293" s="364"/>
      <c r="V293" s="364"/>
      <c r="W293" s="364"/>
      <c r="X293" s="364"/>
      <c r="Y293" s="364"/>
      <c r="Z293" s="364"/>
      <c r="AA293" s="364"/>
      <c r="AB293" s="364"/>
    </row>
    <row r="294" spans="1:28" ht="15.75">
      <c r="A294" s="449"/>
      <c r="B294" s="449"/>
      <c r="C294" s="449"/>
      <c r="D294" s="364"/>
      <c r="E294" s="364"/>
      <c r="F294" s="364"/>
      <c r="G294" s="364"/>
      <c r="H294" s="364"/>
      <c r="I294" s="364"/>
      <c r="J294" s="364"/>
      <c r="K294" s="364"/>
      <c r="L294" s="364"/>
      <c r="M294" s="364"/>
      <c r="N294" s="364"/>
      <c r="O294" s="364"/>
      <c r="P294" s="364"/>
      <c r="Q294" s="364"/>
      <c r="R294" s="364"/>
      <c r="S294" s="364"/>
      <c r="T294" s="364"/>
      <c r="U294" s="364"/>
      <c r="V294" s="364"/>
      <c r="W294" s="364"/>
      <c r="X294" s="364"/>
      <c r="Y294" s="364"/>
      <c r="Z294" s="364"/>
      <c r="AA294" s="364"/>
      <c r="AB294" s="364"/>
    </row>
    <row r="295" spans="1:28" ht="15.75">
      <c r="A295" s="449"/>
      <c r="B295" s="449"/>
      <c r="C295" s="449"/>
      <c r="D295" s="364"/>
      <c r="E295" s="364"/>
      <c r="F295" s="364"/>
      <c r="G295" s="364"/>
      <c r="H295" s="364"/>
      <c r="I295" s="364"/>
      <c r="J295" s="364"/>
      <c r="K295" s="364"/>
      <c r="L295" s="364"/>
      <c r="M295" s="364"/>
      <c r="N295" s="364"/>
      <c r="O295" s="364"/>
      <c r="P295" s="364"/>
      <c r="Q295" s="364"/>
      <c r="R295" s="364"/>
      <c r="S295" s="364"/>
      <c r="T295" s="364"/>
      <c r="U295" s="364"/>
      <c r="V295" s="364"/>
      <c r="W295" s="364"/>
      <c r="X295" s="364"/>
      <c r="Y295" s="364"/>
      <c r="Z295" s="364"/>
      <c r="AA295" s="364"/>
      <c r="AB295" s="364"/>
    </row>
    <row r="296" spans="1:28" ht="15.75">
      <c r="A296" s="449"/>
      <c r="B296" s="449"/>
      <c r="C296" s="449"/>
      <c r="D296" s="364"/>
      <c r="E296" s="364"/>
      <c r="F296" s="364"/>
      <c r="G296" s="364"/>
      <c r="H296" s="364"/>
      <c r="I296" s="364"/>
      <c r="J296" s="364"/>
      <c r="K296" s="364"/>
      <c r="L296" s="364"/>
      <c r="M296" s="364"/>
      <c r="N296" s="364"/>
      <c r="O296" s="364"/>
      <c r="P296" s="364"/>
      <c r="Q296" s="364"/>
      <c r="R296" s="364"/>
      <c r="S296" s="364"/>
      <c r="T296" s="364"/>
      <c r="U296" s="364"/>
      <c r="V296" s="364"/>
      <c r="W296" s="364"/>
      <c r="X296" s="364"/>
      <c r="Y296" s="364"/>
      <c r="Z296" s="364"/>
      <c r="AA296" s="364"/>
      <c r="AB296" s="364"/>
    </row>
    <row r="297" spans="1:28" ht="15.75">
      <c r="A297" s="449"/>
      <c r="B297" s="449"/>
      <c r="C297" s="449"/>
      <c r="D297" s="364"/>
      <c r="E297" s="364"/>
      <c r="F297" s="364"/>
      <c r="G297" s="364"/>
      <c r="H297" s="364"/>
      <c r="I297" s="364"/>
      <c r="J297" s="364"/>
      <c r="K297" s="364"/>
      <c r="L297" s="364"/>
      <c r="M297" s="364"/>
      <c r="N297" s="364"/>
      <c r="O297" s="364"/>
      <c r="P297" s="364"/>
      <c r="Q297" s="364"/>
      <c r="R297" s="364"/>
      <c r="S297" s="364"/>
      <c r="T297" s="364"/>
      <c r="U297" s="364"/>
      <c r="V297" s="364"/>
      <c r="W297" s="364"/>
      <c r="X297" s="364"/>
      <c r="Y297" s="364"/>
      <c r="Z297" s="364"/>
      <c r="AA297" s="364"/>
      <c r="AB297" s="364"/>
    </row>
    <row r="298" spans="1:28" ht="15.75">
      <c r="A298" s="449"/>
      <c r="B298" s="449"/>
      <c r="C298" s="449"/>
      <c r="D298" s="364"/>
      <c r="E298" s="364"/>
      <c r="F298" s="364"/>
      <c r="G298" s="364"/>
      <c r="H298" s="364"/>
      <c r="I298" s="364"/>
      <c r="J298" s="364"/>
      <c r="K298" s="364"/>
      <c r="L298" s="364"/>
      <c r="M298" s="364"/>
      <c r="N298" s="364"/>
      <c r="O298" s="364"/>
      <c r="P298" s="364"/>
      <c r="Q298" s="364"/>
      <c r="R298" s="364"/>
      <c r="S298" s="364"/>
      <c r="T298" s="364"/>
      <c r="U298" s="364"/>
      <c r="V298" s="364"/>
      <c r="W298" s="364"/>
      <c r="X298" s="364"/>
      <c r="Y298" s="364"/>
      <c r="Z298" s="364"/>
      <c r="AA298" s="364"/>
      <c r="AB298" s="364"/>
    </row>
    <row r="299" spans="1:28" ht="15.75">
      <c r="A299" s="449"/>
      <c r="B299" s="449"/>
      <c r="C299" s="449"/>
      <c r="D299" s="364"/>
      <c r="E299" s="364"/>
      <c r="F299" s="364"/>
      <c r="G299" s="364"/>
      <c r="H299" s="364"/>
      <c r="I299" s="364"/>
      <c r="J299" s="364"/>
      <c r="K299" s="364"/>
      <c r="L299" s="364"/>
      <c r="M299" s="364"/>
      <c r="N299" s="364"/>
      <c r="O299" s="364"/>
      <c r="P299" s="364"/>
      <c r="Q299" s="364"/>
      <c r="R299" s="364"/>
      <c r="S299" s="364"/>
      <c r="T299" s="364"/>
      <c r="U299" s="364"/>
      <c r="V299" s="364"/>
      <c r="W299" s="364"/>
      <c r="X299" s="364"/>
      <c r="Y299" s="364"/>
      <c r="Z299" s="364"/>
      <c r="AA299" s="364"/>
      <c r="AB299" s="364"/>
    </row>
    <row r="300" spans="1:28" ht="15.75">
      <c r="A300" s="449"/>
      <c r="B300" s="449"/>
      <c r="C300" s="449"/>
      <c r="D300" s="364"/>
      <c r="E300" s="364"/>
      <c r="F300" s="364"/>
      <c r="G300" s="364"/>
      <c r="H300" s="364"/>
      <c r="I300" s="364"/>
      <c r="J300" s="364"/>
      <c r="K300" s="364"/>
      <c r="L300" s="364"/>
      <c r="M300" s="364"/>
      <c r="N300" s="364"/>
      <c r="O300" s="364"/>
      <c r="P300" s="364"/>
      <c r="Q300" s="364"/>
      <c r="R300" s="364"/>
      <c r="S300" s="364"/>
      <c r="T300" s="364"/>
      <c r="U300" s="364"/>
      <c r="V300" s="364"/>
      <c r="W300" s="364"/>
      <c r="X300" s="364"/>
      <c r="Y300" s="364"/>
      <c r="Z300" s="364"/>
      <c r="AA300" s="364"/>
      <c r="AB300" s="364"/>
    </row>
    <row r="301" spans="1:28" ht="15.75">
      <c r="A301" s="449"/>
      <c r="B301" s="449"/>
      <c r="C301" s="449"/>
      <c r="D301" s="364"/>
      <c r="E301" s="364"/>
      <c r="F301" s="364"/>
      <c r="G301" s="364"/>
      <c r="H301" s="364"/>
      <c r="I301" s="364"/>
      <c r="J301" s="364"/>
      <c r="K301" s="364"/>
      <c r="L301" s="364"/>
      <c r="M301" s="364"/>
      <c r="N301" s="364"/>
      <c r="O301" s="364"/>
      <c r="P301" s="364"/>
      <c r="Q301" s="364"/>
      <c r="R301" s="364"/>
      <c r="S301" s="364"/>
      <c r="T301" s="364"/>
      <c r="U301" s="364"/>
      <c r="V301" s="364"/>
      <c r="W301" s="364"/>
      <c r="X301" s="364"/>
      <c r="Y301" s="364"/>
      <c r="Z301" s="364"/>
      <c r="AA301" s="364"/>
      <c r="AB301" s="364"/>
    </row>
    <row r="302" spans="1:28" ht="15.75">
      <c r="A302" s="449"/>
      <c r="B302" s="449"/>
      <c r="C302" s="449"/>
      <c r="D302" s="364"/>
      <c r="E302" s="364"/>
      <c r="F302" s="364"/>
      <c r="G302" s="364"/>
      <c r="H302" s="364"/>
      <c r="I302" s="364"/>
      <c r="J302" s="364"/>
      <c r="K302" s="364"/>
      <c r="L302" s="364"/>
      <c r="M302" s="364"/>
      <c r="N302" s="364"/>
      <c r="O302" s="364"/>
      <c r="P302" s="364"/>
      <c r="Q302" s="364"/>
      <c r="R302" s="364"/>
      <c r="S302" s="364"/>
      <c r="T302" s="364"/>
      <c r="U302" s="364"/>
      <c r="V302" s="364"/>
      <c r="W302" s="364"/>
      <c r="X302" s="364"/>
      <c r="Y302" s="364"/>
      <c r="Z302" s="364"/>
      <c r="AA302" s="364"/>
      <c r="AB302" s="364"/>
    </row>
    <row r="303" spans="1:28" ht="15.75">
      <c r="A303" s="449"/>
      <c r="B303" s="449"/>
      <c r="C303" s="449"/>
      <c r="D303" s="364"/>
      <c r="E303" s="364"/>
      <c r="F303" s="364"/>
      <c r="G303" s="364"/>
      <c r="H303" s="364"/>
      <c r="I303" s="364"/>
      <c r="J303" s="364"/>
      <c r="K303" s="364"/>
      <c r="L303" s="364"/>
      <c r="M303" s="364"/>
      <c r="N303" s="364"/>
      <c r="O303" s="364"/>
      <c r="P303" s="364"/>
      <c r="Q303" s="364"/>
      <c r="R303" s="364"/>
      <c r="S303" s="364"/>
      <c r="T303" s="364"/>
      <c r="U303" s="364"/>
      <c r="V303" s="364"/>
      <c r="W303" s="364"/>
      <c r="X303" s="364"/>
      <c r="Y303" s="364"/>
      <c r="Z303" s="364"/>
      <c r="AA303" s="364"/>
      <c r="AB303" s="364"/>
    </row>
    <row r="304" spans="1:28" ht="15.75">
      <c r="A304" s="449"/>
      <c r="B304" s="449"/>
      <c r="C304" s="449"/>
      <c r="D304" s="364"/>
      <c r="E304" s="364"/>
      <c r="F304" s="364"/>
      <c r="G304" s="364"/>
      <c r="H304" s="364"/>
      <c r="I304" s="364"/>
      <c r="J304" s="364"/>
      <c r="K304" s="364"/>
      <c r="L304" s="364"/>
      <c r="M304" s="364"/>
      <c r="N304" s="364"/>
      <c r="O304" s="364"/>
      <c r="P304" s="364"/>
      <c r="Q304" s="364"/>
      <c r="R304" s="364"/>
      <c r="S304" s="364"/>
      <c r="T304" s="364"/>
      <c r="U304" s="364"/>
      <c r="V304" s="364"/>
      <c r="W304" s="364"/>
      <c r="X304" s="364"/>
      <c r="Y304" s="364"/>
      <c r="Z304" s="364"/>
      <c r="AA304" s="364"/>
      <c r="AB304" s="364"/>
    </row>
    <row r="305" spans="1:28" ht="15.75">
      <c r="A305" s="449"/>
      <c r="B305" s="449"/>
      <c r="C305" s="449"/>
      <c r="D305" s="364"/>
      <c r="E305" s="364"/>
      <c r="F305" s="364"/>
      <c r="G305" s="364"/>
      <c r="H305" s="364"/>
      <c r="I305" s="364"/>
      <c r="J305" s="364"/>
      <c r="K305" s="364"/>
      <c r="L305" s="364"/>
      <c r="M305" s="364"/>
      <c r="N305" s="364"/>
      <c r="O305" s="364"/>
      <c r="P305" s="364"/>
      <c r="Q305" s="364"/>
      <c r="R305" s="364"/>
      <c r="S305" s="364"/>
      <c r="T305" s="364"/>
      <c r="U305" s="364"/>
      <c r="V305" s="364"/>
      <c r="W305" s="364"/>
      <c r="X305" s="364"/>
      <c r="Y305" s="364"/>
      <c r="Z305" s="364"/>
      <c r="AA305" s="364"/>
      <c r="AB305" s="364"/>
    </row>
    <row r="306" spans="1:28" ht="15.75">
      <c r="A306" s="449"/>
      <c r="B306" s="449"/>
      <c r="C306" s="449"/>
      <c r="D306" s="364"/>
      <c r="E306" s="364"/>
      <c r="F306" s="364"/>
      <c r="G306" s="364"/>
      <c r="H306" s="364"/>
      <c r="I306" s="364"/>
      <c r="J306" s="364"/>
      <c r="K306" s="364"/>
      <c r="L306" s="364"/>
      <c r="M306" s="364"/>
      <c r="N306" s="364"/>
      <c r="O306" s="364"/>
      <c r="P306" s="364"/>
      <c r="Q306" s="364"/>
      <c r="R306" s="364"/>
      <c r="S306" s="364"/>
      <c r="T306" s="364"/>
      <c r="U306" s="364"/>
      <c r="V306" s="364"/>
      <c r="W306" s="364"/>
      <c r="X306" s="364"/>
      <c r="Y306" s="364"/>
      <c r="Z306" s="364"/>
      <c r="AA306" s="364"/>
      <c r="AB306" s="364"/>
    </row>
    <row r="307" spans="1:28" ht="15.75">
      <c r="A307" s="449"/>
      <c r="B307" s="449"/>
      <c r="C307" s="449"/>
      <c r="D307" s="364"/>
      <c r="E307" s="364"/>
      <c r="F307" s="364"/>
      <c r="G307" s="364"/>
      <c r="H307" s="364"/>
      <c r="I307" s="364"/>
      <c r="J307" s="364"/>
      <c r="K307" s="364"/>
      <c r="L307" s="364"/>
      <c r="M307" s="364"/>
      <c r="N307" s="364"/>
      <c r="O307" s="364"/>
      <c r="P307" s="364"/>
      <c r="Q307" s="364"/>
      <c r="R307" s="364"/>
      <c r="S307" s="364"/>
      <c r="T307" s="364"/>
      <c r="U307" s="364"/>
      <c r="V307" s="364"/>
      <c r="W307" s="364"/>
      <c r="X307" s="364"/>
      <c r="Y307" s="364"/>
      <c r="Z307" s="364"/>
      <c r="AA307" s="364"/>
      <c r="AB307" s="364"/>
    </row>
    <row r="308" spans="1:28" ht="15.75">
      <c r="A308" s="449"/>
      <c r="B308" s="449"/>
      <c r="C308" s="449"/>
      <c r="D308" s="364"/>
      <c r="E308" s="364"/>
      <c r="F308" s="364"/>
      <c r="G308" s="364"/>
      <c r="H308" s="364"/>
      <c r="I308" s="364"/>
      <c r="J308" s="364"/>
      <c r="K308" s="364"/>
      <c r="L308" s="364"/>
      <c r="M308" s="364"/>
      <c r="N308" s="364"/>
      <c r="O308" s="364"/>
      <c r="P308" s="364"/>
      <c r="Q308" s="364"/>
      <c r="R308" s="364"/>
      <c r="S308" s="364"/>
      <c r="T308" s="364"/>
      <c r="U308" s="364"/>
      <c r="V308" s="364"/>
      <c r="W308" s="364"/>
      <c r="X308" s="364"/>
      <c r="Y308" s="364"/>
      <c r="Z308" s="364"/>
      <c r="AA308" s="364"/>
      <c r="AB308" s="364"/>
    </row>
    <row r="309" spans="1:28" ht="15.75">
      <c r="A309" s="449"/>
      <c r="B309" s="449"/>
      <c r="C309" s="449"/>
      <c r="D309" s="364"/>
      <c r="E309" s="364"/>
      <c r="F309" s="364"/>
      <c r="G309" s="364"/>
      <c r="H309" s="364"/>
      <c r="I309" s="364"/>
      <c r="J309" s="364"/>
      <c r="K309" s="364"/>
      <c r="L309" s="364"/>
      <c r="M309" s="364"/>
      <c r="N309" s="364"/>
      <c r="O309" s="364"/>
      <c r="P309" s="364"/>
      <c r="Q309" s="364"/>
      <c r="R309" s="364"/>
      <c r="S309" s="364"/>
      <c r="T309" s="364"/>
      <c r="U309" s="364"/>
      <c r="V309" s="364"/>
      <c r="W309" s="364"/>
      <c r="X309" s="364"/>
      <c r="Y309" s="364"/>
      <c r="Z309" s="364"/>
      <c r="AA309" s="364"/>
      <c r="AB309" s="364"/>
    </row>
    <row r="310" spans="1:28" ht="15.75">
      <c r="A310" s="449"/>
      <c r="B310" s="449"/>
      <c r="C310" s="449"/>
      <c r="D310" s="364"/>
      <c r="E310" s="364"/>
      <c r="F310" s="364"/>
      <c r="G310" s="364"/>
      <c r="H310" s="364"/>
      <c r="I310" s="364"/>
      <c r="J310" s="364"/>
      <c r="K310" s="364"/>
      <c r="L310" s="364"/>
      <c r="M310" s="364"/>
      <c r="N310" s="364"/>
      <c r="O310" s="364"/>
      <c r="P310" s="364"/>
      <c r="Q310" s="364"/>
      <c r="R310" s="364"/>
      <c r="S310" s="364"/>
      <c r="T310" s="364"/>
      <c r="U310" s="364"/>
      <c r="V310" s="364"/>
      <c r="W310" s="364"/>
      <c r="X310" s="364"/>
      <c r="Y310" s="364"/>
      <c r="Z310" s="364"/>
      <c r="AA310" s="364"/>
      <c r="AB310" s="364"/>
    </row>
    <row r="311" spans="1:28" ht="15.75">
      <c r="A311" s="449"/>
      <c r="B311" s="449"/>
      <c r="C311" s="449"/>
      <c r="D311" s="364"/>
      <c r="E311" s="364"/>
      <c r="F311" s="364"/>
      <c r="G311" s="364"/>
      <c r="H311" s="364"/>
      <c r="I311" s="364"/>
      <c r="J311" s="364"/>
      <c r="K311" s="364"/>
      <c r="L311" s="364"/>
      <c r="M311" s="364"/>
      <c r="N311" s="364"/>
      <c r="O311" s="364"/>
      <c r="P311" s="364"/>
      <c r="Q311" s="364"/>
      <c r="R311" s="364"/>
      <c r="S311" s="364"/>
      <c r="T311" s="364"/>
      <c r="U311" s="364"/>
      <c r="V311" s="364"/>
      <c r="W311" s="364"/>
      <c r="X311" s="364"/>
      <c r="Y311" s="364"/>
      <c r="Z311" s="364"/>
      <c r="AA311" s="364"/>
      <c r="AB311" s="364"/>
    </row>
    <row r="312" spans="1:28" ht="15.75">
      <c r="A312" s="449"/>
      <c r="B312" s="449"/>
      <c r="C312" s="449"/>
      <c r="D312" s="364"/>
      <c r="E312" s="364"/>
      <c r="F312" s="364"/>
      <c r="G312" s="364"/>
      <c r="H312" s="364"/>
      <c r="I312" s="364"/>
      <c r="J312" s="364"/>
      <c r="K312" s="364"/>
      <c r="L312" s="364"/>
      <c r="M312" s="364"/>
      <c r="N312" s="364"/>
      <c r="O312" s="364"/>
      <c r="P312" s="364"/>
      <c r="Q312" s="364"/>
      <c r="R312" s="364"/>
      <c r="S312" s="364"/>
      <c r="T312" s="364"/>
      <c r="U312" s="364"/>
      <c r="V312" s="364"/>
      <c r="W312" s="364"/>
      <c r="X312" s="364"/>
      <c r="Y312" s="364"/>
      <c r="Z312" s="364"/>
      <c r="AA312" s="364"/>
      <c r="AB312" s="364"/>
    </row>
    <row r="313" spans="1:28" ht="15.75">
      <c r="A313" s="449"/>
      <c r="B313" s="449"/>
      <c r="C313" s="449"/>
      <c r="D313" s="364"/>
      <c r="E313" s="364"/>
      <c r="F313" s="364"/>
      <c r="G313" s="364"/>
      <c r="H313" s="364"/>
      <c r="I313" s="364"/>
      <c r="J313" s="364"/>
      <c r="K313" s="364"/>
      <c r="L313" s="364"/>
      <c r="M313" s="364"/>
      <c r="N313" s="364"/>
      <c r="O313" s="364"/>
      <c r="P313" s="364"/>
      <c r="Q313" s="364"/>
      <c r="R313" s="364"/>
      <c r="S313" s="364"/>
      <c r="T313" s="364"/>
      <c r="U313" s="364"/>
      <c r="V313" s="364"/>
      <c r="W313" s="364"/>
      <c r="X313" s="364"/>
      <c r="Y313" s="364"/>
      <c r="Z313" s="364"/>
      <c r="AA313" s="364"/>
      <c r="AB313" s="364"/>
    </row>
    <row r="314" spans="1:28" ht="15.75">
      <c r="A314" s="449"/>
      <c r="B314" s="449"/>
      <c r="C314" s="449"/>
      <c r="D314" s="364"/>
      <c r="E314" s="364"/>
      <c r="F314" s="364"/>
      <c r="G314" s="364"/>
      <c r="H314" s="364"/>
      <c r="I314" s="364"/>
      <c r="J314" s="364"/>
      <c r="K314" s="364"/>
      <c r="L314" s="364"/>
      <c r="M314" s="364"/>
      <c r="N314" s="364"/>
      <c r="O314" s="364"/>
      <c r="P314" s="364"/>
      <c r="Q314" s="364"/>
      <c r="R314" s="364"/>
      <c r="S314" s="364"/>
      <c r="T314" s="364"/>
      <c r="U314" s="364"/>
      <c r="V314" s="364"/>
      <c r="W314" s="364"/>
      <c r="X314" s="364"/>
      <c r="Y314" s="364"/>
      <c r="Z314" s="364"/>
      <c r="AA314" s="364"/>
      <c r="AB314" s="364"/>
    </row>
    <row r="315" spans="1:28" ht="15.75">
      <c r="A315" s="449"/>
      <c r="B315" s="449"/>
      <c r="C315" s="449"/>
      <c r="D315" s="364"/>
      <c r="E315" s="364"/>
      <c r="F315" s="364"/>
      <c r="G315" s="364"/>
      <c r="H315" s="364"/>
      <c r="I315" s="364"/>
      <c r="J315" s="364"/>
      <c r="K315" s="364"/>
      <c r="L315" s="364"/>
      <c r="M315" s="364"/>
      <c r="N315" s="364"/>
      <c r="O315" s="364"/>
      <c r="P315" s="364"/>
      <c r="Q315" s="364"/>
      <c r="R315" s="364"/>
      <c r="S315" s="364"/>
      <c r="T315" s="364"/>
      <c r="U315" s="364"/>
      <c r="V315" s="364"/>
      <c r="W315" s="364"/>
      <c r="X315" s="364"/>
      <c r="Y315" s="364"/>
      <c r="Z315" s="364"/>
      <c r="AA315" s="364"/>
      <c r="AB315" s="364"/>
    </row>
    <row r="316" spans="1:28" ht="15.75">
      <c r="A316" s="449"/>
      <c r="B316" s="449"/>
      <c r="C316" s="449"/>
      <c r="D316" s="364"/>
      <c r="E316" s="364"/>
      <c r="F316" s="364"/>
      <c r="G316" s="364"/>
      <c r="H316" s="364"/>
      <c r="I316" s="364"/>
      <c r="J316" s="364"/>
      <c r="K316" s="364"/>
      <c r="L316" s="364"/>
      <c r="M316" s="364"/>
      <c r="N316" s="364"/>
      <c r="O316" s="364"/>
      <c r="P316" s="364"/>
      <c r="Q316" s="364"/>
      <c r="R316" s="364"/>
      <c r="S316" s="364"/>
      <c r="T316" s="364"/>
      <c r="U316" s="364"/>
      <c r="V316" s="364"/>
      <c r="W316" s="364"/>
      <c r="X316" s="364"/>
      <c r="Y316" s="364"/>
      <c r="Z316" s="364"/>
      <c r="AA316" s="364"/>
      <c r="AB316" s="364"/>
    </row>
    <row r="317" spans="1:28" ht="15.75">
      <c r="A317" s="449"/>
      <c r="B317" s="449"/>
      <c r="C317" s="449"/>
      <c r="D317" s="364"/>
      <c r="E317" s="364"/>
      <c r="F317" s="364"/>
      <c r="G317" s="364"/>
      <c r="H317" s="364"/>
      <c r="I317" s="364"/>
      <c r="J317" s="364"/>
      <c r="K317" s="364"/>
      <c r="L317" s="364"/>
      <c r="M317" s="364"/>
      <c r="N317" s="364"/>
      <c r="O317" s="364"/>
      <c r="P317" s="364"/>
      <c r="Q317" s="364"/>
      <c r="R317" s="364"/>
      <c r="S317" s="364"/>
      <c r="T317" s="364"/>
      <c r="U317" s="364"/>
      <c r="V317" s="364"/>
      <c r="W317" s="364"/>
      <c r="X317" s="364"/>
      <c r="Y317" s="364"/>
      <c r="Z317" s="364"/>
      <c r="AA317" s="364"/>
      <c r="AB317" s="364"/>
    </row>
    <row r="318" spans="1:28" ht="15.75">
      <c r="A318" s="449"/>
      <c r="B318" s="449"/>
      <c r="C318" s="449"/>
      <c r="D318" s="364"/>
      <c r="E318" s="364"/>
      <c r="F318" s="364"/>
      <c r="G318" s="364"/>
      <c r="H318" s="364"/>
      <c r="I318" s="364"/>
      <c r="J318" s="364"/>
      <c r="K318" s="364"/>
      <c r="L318" s="364"/>
      <c r="M318" s="364"/>
      <c r="N318" s="364"/>
      <c r="O318" s="364"/>
      <c r="P318" s="364"/>
      <c r="Q318" s="364"/>
      <c r="R318" s="364"/>
      <c r="S318" s="364"/>
      <c r="T318" s="364"/>
      <c r="U318" s="364"/>
      <c r="V318" s="364"/>
      <c r="W318" s="364"/>
      <c r="X318" s="364"/>
      <c r="Y318" s="364"/>
      <c r="Z318" s="364"/>
      <c r="AA318" s="364"/>
      <c r="AB318" s="364"/>
    </row>
    <row r="319" spans="1:28" ht="15.75">
      <c r="A319" s="449"/>
      <c r="B319" s="449"/>
      <c r="C319" s="449"/>
      <c r="D319" s="364"/>
      <c r="E319" s="364"/>
      <c r="F319" s="364"/>
      <c r="G319" s="364"/>
      <c r="H319" s="364"/>
      <c r="I319" s="364"/>
      <c r="J319" s="364"/>
      <c r="K319" s="364"/>
      <c r="L319" s="364"/>
      <c r="M319" s="364"/>
      <c r="N319" s="364"/>
      <c r="O319" s="364"/>
      <c r="P319" s="364"/>
      <c r="Q319" s="364"/>
      <c r="R319" s="364"/>
      <c r="S319" s="364"/>
      <c r="T319" s="364"/>
      <c r="U319" s="364"/>
      <c r="V319" s="364"/>
      <c r="W319" s="364"/>
      <c r="X319" s="364"/>
      <c r="Y319" s="364"/>
      <c r="Z319" s="364"/>
      <c r="AA319" s="364"/>
      <c r="AB319" s="364"/>
    </row>
    <row r="320" spans="1:28" ht="15.75">
      <c r="A320" s="449"/>
      <c r="B320" s="449"/>
      <c r="C320" s="449"/>
      <c r="D320" s="364"/>
      <c r="E320" s="364"/>
      <c r="F320" s="364"/>
      <c r="G320" s="364"/>
      <c r="H320" s="364"/>
      <c r="I320" s="364"/>
      <c r="J320" s="364"/>
      <c r="K320" s="364"/>
      <c r="L320" s="364"/>
      <c r="M320" s="364"/>
      <c r="N320" s="364"/>
      <c r="O320" s="364"/>
      <c r="P320" s="364"/>
      <c r="Q320" s="364"/>
      <c r="R320" s="364"/>
      <c r="S320" s="364"/>
      <c r="T320" s="364"/>
      <c r="U320" s="364"/>
      <c r="V320" s="364"/>
      <c r="W320" s="364"/>
      <c r="X320" s="364"/>
      <c r="Y320" s="364"/>
      <c r="Z320" s="364"/>
      <c r="AA320" s="364"/>
      <c r="AB320" s="364"/>
    </row>
    <row r="321" spans="1:28" ht="15.75">
      <c r="A321" s="449"/>
      <c r="B321" s="449"/>
      <c r="C321" s="449"/>
      <c r="D321" s="364"/>
      <c r="E321" s="364"/>
      <c r="F321" s="364"/>
      <c r="G321" s="364"/>
      <c r="H321" s="364"/>
      <c r="I321" s="364"/>
      <c r="J321" s="364"/>
      <c r="K321" s="364"/>
      <c r="L321" s="364"/>
      <c r="M321" s="364"/>
      <c r="N321" s="364"/>
      <c r="O321" s="364"/>
      <c r="P321" s="364"/>
      <c r="Q321" s="364"/>
      <c r="R321" s="364"/>
      <c r="S321" s="364"/>
      <c r="T321" s="364"/>
      <c r="U321" s="364"/>
      <c r="V321" s="364"/>
      <c r="W321" s="364"/>
      <c r="X321" s="364"/>
      <c r="Y321" s="364"/>
      <c r="Z321" s="364"/>
      <c r="AA321" s="364"/>
      <c r="AB321" s="364"/>
    </row>
    <row r="322" spans="1:28" ht="15.75">
      <c r="A322" s="449"/>
      <c r="B322" s="449"/>
      <c r="C322" s="449"/>
      <c r="D322" s="364"/>
      <c r="E322" s="364"/>
      <c r="F322" s="364"/>
      <c r="G322" s="364"/>
      <c r="H322" s="364"/>
      <c r="I322" s="364"/>
      <c r="J322" s="364"/>
      <c r="K322" s="364"/>
      <c r="L322" s="364"/>
      <c r="M322" s="364"/>
      <c r="N322" s="364"/>
      <c r="O322" s="364"/>
      <c r="P322" s="364"/>
      <c r="Q322" s="364"/>
      <c r="R322" s="364"/>
      <c r="S322" s="364"/>
      <c r="T322" s="364"/>
      <c r="U322" s="364"/>
      <c r="V322" s="364"/>
      <c r="W322" s="364"/>
      <c r="X322" s="364"/>
      <c r="Y322" s="364"/>
      <c r="Z322" s="364"/>
      <c r="AA322" s="364"/>
      <c r="AB322" s="364"/>
    </row>
    <row r="323" spans="1:28" ht="15.75">
      <c r="A323" s="449"/>
      <c r="B323" s="449"/>
      <c r="C323" s="449"/>
      <c r="D323" s="364"/>
      <c r="E323" s="364"/>
      <c r="F323" s="364"/>
      <c r="G323" s="364"/>
      <c r="H323" s="364"/>
      <c r="I323" s="364"/>
      <c r="J323" s="364"/>
      <c r="K323" s="364"/>
      <c r="L323" s="364"/>
      <c r="M323" s="364"/>
      <c r="N323" s="364"/>
      <c r="O323" s="364"/>
      <c r="P323" s="364"/>
      <c r="Q323" s="364"/>
      <c r="R323" s="364"/>
      <c r="S323" s="364"/>
      <c r="T323" s="364"/>
      <c r="U323" s="364"/>
      <c r="V323" s="364"/>
      <c r="W323" s="364"/>
      <c r="X323" s="364"/>
      <c r="Y323" s="364"/>
      <c r="Z323" s="364"/>
      <c r="AA323" s="364"/>
      <c r="AB323" s="364"/>
    </row>
    <row r="324" spans="1:28" ht="15.75">
      <c r="A324" s="449"/>
      <c r="B324" s="449"/>
      <c r="C324" s="449"/>
      <c r="D324" s="364"/>
      <c r="E324" s="364"/>
      <c r="F324" s="364"/>
      <c r="G324" s="364"/>
      <c r="H324" s="364"/>
      <c r="I324" s="364"/>
      <c r="J324" s="364"/>
      <c r="K324" s="364"/>
      <c r="L324" s="364"/>
      <c r="M324" s="364"/>
      <c r="N324" s="364"/>
      <c r="O324" s="364"/>
      <c r="P324" s="364"/>
      <c r="Q324" s="364"/>
      <c r="R324" s="364"/>
      <c r="S324" s="364"/>
      <c r="T324" s="364"/>
      <c r="U324" s="364"/>
      <c r="V324" s="364"/>
      <c r="W324" s="364"/>
      <c r="X324" s="364"/>
      <c r="Y324" s="364"/>
      <c r="Z324" s="364"/>
      <c r="AA324" s="364"/>
      <c r="AB324" s="364"/>
    </row>
    <row r="325" spans="1:28" ht="15.75">
      <c r="A325" s="449"/>
      <c r="B325" s="449"/>
      <c r="C325" s="449"/>
      <c r="D325" s="364"/>
      <c r="E325" s="364"/>
      <c r="F325" s="364"/>
      <c r="G325" s="364"/>
      <c r="H325" s="364"/>
      <c r="I325" s="364"/>
      <c r="J325" s="364"/>
      <c r="K325" s="364"/>
      <c r="L325" s="364"/>
      <c r="M325" s="364"/>
      <c r="N325" s="364"/>
      <c r="O325" s="364"/>
      <c r="P325" s="364"/>
      <c r="Q325" s="364"/>
      <c r="R325" s="364"/>
      <c r="S325" s="364"/>
      <c r="T325" s="364"/>
      <c r="U325" s="364"/>
      <c r="V325" s="364"/>
      <c r="W325" s="364"/>
      <c r="X325" s="364"/>
      <c r="Y325" s="364"/>
      <c r="Z325" s="364"/>
      <c r="AA325" s="364"/>
      <c r="AB325" s="364"/>
    </row>
    <row r="326" spans="1:28" ht="15.75">
      <c r="A326" s="449"/>
      <c r="B326" s="449"/>
      <c r="C326" s="449"/>
      <c r="D326" s="364"/>
      <c r="E326" s="364"/>
      <c r="F326" s="364"/>
      <c r="G326" s="364"/>
      <c r="H326" s="364"/>
      <c r="I326" s="364"/>
      <c r="J326" s="364"/>
      <c r="K326" s="364"/>
      <c r="L326" s="364"/>
      <c r="M326" s="364"/>
      <c r="N326" s="364"/>
      <c r="O326" s="364"/>
      <c r="P326" s="364"/>
      <c r="Q326" s="364"/>
      <c r="R326" s="364"/>
      <c r="S326" s="364"/>
      <c r="T326" s="364"/>
      <c r="U326" s="364"/>
      <c r="V326" s="364"/>
      <c r="W326" s="364"/>
      <c r="X326" s="364"/>
      <c r="Y326" s="364"/>
      <c r="Z326" s="364"/>
      <c r="AA326" s="364"/>
      <c r="AB326" s="364"/>
    </row>
    <row r="327" spans="1:28" ht="15.75">
      <c r="A327" s="449"/>
      <c r="B327" s="449"/>
      <c r="C327" s="449"/>
      <c r="D327" s="364"/>
      <c r="E327" s="364"/>
      <c r="F327" s="364"/>
      <c r="G327" s="364"/>
      <c r="H327" s="364"/>
      <c r="I327" s="364"/>
      <c r="J327" s="364"/>
      <c r="K327" s="364"/>
      <c r="L327" s="364"/>
      <c r="M327" s="364"/>
      <c r="N327" s="364"/>
      <c r="O327" s="364"/>
      <c r="P327" s="364"/>
      <c r="Q327" s="364"/>
      <c r="R327" s="364"/>
      <c r="S327" s="364"/>
      <c r="T327" s="364"/>
      <c r="U327" s="364"/>
      <c r="V327" s="364"/>
      <c r="W327" s="364"/>
      <c r="X327" s="364"/>
      <c r="Y327" s="364"/>
      <c r="Z327" s="364"/>
      <c r="AA327" s="364"/>
      <c r="AB327" s="364"/>
    </row>
    <row r="328" spans="1:28" ht="15.75">
      <c r="A328" s="449"/>
      <c r="B328" s="449"/>
      <c r="C328" s="449"/>
      <c r="D328" s="364"/>
      <c r="E328" s="364"/>
      <c r="F328" s="364"/>
      <c r="G328" s="364"/>
      <c r="H328" s="364"/>
      <c r="I328" s="364"/>
      <c r="J328" s="364"/>
      <c r="K328" s="364"/>
      <c r="L328" s="364"/>
      <c r="M328" s="364"/>
      <c r="N328" s="364"/>
      <c r="O328" s="364"/>
      <c r="P328" s="364"/>
      <c r="Q328" s="364"/>
      <c r="R328" s="364"/>
      <c r="S328" s="364"/>
      <c r="T328" s="364"/>
      <c r="U328" s="364"/>
      <c r="V328" s="364"/>
      <c r="W328" s="364"/>
      <c r="X328" s="364"/>
      <c r="Y328" s="364"/>
      <c r="Z328" s="364"/>
      <c r="AA328" s="364"/>
      <c r="AB328" s="364"/>
    </row>
    <row r="329" spans="1:28" ht="15.75">
      <c r="B329" s="449"/>
      <c r="C329" s="449"/>
      <c r="D329" s="364"/>
      <c r="E329" s="364"/>
      <c r="F329" s="364"/>
      <c r="G329" s="364"/>
      <c r="H329" s="364"/>
      <c r="I329" s="364"/>
      <c r="J329" s="364"/>
      <c r="K329" s="364"/>
      <c r="L329" s="364"/>
      <c r="M329" s="364"/>
      <c r="N329" s="364"/>
      <c r="O329" s="364"/>
      <c r="P329" s="364"/>
      <c r="Q329" s="364"/>
      <c r="R329" s="364"/>
      <c r="S329" s="364"/>
      <c r="T329" s="364"/>
      <c r="U329" s="364"/>
      <c r="V329" s="364"/>
      <c r="W329" s="364"/>
      <c r="X329" s="364"/>
      <c r="Y329" s="364"/>
      <c r="Z329" s="364"/>
      <c r="AA329" s="364"/>
      <c r="AB329" s="364"/>
    </row>
    <row r="330" spans="1:28" ht="15.75">
      <c r="B330" s="449"/>
      <c r="C330" s="449"/>
      <c r="D330" s="364"/>
      <c r="E330" s="364"/>
      <c r="F330" s="364"/>
      <c r="G330" s="364"/>
      <c r="H330" s="364"/>
      <c r="I330" s="364"/>
      <c r="J330" s="364"/>
      <c r="K330" s="364"/>
      <c r="L330" s="364"/>
      <c r="M330" s="364"/>
      <c r="N330" s="364"/>
      <c r="O330" s="364"/>
      <c r="P330" s="364"/>
      <c r="Q330" s="364"/>
      <c r="R330" s="364"/>
      <c r="S330" s="364"/>
      <c r="T330" s="364"/>
      <c r="U330" s="364"/>
      <c r="V330" s="364"/>
      <c r="W330" s="364"/>
      <c r="X330" s="364"/>
      <c r="Y330" s="364"/>
      <c r="Z330" s="364"/>
      <c r="AA330" s="364"/>
      <c r="AB330" s="364"/>
    </row>
    <row r="350" spans="1:6">
      <c r="A350" s="450"/>
    </row>
    <row r="351" spans="1:6">
      <c r="A351" s="450"/>
    </row>
    <row r="352" spans="1:6">
      <c r="A352" s="450"/>
      <c r="B352" s="450"/>
      <c r="C352" s="450"/>
      <c r="D352" s="451"/>
      <c r="E352" s="451"/>
      <c r="F352" s="451"/>
    </row>
    <row r="353" spans="1:6">
      <c r="A353" s="450"/>
      <c r="B353" s="450"/>
      <c r="C353" s="450"/>
      <c r="D353" s="451"/>
      <c r="E353" s="451"/>
      <c r="F353" s="451"/>
    </row>
    <row r="354" spans="1:6">
      <c r="A354" s="450"/>
      <c r="B354" s="450"/>
      <c r="C354" s="450"/>
      <c r="D354" s="451"/>
      <c r="E354" s="451"/>
      <c r="F354" s="451"/>
    </row>
    <row r="355" spans="1:6">
      <c r="A355" s="450"/>
      <c r="B355" s="450"/>
      <c r="C355" s="450"/>
      <c r="D355" s="451"/>
      <c r="E355" s="451"/>
      <c r="F355" s="451"/>
    </row>
    <row r="356" spans="1:6">
      <c r="A356" s="450"/>
      <c r="B356" s="450"/>
      <c r="C356" s="450"/>
      <c r="D356" s="451"/>
      <c r="E356" s="451"/>
      <c r="F356" s="451"/>
    </row>
    <row r="357" spans="1:6">
      <c r="A357" s="450"/>
      <c r="B357" s="450"/>
      <c r="C357" s="450"/>
      <c r="D357" s="451"/>
      <c r="E357" s="451"/>
      <c r="F357" s="451"/>
    </row>
    <row r="358" spans="1:6">
      <c r="A358" s="450"/>
      <c r="B358" s="450"/>
      <c r="C358" s="450"/>
      <c r="D358" s="451"/>
      <c r="E358" s="451"/>
      <c r="F358" s="451"/>
    </row>
    <row r="359" spans="1:6">
      <c r="B359" s="450"/>
      <c r="C359" s="450"/>
      <c r="D359" s="451"/>
      <c r="E359" s="451"/>
      <c r="F359" s="451"/>
    </row>
    <row r="360" spans="1:6">
      <c r="B360" s="450"/>
      <c r="C360" s="450"/>
      <c r="D360" s="451"/>
      <c r="E360" s="451"/>
      <c r="F360" s="451"/>
    </row>
  </sheetData>
  <mergeCells count="4">
    <mergeCell ref="A1:J1"/>
    <mergeCell ref="A3:J3"/>
    <mergeCell ref="D121:H121"/>
    <mergeCell ref="D122:H122"/>
  </mergeCells>
  <pageMargins left="0.75" right="0.5" top="1" bottom="0.5" header="0.5" footer="0.5"/>
  <pageSetup scale="56" fitToHeight="0" orientation="landscape" r:id="rId1"/>
  <rowBreaks count="2" manualBreakCount="2">
    <brk id="63" max="16383" man="1"/>
    <brk id="11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ATT H-9A</vt:lpstr>
      <vt:lpstr>1 - ADIT</vt:lpstr>
      <vt:lpstr>2 - Other Tax</vt:lpstr>
      <vt:lpstr>Prop taxes to function</vt:lpstr>
      <vt:lpstr>3 - Revenue Credits</vt:lpstr>
      <vt:lpstr>4 - 100 Basis Pt ROE</vt:lpstr>
      <vt:lpstr>5 - Cost Support 1</vt:lpstr>
      <vt:lpstr>5a Affiliate Allocations</vt:lpstr>
      <vt:lpstr>6- Est &amp; Reconcile WS</vt:lpstr>
      <vt:lpstr>7 - Cap Add WS</vt:lpstr>
      <vt:lpstr>8 - Securitization</vt:lpstr>
      <vt:lpstr>'3 - Revenue Credits'!Print_Area</vt:lpstr>
      <vt:lpstr>'5 - Cost Support 1'!Print_Area</vt:lpstr>
      <vt:lpstr>'5a Affiliate Allocations'!Print_Area</vt:lpstr>
      <vt:lpstr>'ATT H-9A'!Print_Area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Bailey, Omar:(PHI)</dc:creator>
  <cp:lastModifiedBy>Bailey, Omar:(PHI)</cp:lastModifiedBy>
  <cp:lastPrinted>2018-05-15T17:48:59Z</cp:lastPrinted>
  <dcterms:created xsi:type="dcterms:W3CDTF">2018-05-08T13:51:25Z</dcterms:created>
  <dcterms:modified xsi:type="dcterms:W3CDTF">2018-05-15T17:54:34Z</dcterms:modified>
</cp:coreProperties>
</file>