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120" windowWidth="28548" windowHeight="6072" tabRatio="829"/>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45621"/>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workbook>
</file>

<file path=xl/calcChain.xml><?xml version="1.0" encoding="utf-8"?>
<calcChain xmlns="http://schemas.openxmlformats.org/spreadsheetml/2006/main">
  <c r="F12" i="3" l="1"/>
  <c r="H12" i="3"/>
  <c r="D131" i="1" l="1"/>
  <c r="E32" i="10" l="1"/>
  <c r="E31" i="10"/>
  <c r="E30" i="10"/>
  <c r="E29" i="10"/>
  <c r="E28" i="10"/>
  <c r="E27" i="10"/>
  <c r="E26" i="10"/>
  <c r="E25" i="10"/>
  <c r="E24" i="10"/>
  <c r="D130" i="1"/>
  <c r="E33" i="10" l="1"/>
  <c r="H24" i="10"/>
  <c r="F28" i="13" l="1"/>
  <c r="D132" i="1" l="1"/>
  <c r="A3" i="6" l="1"/>
  <c r="E47" i="5"/>
  <c r="E46" i="5"/>
  <c r="E45" i="5"/>
  <c r="B3" i="5"/>
  <c r="B3" i="3"/>
  <c r="A3" i="9" l="1"/>
  <c r="C60" i="10" l="1"/>
  <c r="D17" i="10" s="1"/>
  <c r="H23" i="10" l="1"/>
  <c r="H20" i="10"/>
  <c r="H22" i="10"/>
  <c r="H28" i="10"/>
  <c r="B41" i="7"/>
  <c r="B38" i="7"/>
  <c r="B23" i="7"/>
  <c r="B42" i="7" l="1"/>
  <c r="I211" i="1"/>
  <c r="D15" i="1" s="1"/>
  <c r="F24" i="14"/>
  <c r="E25" i="14"/>
  <c r="D25" i="14"/>
  <c r="A24" i="14"/>
  <c r="A25" i="14" s="1"/>
  <c r="E27" i="14" l="1"/>
  <c r="D27" i="14"/>
  <c r="E14" i="14"/>
  <c r="E22" i="14"/>
  <c r="F23" i="14"/>
  <c r="F21" i="14"/>
  <c r="F20" i="14"/>
  <c r="F19" i="14"/>
  <c r="F18" i="14"/>
  <c r="F17" i="14"/>
  <c r="F9" i="14"/>
  <c r="F10" i="14"/>
  <c r="F11" i="14"/>
  <c r="F12" i="14"/>
  <c r="F13" i="14"/>
  <c r="F8" i="14"/>
  <c r="D14" i="14"/>
  <c r="A8" i="14"/>
  <c r="A9" i="14" s="1"/>
  <c r="A10" i="14" s="1"/>
  <c r="A11" i="14" s="1"/>
  <c r="A12" i="14" s="1"/>
  <c r="A13" i="14" s="1"/>
  <c r="A14" i="14" s="1"/>
  <c r="D22" i="14"/>
  <c r="E11" i="9"/>
  <c r="D11" i="9"/>
  <c r="A17" i="14" l="1"/>
  <c r="A18" i="14" s="1"/>
  <c r="A19" i="14" s="1"/>
  <c r="A20" i="14" s="1"/>
  <c r="A21" i="14" s="1"/>
  <c r="A22" i="14" s="1"/>
  <c r="A16" i="14"/>
  <c r="F22" i="14"/>
  <c r="F14" i="14"/>
  <c r="F25" i="14"/>
  <c r="F27" i="14" l="1"/>
  <c r="I209" i="1"/>
  <c r="A23" i="14"/>
  <c r="C25" i="14"/>
  <c r="A30" i="8"/>
  <c r="A29" i="8"/>
  <c r="A3" i="14"/>
  <c r="A27" i="14" l="1"/>
  <c r="C27" i="14"/>
  <c r="F19" i="13"/>
  <c r="F21" i="13" s="1"/>
  <c r="L73" i="2" l="1"/>
  <c r="D6" i="7" l="1"/>
  <c r="A3" i="7"/>
  <c r="B43" i="7"/>
  <c r="B44" i="7" s="1"/>
  <c r="B45" i="7" s="1"/>
  <c r="B46" i="7" s="1"/>
  <c r="B47" i="7" s="1"/>
  <c r="B48" i="7" s="1"/>
  <c r="B49" i="7" s="1"/>
  <c r="B50" i="7" s="1"/>
  <c r="B51" i="7" s="1"/>
  <c r="B52" i="7" s="1"/>
  <c r="G30" i="7"/>
  <c r="G31" i="7" s="1"/>
  <c r="G32" i="7" s="1"/>
  <c r="G33" i="7" s="1"/>
  <c r="G34" i="7" s="1"/>
  <c r="G28" i="7"/>
  <c r="G29" i="7" s="1"/>
  <c r="G26" i="7"/>
  <c r="G27" i="7" s="1"/>
  <c r="G24" i="7"/>
  <c r="G25" i="7" s="1"/>
  <c r="B24" i="7"/>
  <c r="B25" i="7" s="1"/>
  <c r="B26" i="7" s="1"/>
  <c r="B27" i="7" s="1"/>
  <c r="B28" i="7" s="1"/>
  <c r="B29" i="7" s="1"/>
  <c r="B30" i="7" s="1"/>
  <c r="B31" i="7" s="1"/>
  <c r="B32" i="7" s="1"/>
  <c r="B33" i="7" s="1"/>
  <c r="B34" i="7" s="1"/>
  <c r="A73" i="5" l="1"/>
  <c r="A72" i="5"/>
  <c r="A71" i="5"/>
  <c r="A55" i="5"/>
  <c r="A56" i="5"/>
  <c r="A57" i="5" s="1"/>
  <c r="A58" i="5" s="1"/>
  <c r="A59" i="5" s="1"/>
  <c r="A60" i="5" s="1"/>
  <c r="A61" i="5" s="1"/>
  <c r="A62" i="5" s="1"/>
  <c r="A63" i="5" s="1"/>
  <c r="A64" i="5" s="1"/>
  <c r="A65" i="5" s="1"/>
  <c r="A54" i="5"/>
  <c r="A53" i="5"/>
  <c r="E54" i="5"/>
  <c r="E55" i="5"/>
  <c r="E56" i="5"/>
  <c r="E57" i="5"/>
  <c r="E58" i="5"/>
  <c r="E59" i="5"/>
  <c r="E60" i="5"/>
  <c r="E61" i="5"/>
  <c r="E62" i="5"/>
  <c r="E63" i="5"/>
  <c r="E64" i="5"/>
  <c r="E65" i="5"/>
  <c r="E53" i="5"/>
  <c r="D66" i="5"/>
  <c r="E66" i="5" l="1"/>
  <c r="C66" i="5" s="1"/>
  <c r="B44" i="1" l="1"/>
  <c r="B43" i="1"/>
  <c r="B42" i="1"/>
  <c r="B41" i="1"/>
  <c r="B40" i="1"/>
  <c r="B39" i="1"/>
  <c r="B38" i="1"/>
  <c r="A30" i="1"/>
  <c r="C31" i="1" s="1"/>
  <c r="A31" i="1" l="1"/>
  <c r="A27" i="4"/>
  <c r="A29" i="4" s="1"/>
  <c r="A31" i="4" s="1"/>
  <c r="K25" i="4"/>
  <c r="E25" i="4"/>
  <c r="K21" i="4"/>
  <c r="E21" i="4"/>
  <c r="P49" i="2"/>
  <c r="P48" i="2"/>
  <c r="L75" i="2"/>
  <c r="M75" i="2"/>
  <c r="L76" i="2"/>
  <c r="M76" i="2"/>
  <c r="L77" i="2"/>
  <c r="M77" i="2"/>
  <c r="L78" i="2"/>
  <c r="M78" i="2"/>
  <c r="L79" i="2"/>
  <c r="M79" i="2"/>
  <c r="L80" i="2"/>
  <c r="M80" i="2"/>
  <c r="L81" i="2"/>
  <c r="M81" i="2"/>
  <c r="L82" i="2"/>
  <c r="M82" i="2"/>
  <c r="M74" i="2"/>
  <c r="L74" i="2"/>
  <c r="L69" i="2"/>
  <c r="L67" i="2"/>
  <c r="L65" i="2"/>
  <c r="L61" i="2"/>
  <c r="L64" i="2"/>
  <c r="L63" i="2"/>
  <c r="L60" i="2"/>
  <c r="L59" i="2"/>
  <c r="R69" i="2"/>
  <c r="A69" i="2"/>
  <c r="A67" i="2"/>
  <c r="R65" i="2"/>
  <c r="M65" i="2"/>
  <c r="R61" i="2"/>
  <c r="E29" i="4" l="1"/>
  <c r="A32" i="1"/>
  <c r="A33" i="1" s="1"/>
  <c r="E29" i="8"/>
  <c r="E30" i="8" s="1"/>
  <c r="A23" i="8"/>
  <c r="A24" i="8" s="1"/>
  <c r="A25" i="8" s="1"/>
  <c r="A26" i="8" s="1"/>
  <c r="A27" i="8" s="1"/>
  <c r="A3" i="11"/>
  <c r="A3" i="10"/>
  <c r="C33" i="1" l="1"/>
  <c r="A36" i="1"/>
  <c r="A37" i="1" s="1"/>
  <c r="A38" i="1" s="1"/>
  <c r="C38" i="1" l="1"/>
  <c r="A39" i="1"/>
  <c r="A40" i="1" s="1"/>
  <c r="A41" i="1" s="1"/>
  <c r="A42" i="1" s="1"/>
  <c r="A43" i="1" s="1"/>
  <c r="A44" i="1" s="1"/>
  <c r="A48" i="1" s="1"/>
  <c r="A49" i="1" s="1"/>
  <c r="A50" i="1" s="1"/>
  <c r="C41" i="1"/>
  <c r="C44" i="1"/>
  <c r="C40" i="1"/>
  <c r="C43" i="1"/>
  <c r="C39" i="1"/>
  <c r="C42" i="1"/>
  <c r="D139" i="1"/>
  <c r="C50" i="1" l="1"/>
  <c r="D13" i="9"/>
  <c r="A14" i="13" l="1"/>
  <c r="A15" i="13" s="1"/>
  <c r="A16" i="13" s="1"/>
  <c r="A17" i="13" s="1"/>
  <c r="A18" i="13" s="1"/>
  <c r="A19" i="13" s="1"/>
  <c r="A20" i="13" s="1"/>
  <c r="A21" i="13" s="1"/>
  <c r="A22" i="13" s="1"/>
  <c r="A23" i="13" s="1"/>
  <c r="A24" i="13" s="1"/>
  <c r="A25" i="13" s="1"/>
  <c r="A26" i="13" s="1"/>
  <c r="A27" i="13" s="1"/>
  <c r="A28" i="13" s="1"/>
  <c r="A29" i="13" s="1"/>
  <c r="A30" i="13" s="1"/>
  <c r="F24" i="13"/>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D14" i="11"/>
  <c r="D20" i="1" l="1"/>
  <c r="I20" i="1" s="1"/>
  <c r="D38" i="4"/>
  <c r="K17" i="4" s="1"/>
  <c r="K29" i="4" s="1"/>
  <c r="F24" i="4"/>
  <c r="G24" i="4" s="1"/>
  <c r="F23" i="4"/>
  <c r="G23" i="4" s="1"/>
  <c r="F17" i="4"/>
  <c r="G17" i="4" s="1"/>
  <c r="F19" i="4"/>
  <c r="G19" i="4" s="1"/>
  <c r="F20" i="4"/>
  <c r="G20" i="4" s="1"/>
  <c r="G44" i="10"/>
  <c r="G51" i="10" s="1"/>
  <c r="I44" i="10"/>
  <c r="I51" i="10" s="1"/>
  <c r="H21" i="10"/>
  <c r="D33" i="11"/>
  <c r="D35" i="11" s="1"/>
  <c r="G25" i="4" l="1"/>
  <c r="I17" i="4"/>
  <c r="G21" i="4"/>
  <c r="F29" i="4"/>
  <c r="F24" i="10"/>
  <c r="G24" i="10" s="1"/>
  <c r="F23" i="10"/>
  <c r="G23" i="10" s="1"/>
  <c r="H25" i="10"/>
  <c r="G29" i="4" l="1"/>
  <c r="F25" i="10"/>
  <c r="G25" i="10" s="1"/>
  <c r="H26" i="10" l="1"/>
  <c r="F26" i="10"/>
  <c r="G26" i="10" s="1"/>
  <c r="F27" i="10"/>
  <c r="G27" i="10" s="1"/>
  <c r="H27" i="10"/>
  <c r="F28" i="10" l="1"/>
  <c r="G28" i="10" s="1"/>
  <c r="F29" i="10" l="1"/>
  <c r="G29" i="10" s="1"/>
  <c r="H29" i="10"/>
  <c r="F30" i="10" l="1"/>
  <c r="G30" i="10" s="1"/>
  <c r="H30" i="10"/>
  <c r="G52" i="10" l="1"/>
  <c r="G53" i="10" s="1"/>
  <c r="D12" i="10" s="1"/>
  <c r="F31" i="10"/>
  <c r="G31" i="10" s="1"/>
  <c r="H31" i="10"/>
  <c r="H32" i="10" l="1"/>
  <c r="H33" i="10" s="1"/>
  <c r="F7" i="6" s="1"/>
  <c r="F32" i="10"/>
  <c r="G32" i="10" s="1"/>
  <c r="G33" i="10" s="1"/>
  <c r="I33" i="10" s="1"/>
  <c r="D11" i="10" s="1"/>
  <c r="D13" i="10" l="1"/>
  <c r="H19" i="6" s="1"/>
  <c r="G202" i="1" l="1"/>
  <c r="I19" i="6"/>
  <c r="H10" i="3"/>
  <c r="A14" i="6"/>
  <c r="A15" i="6" s="1"/>
  <c r="G40" i="6"/>
  <c r="F14" i="6" s="1"/>
  <c r="F40" i="6" l="1"/>
  <c r="F13" i="6" s="1"/>
  <c r="E40" i="6"/>
  <c r="F11" i="6" s="1"/>
  <c r="D40" i="6"/>
  <c r="F20" i="6" s="1"/>
  <c r="C40" i="6"/>
  <c r="F19" i="6" s="1"/>
  <c r="D203" i="1" l="1"/>
  <c r="E11" i="3" s="1"/>
  <c r="F12" i="6"/>
  <c r="F15" i="6" s="1"/>
  <c r="F21" i="6" s="1"/>
  <c r="D202" i="1"/>
  <c r="E10" i="3" s="1"/>
  <c r="H20" i="6"/>
  <c r="G203" i="1" s="1"/>
  <c r="H11" i="3" s="1"/>
  <c r="F17" i="7"/>
  <c r="F23" i="7" s="1"/>
  <c r="F24" i="7" s="1"/>
  <c r="F25" i="7" s="1"/>
  <c r="F26" i="7" s="1"/>
  <c r="F27" i="7" s="1"/>
  <c r="F28" i="7" s="1"/>
  <c r="F29" i="7" s="1"/>
  <c r="F30" i="7" s="1"/>
  <c r="F31" i="7" s="1"/>
  <c r="F32" i="7" s="1"/>
  <c r="F33" i="7" s="1"/>
  <c r="F34" i="7" s="1"/>
  <c r="A3" i="12"/>
  <c r="G34" i="12"/>
  <c r="H34" i="12" s="1"/>
  <c r="G33" i="12"/>
  <c r="H33" i="12" s="1"/>
  <c r="H32" i="12"/>
  <c r="G32" i="12"/>
  <c r="G31" i="12"/>
  <c r="H31" i="12" s="1"/>
  <c r="H30" i="12"/>
  <c r="G30" i="12"/>
  <c r="G29" i="12"/>
  <c r="H29" i="12" s="1"/>
  <c r="G28" i="12"/>
  <c r="H28" i="12" s="1"/>
  <c r="G27" i="12"/>
  <c r="H27" i="12" s="1"/>
  <c r="G26" i="12"/>
  <c r="H26" i="12" s="1"/>
  <c r="G22" i="12"/>
  <c r="H22" i="12" s="1"/>
  <c r="H21" i="12"/>
  <c r="G21" i="12"/>
  <c r="G20" i="12"/>
  <c r="H20" i="12" s="1"/>
  <c r="H19" i="12"/>
  <c r="G19" i="12"/>
  <c r="G18" i="12"/>
  <c r="H18" i="12" s="1"/>
  <c r="G17" i="12"/>
  <c r="H17" i="12" s="1"/>
  <c r="G16" i="12"/>
  <c r="H16" i="12" s="1"/>
  <c r="G15" i="12"/>
  <c r="H15" i="12" s="1"/>
  <c r="F41" i="7" l="1"/>
  <c r="F42" i="7" s="1"/>
  <c r="F43" i="7" s="1"/>
  <c r="F44" i="7" s="1"/>
  <c r="F45" i="7" s="1"/>
  <c r="F46" i="7" s="1"/>
  <c r="F47" i="7" s="1"/>
  <c r="F48" i="7" s="1"/>
  <c r="F49" i="7" s="1"/>
  <c r="F50" i="7" s="1"/>
  <c r="F51" i="7" s="1"/>
  <c r="F52" i="7" s="1"/>
  <c r="F38" i="7"/>
  <c r="D204" i="1"/>
  <c r="E12" i="3" s="1"/>
  <c r="E13" i="3" s="1"/>
  <c r="I71" i="1"/>
  <c r="I66" i="1"/>
  <c r="I64" i="1"/>
  <c r="F42" i="5" l="1"/>
  <c r="D86" i="1" s="1"/>
  <c r="I72" i="5" l="1"/>
  <c r="I71" i="5"/>
  <c r="D125" i="1" l="1"/>
  <c r="E13" i="9"/>
  <c r="E15" i="9" s="1"/>
  <c r="D15" i="9" l="1"/>
  <c r="F15" i="9" s="1"/>
  <c r="D127" i="1" s="1"/>
  <c r="I78" i="1"/>
  <c r="I73" i="5" l="1"/>
  <c r="D90" i="1" s="1"/>
  <c r="D73" i="5"/>
  <c r="G90" i="1" l="1"/>
  <c r="I90" i="1" s="1"/>
  <c r="F5" i="2" l="1"/>
  <c r="F50" i="2" s="1"/>
  <c r="P50" i="2" s="1"/>
  <c r="F49" i="2"/>
  <c r="F48" i="2"/>
  <c r="I128" i="1"/>
  <c r="E17" i="3"/>
  <c r="E21" i="3" s="1"/>
  <c r="E28" i="3" s="1"/>
  <c r="A7" i="3"/>
  <c r="A10" i="3" s="1"/>
  <c r="A11" i="3" s="1"/>
  <c r="A12" i="3" s="1"/>
  <c r="A13" i="3" s="1"/>
  <c r="A14" i="3" s="1"/>
  <c r="H42" i="5"/>
  <c r="D88" i="1" s="1"/>
  <c r="G42" i="5"/>
  <c r="D87" i="1" s="1"/>
  <c r="E42" i="5"/>
  <c r="D85" i="1" s="1"/>
  <c r="D205" i="1"/>
  <c r="D153" i="1"/>
  <c r="U68" i="2"/>
  <c r="D3" i="8"/>
  <c r="A9" i="6"/>
  <c r="A11" i="6" s="1"/>
  <c r="A12" i="6" s="1"/>
  <c r="A13" i="6" s="1"/>
  <c r="A19" i="6" s="1"/>
  <c r="A20" i="6" s="1"/>
  <c r="A21" i="6" s="1"/>
  <c r="A22" i="6" s="1"/>
  <c r="A27" i="6" s="1"/>
  <c r="A28" i="6" s="1"/>
  <c r="A29" i="6" s="1"/>
  <c r="A30" i="6" s="1"/>
  <c r="A31" i="6" s="1"/>
  <c r="A32" i="6" s="1"/>
  <c r="A33" i="6" s="1"/>
  <c r="A34" i="6" s="1"/>
  <c r="A35" i="6" s="1"/>
  <c r="A36" i="6" s="1"/>
  <c r="A37" i="6" s="1"/>
  <c r="A38" i="6" s="1"/>
  <c r="A39" i="6" s="1"/>
  <c r="A40" i="6" s="1"/>
  <c r="D14" i="1"/>
  <c r="I42" i="5"/>
  <c r="D89" i="1" s="1"/>
  <c r="I138" i="1"/>
  <c r="E22" i="3"/>
  <c r="J23" i="5"/>
  <c r="D74" i="1" s="1"/>
  <c r="F128" i="1"/>
  <c r="I23" i="5"/>
  <c r="D72" i="1" s="1"/>
  <c r="D42" i="5"/>
  <c r="D93" i="1" s="1"/>
  <c r="I93" i="1" s="1"/>
  <c r="H23" i="5"/>
  <c r="D101" i="1" s="1"/>
  <c r="G23" i="5"/>
  <c r="D100" i="1" s="1"/>
  <c r="F23" i="5"/>
  <c r="D96" i="1" s="1"/>
  <c r="E23" i="5"/>
  <c r="D91" i="1" s="1"/>
  <c r="I91" i="1" s="1"/>
  <c r="D23" i="5"/>
  <c r="D67" i="1" s="1"/>
  <c r="C23" i="5"/>
  <c r="D65" i="1" s="1"/>
  <c r="I183"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6" i="3" l="1"/>
  <c r="A17" i="3" s="1"/>
  <c r="D157" i="1"/>
  <c r="A16" i="1"/>
  <c r="A17" i="1" s="1"/>
  <c r="A193" i="1"/>
  <c r="A194" i="1" s="1"/>
  <c r="A195" i="1" s="1"/>
  <c r="A196" i="1" s="1"/>
  <c r="A126" i="1"/>
  <c r="A127" i="1" s="1"/>
  <c r="A128" i="1" s="1"/>
  <c r="A129" i="1" s="1"/>
  <c r="A130" i="1" s="1"/>
  <c r="A66" i="1"/>
  <c r="A67" i="1" s="1"/>
  <c r="A68" i="1" s="1"/>
  <c r="F22" i="6"/>
  <c r="D150" i="1"/>
  <c r="D75" i="1"/>
  <c r="D18" i="1"/>
  <c r="I186" i="1"/>
  <c r="D79" i="1"/>
  <c r="D68" i="1"/>
  <c r="E26" i="3"/>
  <c r="E27" i="3"/>
  <c r="I130" i="1"/>
  <c r="D81" i="1"/>
  <c r="A18" i="3"/>
  <c r="B25" i="3" s="1"/>
  <c r="B21" i="3"/>
  <c r="E204" i="1" l="1"/>
  <c r="A131" i="1"/>
  <c r="A132" i="1" s="1"/>
  <c r="A133" i="1" s="1"/>
  <c r="A135" i="1" s="1"/>
  <c r="A136" i="1" s="1"/>
  <c r="C196" i="1"/>
  <c r="A18" i="1"/>
  <c r="A20" i="1" s="1"/>
  <c r="A199" i="1"/>
  <c r="A200" i="1" s="1"/>
  <c r="A201" i="1" s="1"/>
  <c r="A202" i="1" s="1"/>
  <c r="A70" i="1"/>
  <c r="A71" i="1" s="1"/>
  <c r="C78" i="1" s="1"/>
  <c r="D82" i="1"/>
  <c r="I188" i="1"/>
  <c r="A19" i="3"/>
  <c r="A20" i="3" s="1"/>
  <c r="A21" i="3" s="1"/>
  <c r="D162" i="1"/>
  <c r="D163" i="1"/>
  <c r="D164" i="1"/>
  <c r="E203" i="1" l="1"/>
  <c r="I20" i="6"/>
  <c r="E202" i="1"/>
  <c r="A21" i="1"/>
  <c r="A23" i="1" s="1"/>
  <c r="C132" i="1"/>
  <c r="A203" i="1"/>
  <c r="A204" i="1" s="1"/>
  <c r="A205" i="1" s="1"/>
  <c r="A207" i="1" s="1"/>
  <c r="A209" i="1" s="1"/>
  <c r="A137" i="1"/>
  <c r="A72" i="1"/>
  <c r="A73" i="1" s="1"/>
  <c r="G126" i="1"/>
  <c r="G14" i="1"/>
  <c r="I14" i="1" s="1"/>
  <c r="G119" i="1"/>
  <c r="G96" i="1"/>
  <c r="G16" i="1"/>
  <c r="G136" i="1"/>
  <c r="G118" i="1"/>
  <c r="G72" i="1"/>
  <c r="G131" i="1"/>
  <c r="G117" i="1"/>
  <c r="G65" i="1"/>
  <c r="I65" i="1" s="1"/>
  <c r="I15" i="2" s="1"/>
  <c r="G15" i="1"/>
  <c r="I15" i="1" s="1"/>
  <c r="G100" i="1"/>
  <c r="G17" i="1"/>
  <c r="E193" i="1"/>
  <c r="G193" i="1" s="1"/>
  <c r="G196" i="1" s="1"/>
  <c r="A22" i="3"/>
  <c r="A23" i="3" s="1"/>
  <c r="A24" i="3" s="1"/>
  <c r="A25" i="3" s="1"/>
  <c r="F65" i="2" l="1"/>
  <c r="F59" i="2"/>
  <c r="F61" i="2" s="1"/>
  <c r="F10" i="3"/>
  <c r="I10" i="3" s="1"/>
  <c r="I202" i="1"/>
  <c r="F11" i="3"/>
  <c r="I11" i="3" s="1"/>
  <c r="I203" i="1"/>
  <c r="C79" i="1"/>
  <c r="C14" i="1"/>
  <c r="A211" i="1"/>
  <c r="C15" i="1" s="1"/>
  <c r="C205" i="1"/>
  <c r="A138" i="1"/>
  <c r="C139" i="1" s="1"/>
  <c r="A74" i="1"/>
  <c r="C80" i="1"/>
  <c r="I100" i="1"/>
  <c r="I126" i="1"/>
  <c r="I196" i="1"/>
  <c r="I17" i="1"/>
  <c r="I118" i="1"/>
  <c r="I72" i="1"/>
  <c r="I79" i="1" s="1"/>
  <c r="B26" i="3"/>
  <c r="B28" i="3"/>
  <c r="I96" i="1"/>
  <c r="I136" i="1"/>
  <c r="B27" i="3"/>
  <c r="A26" i="3"/>
  <c r="A27" i="3" s="1"/>
  <c r="A28" i="3" s="1"/>
  <c r="A29" i="3" s="1"/>
  <c r="A31" i="3" s="1"/>
  <c r="F69" i="2" l="1"/>
  <c r="G124" i="1"/>
  <c r="I124" i="1" s="1"/>
  <c r="G123" i="1"/>
  <c r="I123" i="1" s="1"/>
  <c r="A139" i="1"/>
  <c r="C81" i="1"/>
  <c r="A75" i="1"/>
  <c r="G144" i="1"/>
  <c r="G125" i="1"/>
  <c r="G143" i="1"/>
  <c r="G122" i="1"/>
  <c r="G67" i="1"/>
  <c r="I67" i="1" s="1"/>
  <c r="G137" i="1"/>
  <c r="G121" i="1"/>
  <c r="G127" i="1"/>
  <c r="G120" i="1"/>
  <c r="G74" i="1"/>
  <c r="I74" i="1" s="1"/>
  <c r="I131" i="1"/>
  <c r="I132" i="1" s="1"/>
  <c r="I16" i="1"/>
  <c r="I18" i="1" s="1"/>
  <c r="A33" i="3"/>
  <c r="A34" i="3" s="1"/>
  <c r="A35" i="3" s="1"/>
  <c r="A36" i="3" s="1"/>
  <c r="A37" i="3" s="1"/>
  <c r="A38" i="3" s="1"/>
  <c r="I16" i="2"/>
  <c r="B29" i="3"/>
  <c r="I65" i="2" l="1"/>
  <c r="I59" i="2"/>
  <c r="I61" i="2" s="1"/>
  <c r="A141" i="1"/>
  <c r="A142" i="1" s="1"/>
  <c r="A143" i="1" s="1"/>
  <c r="A144" i="1" s="1"/>
  <c r="A145" i="1" s="1"/>
  <c r="A146" i="1" s="1"/>
  <c r="A147" i="1" s="1"/>
  <c r="A148" i="1" s="1"/>
  <c r="A149" i="1" s="1"/>
  <c r="A150" i="1" s="1"/>
  <c r="A152" i="1" s="1"/>
  <c r="A153" i="1" s="1"/>
  <c r="I30" i="2"/>
  <c r="I31" i="2" s="1"/>
  <c r="K31" i="2" s="1"/>
  <c r="A77" i="1"/>
  <c r="A78" i="1" s="1"/>
  <c r="A79" i="1" s="1"/>
  <c r="A80" i="1" s="1"/>
  <c r="A81" i="1" s="1"/>
  <c r="C82" i="1"/>
  <c r="I75" i="1"/>
  <c r="I68" i="1"/>
  <c r="G68" i="1" s="1"/>
  <c r="I81" i="1"/>
  <c r="I121" i="1"/>
  <c r="I137" i="1"/>
  <c r="I23" i="2" s="1"/>
  <c r="M59" i="2" s="1"/>
  <c r="M61" i="2" s="1"/>
  <c r="M69" i="2" s="1"/>
  <c r="I69" i="2" l="1"/>
  <c r="C150" i="1"/>
  <c r="B157" i="1"/>
  <c r="A154" i="1"/>
  <c r="A82" i="1"/>
  <c r="G101" i="1"/>
  <c r="I101" i="1" s="1"/>
  <c r="G149" i="1"/>
  <c r="I149" i="1" s="1"/>
  <c r="G148" i="1"/>
  <c r="I148" i="1" s="1"/>
  <c r="G146" i="1"/>
  <c r="I146" i="1" s="1"/>
  <c r="I82" i="1"/>
  <c r="G82" i="1" s="1"/>
  <c r="I122" i="1"/>
  <c r="I144" i="1"/>
  <c r="I143" i="1"/>
  <c r="A155" i="1" l="1"/>
  <c r="A156" i="1" s="1"/>
  <c r="A157" i="1" s="1"/>
  <c r="A84" i="1"/>
  <c r="A85" i="1" s="1"/>
  <c r="H26" i="3"/>
  <c r="I26" i="3" s="1"/>
  <c r="G89" i="1"/>
  <c r="G164" i="1"/>
  <c r="G88" i="1"/>
  <c r="G163" i="1"/>
  <c r="G87" i="1"/>
  <c r="G162" i="1"/>
  <c r="G86" i="1"/>
  <c r="I24" i="2"/>
  <c r="K24" i="2" s="1"/>
  <c r="I139" i="1"/>
  <c r="I150" i="1"/>
  <c r="I27" i="2" s="1"/>
  <c r="I28" i="2" s="1"/>
  <c r="K28" i="2" s="1"/>
  <c r="I125" i="1"/>
  <c r="I127" i="1"/>
  <c r="A158" i="1" l="1"/>
  <c r="A159" i="1" s="1"/>
  <c r="A160" i="1" s="1"/>
  <c r="A161" i="1" s="1"/>
  <c r="H27" i="3"/>
  <c r="H28" i="3" s="1"/>
  <c r="I28" i="3" s="1"/>
  <c r="A86" i="1"/>
  <c r="A87" i="1" s="1"/>
  <c r="A88" i="1" s="1"/>
  <c r="A89" i="1" s="1"/>
  <c r="I162" i="1"/>
  <c r="I86" i="1"/>
  <c r="I164" i="1"/>
  <c r="I163" i="1"/>
  <c r="A90" i="1" l="1"/>
  <c r="A91" i="1" s="1"/>
  <c r="A92" i="1" s="1"/>
  <c r="A93" i="1" s="1"/>
  <c r="C164" i="1"/>
  <c r="I27" i="3"/>
  <c r="C162" i="1"/>
  <c r="C163" i="1"/>
  <c r="A162" i="1"/>
  <c r="A163" i="1" s="1"/>
  <c r="A164" i="1" s="1"/>
  <c r="A165" i="1" s="1"/>
  <c r="I89" i="1"/>
  <c r="I87" i="1"/>
  <c r="I88" i="1"/>
  <c r="A94" i="1" l="1"/>
  <c r="C94" i="1"/>
  <c r="A167" i="1"/>
  <c r="A168" i="1" s="1"/>
  <c r="C170" i="1" s="1"/>
  <c r="C165" i="1"/>
  <c r="A96" i="1" l="1"/>
  <c r="A98" i="1" s="1"/>
  <c r="A99" i="1" s="1"/>
  <c r="A100" i="1" s="1"/>
  <c r="A101" i="1" s="1"/>
  <c r="A102" i="1" s="1"/>
  <c r="A104" i="1" s="1"/>
  <c r="C168" i="1" s="1"/>
  <c r="A170" i="1"/>
  <c r="C161" i="1"/>
  <c r="I21" i="6"/>
  <c r="I22" i="6" s="1"/>
  <c r="G204" i="1"/>
  <c r="C102" i="1" l="1"/>
  <c r="C104" i="1"/>
  <c r="I204" i="1"/>
  <c r="I205" i="1" s="1"/>
  <c r="I12" i="3"/>
  <c r="I13" i="3" s="1"/>
  <c r="D154" i="1" l="1"/>
  <c r="E18" i="3"/>
  <c r="I24" i="4" l="1"/>
  <c r="I25" i="4" l="1"/>
  <c r="H25" i="4"/>
  <c r="H21" i="4"/>
  <c r="I19" i="4"/>
  <c r="I21" i="4" s="1"/>
  <c r="I29" i="4" l="1"/>
  <c r="H29" i="4"/>
  <c r="D9" i="7" s="1"/>
  <c r="G9" i="7" s="1"/>
  <c r="I56" i="7" l="1"/>
  <c r="D23" i="7"/>
  <c r="D24" i="7" l="1"/>
  <c r="H23" i="7"/>
  <c r="K23" i="7" l="1"/>
  <c r="D25" i="7"/>
  <c r="D26" i="7" s="1"/>
  <c r="H24" i="7"/>
  <c r="K24" i="7" s="1"/>
  <c r="H25" i="7" l="1"/>
  <c r="K25" i="7" l="1"/>
  <c r="D27" i="7"/>
  <c r="H26" i="7"/>
  <c r="K26" i="7" s="1"/>
  <c r="D28" i="7" l="1"/>
  <c r="H27" i="7"/>
  <c r="K27" i="7" l="1"/>
  <c r="D29" i="7"/>
  <c r="H28" i="7"/>
  <c r="K28" i="7" s="1"/>
  <c r="D30" i="7" l="1"/>
  <c r="H29" i="7"/>
  <c r="K29" i="7" l="1"/>
  <c r="D31" i="7"/>
  <c r="H30" i="7"/>
  <c r="K30" i="7" s="1"/>
  <c r="D32" i="7" l="1"/>
  <c r="H31" i="7"/>
  <c r="K31" i="7" s="1"/>
  <c r="D33" i="7" l="1"/>
  <c r="H32" i="7"/>
  <c r="K32" i="7" s="1"/>
  <c r="D34" i="7" l="1"/>
  <c r="H34" i="7" s="1"/>
  <c r="H33" i="7"/>
  <c r="K33" i="7" s="1"/>
  <c r="K34" i="7" l="1"/>
  <c r="K35" i="7" s="1"/>
  <c r="D38" i="7" s="1"/>
  <c r="H35" i="7"/>
  <c r="H38" i="7" l="1"/>
  <c r="K38" i="7" s="1"/>
  <c r="D41" i="7" l="1"/>
  <c r="I41" i="7"/>
  <c r="I42" i="7" l="1"/>
  <c r="I43" i="7" s="1"/>
  <c r="I44" i="7" s="1"/>
  <c r="I45" i="7" s="1"/>
  <c r="I46" i="7" s="1"/>
  <c r="I47" i="7" s="1"/>
  <c r="I48" i="7" s="1"/>
  <c r="I49" i="7" s="1"/>
  <c r="I50" i="7" s="1"/>
  <c r="I51" i="7" s="1"/>
  <c r="I52" i="7" s="1"/>
  <c r="K41" i="7"/>
  <c r="D42" i="7" s="1"/>
  <c r="H41" i="7"/>
  <c r="I55" i="7" l="1"/>
  <c r="I57" i="7" s="1"/>
  <c r="J31" i="4" s="1"/>
  <c r="J19" i="4" s="1"/>
  <c r="K42" i="7"/>
  <c r="D43" i="7" s="1"/>
  <c r="H42" i="7"/>
  <c r="J23" i="4" l="1"/>
  <c r="L23" i="4" s="1"/>
  <c r="J20" i="4"/>
  <c r="L20" i="4" s="1"/>
  <c r="T60" i="2" s="1"/>
  <c r="J17" i="4"/>
  <c r="L17" i="4" s="1"/>
  <c r="J24" i="4"/>
  <c r="L24" i="4" s="1"/>
  <c r="T64" i="2" s="1"/>
  <c r="L19" i="4"/>
  <c r="K43" i="7"/>
  <c r="D44" i="7" s="1"/>
  <c r="H43" i="7"/>
  <c r="J25" i="4" l="1"/>
  <c r="J21" i="4"/>
  <c r="T63" i="2"/>
  <c r="L25" i="4"/>
  <c r="L21" i="4"/>
  <c r="T59" i="2"/>
  <c r="K44" i="7"/>
  <c r="D45" i="7" s="1"/>
  <c r="H44" i="7"/>
  <c r="J29" i="4" l="1"/>
  <c r="D21" i="1" s="1"/>
  <c r="I21" i="1" s="1"/>
  <c r="L29" i="4"/>
  <c r="T61" i="2"/>
  <c r="T65" i="2"/>
  <c r="K45" i="7"/>
  <c r="D46" i="7" s="1"/>
  <c r="H45" i="7"/>
  <c r="T69" i="2" l="1"/>
  <c r="K46" i="7"/>
  <c r="D47" i="7" s="1"/>
  <c r="H46" i="7"/>
  <c r="K47" i="7" l="1"/>
  <c r="D48" i="7" s="1"/>
  <c r="H47" i="7"/>
  <c r="K48" i="7" l="1"/>
  <c r="D49" i="7" s="1"/>
  <c r="H48" i="7"/>
  <c r="K49" i="7" l="1"/>
  <c r="D50" i="7" s="1"/>
  <c r="H49" i="7"/>
  <c r="K50" i="7" l="1"/>
  <c r="D51" i="7" s="1"/>
  <c r="H50" i="7"/>
  <c r="K51" i="7" l="1"/>
  <c r="D52" i="7" s="1"/>
  <c r="H51" i="7"/>
  <c r="K52" i="7" l="1"/>
  <c r="H52" i="7"/>
  <c r="H53" i="7" s="1"/>
  <c r="I120" i="1" l="1"/>
  <c r="I119" i="1" l="1"/>
  <c r="D133" i="1"/>
  <c r="D99" i="1" l="1"/>
  <c r="D102" i="1" s="1"/>
  <c r="I117" i="1"/>
  <c r="I133" i="1" s="1"/>
  <c r="I19" i="2" l="1"/>
  <c r="I20" i="2" s="1"/>
  <c r="K20" i="2" s="1"/>
  <c r="K33" i="2" s="1"/>
  <c r="I99" i="1"/>
  <c r="I102" i="1" s="1"/>
  <c r="G59" i="2" l="1"/>
  <c r="H59" i="2" s="1"/>
  <c r="G63" i="2"/>
  <c r="H63" i="2" s="1"/>
  <c r="G64" i="2"/>
  <c r="H64" i="2" s="1"/>
  <c r="G60" i="2"/>
  <c r="H60" i="2" s="1"/>
  <c r="H61" i="2" l="1"/>
  <c r="H65" i="2"/>
  <c r="H69" i="2" l="1"/>
  <c r="I20" i="4"/>
  <c r="I23" i="4" l="1"/>
  <c r="C42" i="5" l="1"/>
  <c r="D92" i="1" s="1"/>
  <c r="D94" i="1" l="1"/>
  <c r="D104" i="1" s="1"/>
  <c r="D168" i="1" s="1"/>
  <c r="I92" i="1"/>
  <c r="I94" i="1" s="1"/>
  <c r="I104" i="1" s="1"/>
  <c r="I168" i="1" l="1"/>
  <c r="J5" i="3"/>
  <c r="D161" i="1"/>
  <c r="D165" i="1" s="1"/>
  <c r="D170" i="1" s="1"/>
  <c r="J33" i="3" l="1"/>
  <c r="I161" i="1"/>
  <c r="I165" i="1" s="1"/>
  <c r="I170" i="1" s="1"/>
  <c r="I11" i="1" s="1"/>
  <c r="I23" i="1" s="1"/>
  <c r="D29" i="1" s="1"/>
  <c r="I40" i="2"/>
  <c r="I41" i="2" s="1"/>
  <c r="J14" i="3"/>
  <c r="I25" i="3" s="1"/>
  <c r="I29" i="3" s="1"/>
  <c r="J29" i="3" s="1"/>
  <c r="J31" i="3" s="1"/>
  <c r="J37" i="3"/>
  <c r="K41" i="2" l="1"/>
  <c r="J34" i="3"/>
  <c r="J35" i="3" s="1"/>
  <c r="J36" i="3" s="1"/>
  <c r="J38" i="3" s="1"/>
  <c r="P59" i="2" s="1"/>
  <c r="I36" i="2"/>
  <c r="I37" i="2" s="1"/>
  <c r="K37" i="2" s="1"/>
  <c r="P60" i="2" l="1"/>
  <c r="P64" i="2"/>
  <c r="P63" i="2"/>
  <c r="I43" i="2"/>
  <c r="K43" i="2"/>
  <c r="P65" i="2" l="1"/>
  <c r="D32" i="1" s="1"/>
  <c r="P61" i="2"/>
  <c r="J60" i="2"/>
  <c r="K60" i="2" s="1"/>
  <c r="N60" i="2" s="1"/>
  <c r="J64" i="2"/>
  <c r="K64" i="2" s="1"/>
  <c r="N64" i="2" s="1"/>
  <c r="J63" i="2"/>
  <c r="K63" i="2" s="1"/>
  <c r="J59" i="2"/>
  <c r="K59" i="2" s="1"/>
  <c r="N59" i="2" s="1"/>
  <c r="S59" i="2" s="1"/>
  <c r="K61" i="2" l="1"/>
  <c r="K65" i="2"/>
  <c r="N63" i="2"/>
  <c r="Q64" i="2"/>
  <c r="S64" i="2"/>
  <c r="U64" i="2" s="1"/>
  <c r="S60" i="2"/>
  <c r="U60" i="2" s="1"/>
  <c r="Q60" i="2"/>
  <c r="P69" i="2"/>
  <c r="D49" i="1"/>
  <c r="N61" i="2" l="1"/>
  <c r="Q59" i="2"/>
  <c r="Q61" i="2" s="1"/>
  <c r="S63" i="2"/>
  <c r="Q63" i="2"/>
  <c r="Q65" i="2" s="1"/>
  <c r="N65" i="2"/>
  <c r="K69" i="2"/>
  <c r="N69" i="2" l="1"/>
  <c r="S65" i="2"/>
  <c r="U63" i="2"/>
  <c r="U65" i="2" s="1"/>
  <c r="Q69" i="2"/>
  <c r="U59" i="2"/>
  <c r="U61" i="2" s="1"/>
  <c r="S61" i="2"/>
  <c r="S69" i="2" l="1"/>
  <c r="D30" i="1"/>
  <c r="D31" i="1" s="1"/>
  <c r="D33" i="1" s="1"/>
  <c r="D38" i="1" s="1"/>
  <c r="U69" i="2"/>
  <c r="D48" i="1"/>
  <c r="D50" i="1" s="1"/>
  <c r="D40" i="1" l="1"/>
  <c r="D43" i="1"/>
  <c r="D39" i="1"/>
  <c r="D41" i="1"/>
  <c r="D42" i="1"/>
  <c r="D44" i="1"/>
</calcChain>
</file>

<file path=xl/sharedStrings.xml><?xml version="1.0" encoding="utf-8"?>
<sst xmlns="http://schemas.openxmlformats.org/spreadsheetml/2006/main" count="1295" uniqueCount="862">
  <si>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</si>
  <si>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</si>
  <si>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</si>
  <si>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</si>
  <si>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</si>
  <si>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</si>
  <si>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</si>
  <si>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</si>
  <si>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</si>
  <si>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</si>
  <si>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</si>
  <si>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</si>
  <si>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</si>
  <si>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</si>
  <si>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</si>
  <si>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</si>
  <si>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</si>
  <si>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</si>
  <si>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</si>
  <si>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</si>
  <si>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</si>
  <si>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</si>
  <si>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</si>
  <si>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</si>
  <si>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</si>
  <si>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</si>
  <si>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</si>
  <si>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</si>
  <si>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</si>
  <si>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</si>
  <si>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</si>
  <si>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</si>
  <si>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</si>
  <si>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</si>
  <si>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</si>
  <si>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</si>
  <si>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</si>
  <si>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</si>
  <si>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</si>
  <si>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</si>
  <si>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</si>
  <si>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</si>
  <si>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</si>
  <si>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</si>
  <si>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</si>
  <si>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</si>
  <si>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</si>
  <si>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</si>
  <si>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</si>
  <si>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</si>
  <si>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</si>
  <si>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</si>
  <si>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</si>
  <si>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</si>
  <si>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</si>
  <si>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</si>
  <si>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</si>
  <si>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</si>
  <si>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</si>
  <si>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</si>
  <si>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</si>
  <si>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</si>
  <si>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</si>
  <si>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</si>
  <si>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</si>
  <si>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</si>
  <si>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</si>
  <si>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</si>
  <si>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</si>
  <si>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</si>
  <si>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</si>
  <si>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</si>
  <si>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</si>
  <si>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</si>
  <si>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</si>
  <si>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</si>
  <si>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</si>
  <si>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</si>
  <si>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</si>
  <si>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</si>
  <si>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</si>
  <si>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</si>
  <si>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</si>
  <si>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</si>
  <si>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</si>
  <si>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</si>
  <si>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</si>
  <si>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</si>
  <si>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</si>
  <si>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</si>
  <si>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</si>
  <si>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</si>
  <si>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</si>
  <si>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</si>
  <si>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</si>
  <si>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</si>
  <si>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</si>
  <si>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</si>
  <si>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</si>
  <si>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</si>
  <si>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</si>
  <si>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</si>
  <si>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</si>
  <si>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</si>
  <si>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</si>
  <si>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</si>
  <si>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</si>
  <si>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</si>
  <si>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</si>
  <si>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</si>
  <si>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</si>
  <si>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</si>
  <si>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</si>
  <si>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</si>
  <si>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</si>
  <si>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</si>
  <si>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</si>
  <si>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</si>
  <si>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</si>
  <si>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</si>
  <si>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</si>
  <si>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</si>
  <si>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</si>
  <si>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</si>
  <si>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</si>
  <si>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</si>
  <si>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</si>
  <si>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</si>
  <si>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</si>
  <si>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</si>
  <si>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</si>
  <si>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</si>
  <si>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</si>
  <si>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</si>
  <si>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</si>
  <si>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</si>
  <si>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</si>
  <si>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</si>
  <si>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</si>
  <si>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</si>
  <si>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</si>
  <si>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</si>
  <si>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</si>
  <si>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</si>
  <si>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</si>
  <si>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</si>
  <si>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</si>
  <si>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</si>
  <si>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</si>
  <si>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</si>
  <si>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</si>
  <si>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</si>
  <si>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</si>
  <si>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</si>
  <si>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</si>
  <si>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</si>
  <si>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</si>
  <si>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</si>
  <si>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</si>
  <si>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</si>
  <si>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</si>
  <si>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</si>
  <si>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</si>
  <si>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</si>
  <si>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</si>
  <si>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</si>
  <si>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</si>
  <si>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</si>
  <si>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</si>
  <si>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</si>
  <si>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</si>
  <si>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</si>
  <si>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</si>
  <si>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</si>
  <si>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</si>
  <si>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</si>
  <si>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</si>
  <si>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</si>
  <si>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</si>
  <si>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</si>
  <si>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</si>
  <si>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</si>
  <si>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</si>
  <si>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</si>
  <si>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</si>
  <si>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</si>
  <si>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</si>
  <si>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</si>
  <si>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</si>
  <si>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</si>
  <si>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</si>
  <si>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</si>
  <si>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</si>
  <si>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</si>
  <si>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</si>
  <si>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</si>
  <si>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</si>
  <si>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</si>
  <si>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</si>
  <si>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</si>
  <si>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</si>
  <si>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</si>
  <si>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</si>
  <si>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</si>
  <si>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</si>
  <si>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</si>
  <si>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</si>
  <si>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</si>
  <si>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</si>
  <si>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</si>
  <si>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</si>
  <si>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</si>
  <si>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</si>
  <si>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</si>
  <si>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</si>
  <si>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</si>
  <si>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</si>
  <si>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</si>
  <si>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</si>
  <si>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</si>
  <si>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</si>
  <si>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</si>
  <si>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</si>
  <si>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</si>
  <si>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</si>
  <si>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</si>
  <si>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</si>
  <si>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</si>
  <si>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</si>
  <si>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</si>
  <si>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</si>
  <si>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</si>
  <si>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</si>
  <si>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</si>
  <si>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</si>
  <si>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</si>
  <si>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</si>
  <si>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</si>
  <si>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</si>
  <si>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</si>
  <si>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</si>
  <si>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</si>
  <si>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</si>
  <si>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</si>
  <si>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</si>
  <si>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</si>
  <si>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</si>
  <si>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</si>
  <si>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</si>
  <si>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</si>
  <si>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</si>
  <si>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</si>
  <si>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</si>
  <si>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</si>
  <si>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</si>
  <si>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</si>
  <si>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</si>
  <si>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</si>
  <si>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</si>
  <si>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</si>
  <si>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</si>
  <si>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</si>
  <si>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</si>
  <si>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</si>
  <si>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</si>
  <si>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</si>
  <si>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</si>
  <si>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</si>
  <si>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</si>
  <si>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</si>
  <si>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</si>
  <si>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</si>
  <si>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</si>
  <si>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</si>
  <si>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</si>
  <si>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</si>
  <si>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</si>
  <si>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</si>
  <si>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</si>
  <si>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</si>
  <si>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</si>
  <si>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</si>
  <si>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</si>
  <si>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</si>
  <si>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</si>
  <si>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</si>
  <si>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</si>
  <si>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</si>
  <si>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</si>
  <si>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</si>
  <si>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</si>
  <si>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</si>
  <si>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</si>
  <si>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</si>
  <si>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</si>
  <si>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</si>
  <si>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</si>
  <si>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</si>
  <si>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</si>
  <si>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</si>
  <si>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</si>
  <si>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</si>
  <si>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</si>
  <si>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</si>
  <si>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</si>
  <si>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</si>
  <si>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</si>
  <si>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</si>
  <si>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</si>
  <si>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</si>
  <si>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</si>
  <si>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</si>
  <si>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</si>
  <si>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</si>
  <si>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</si>
  <si>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</si>
  <si>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</si>
  <si>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</si>
  <si>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</si>
  <si>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</si>
  <si>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</si>
  <si>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</si>
  <si>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</si>
  <si>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</si>
  <si>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</si>
  <si>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</si>
  <si>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</si>
  <si>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</si>
  <si>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</si>
  <si>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</si>
  <si>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</si>
  <si>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</si>
  <si>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</si>
  <si>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</si>
  <si>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</si>
  <si>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</si>
  <si>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</si>
  <si>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</si>
  <si>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</si>
  <si>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</si>
  <si>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</si>
  <si>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</si>
  <si>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</si>
  <si>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</si>
  <si>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</si>
  <si>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</si>
  <si>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</si>
  <si>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</si>
  <si>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</si>
  <si>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</si>
  <si>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</si>
  <si>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</si>
  <si>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</si>
  <si>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</si>
  <si>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</si>
  <si>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</si>
  <si>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</si>
  <si>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</si>
  <si>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</si>
  <si>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</si>
  <si>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</si>
  <si>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</si>
  <si>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</si>
  <si>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</si>
  <si>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</si>
  <si>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</si>
  <si>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</si>
  <si>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</si>
  <si>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</si>
  <si>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</si>
  <si>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</si>
  <si>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</si>
  <si>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</si>
  <si>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</si>
  <si>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</si>
  <si>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</si>
  <si>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</si>
  <si>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</si>
  <si>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</si>
  <si>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</si>
  <si>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</si>
  <si>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</si>
  <si>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</si>
  <si>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</si>
  <si>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</si>
  <si>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</si>
  <si>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</si>
  <si>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</si>
  <si>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</si>
  <si>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</si>
  <si>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</si>
  <si>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</si>
  <si>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</si>
  <si>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</si>
  <si>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</si>
  <si>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</si>
  <si>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</si>
  <si>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</si>
  <si>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</si>
  <si>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</si>
  <si>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</si>
  <si>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</si>
  <si>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</si>
  <si>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</si>
  <si>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</si>
  <si>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</si>
  <si>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</si>
  <si>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</si>
  <si>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</si>
  <si>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</si>
  <si>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</si>
  <si>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</si>
  <si>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</si>
  <si>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</si>
  <si>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</si>
  <si>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</si>
  <si>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</si>
  <si>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</si>
  <si>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</si>
  <si>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</si>
  <si>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</si>
  <si>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</si>
  <si>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</si>
  <si>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</si>
  <si>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</si>
  <si>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</si>
  <si>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</si>
  <si>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</si>
  <si>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</si>
  <si>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</si>
  <si>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</si>
  <si>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</si>
  <si>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</si>
  <si>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</si>
  <si>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</si>
  <si>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</si>
  <si>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</si>
  <si>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</si>
  <si>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</si>
  <si>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</si>
  <si>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</si>
  <si>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</si>
  <si>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</si>
  <si>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</si>
  <si>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</si>
  <si>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</si>
  <si>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</si>
  <si>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</si>
  <si>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</si>
  <si>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</si>
  <si>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</si>
  <si>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</si>
  <si>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</si>
  <si>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</si>
  <si>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</si>
  <si>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</si>
  <si>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</si>
  <si>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</si>
  <si>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</si>
  <si>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</si>
  <si>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</si>
  <si>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</si>
  <si>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</si>
  <si>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</si>
  <si>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</si>
  <si>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</si>
  <si>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</si>
  <si>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</si>
  <si>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</si>
  <si>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</si>
  <si>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</si>
  <si>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</si>
  <si>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</si>
  <si>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</si>
  <si>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</si>
  <si>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</si>
  <si>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</si>
  <si>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</si>
  <si>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</si>
  <si>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</si>
  <si>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</si>
  <si>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</si>
  <si>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</si>
  <si>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</si>
  <si>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</si>
  <si>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</si>
  <si>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</si>
  <si>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</si>
  <si>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</si>
  <si>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</si>
  <si>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</si>
  <si>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</si>
  <si>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</si>
  <si>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</si>
  <si>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</si>
  <si>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</si>
  <si>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</si>
  <si>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</si>
  <si>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</si>
  <si>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</si>
  <si>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</si>
  <si>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</si>
  <si>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</si>
  <si>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</si>
  <si>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</si>
  <si>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</si>
  <si>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</si>
  <si>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</si>
  <si>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</si>
  <si>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</si>
  <si>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</si>
  <si>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</si>
  <si>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</si>
  <si>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</si>
  <si>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</si>
  <si>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</si>
  <si>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</si>
  <si>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</si>
  <si>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</si>
  <si>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</si>
  <si>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</si>
  <si>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</si>
  <si>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</si>
  <si>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</si>
  <si>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</si>
  <si>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</si>
  <si>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</si>
  <si>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</si>
  <si>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</si>
  <si>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</si>
  <si>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</si>
  <si>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</si>
  <si>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</si>
  <si>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</si>
  <si>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</si>
  <si>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</si>
  <si>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</si>
  <si>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</si>
  <si>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</si>
  <si>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</si>
  <si>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</si>
  <si>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</si>
  <si>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</si>
  <si>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</si>
  <si>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</si>
  <si>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</si>
  <si>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</si>
  <si>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</si>
  <si>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</si>
  <si>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</si>
  <si>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</si>
  <si>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</si>
  <si>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</si>
  <si>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</si>
  <si>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</si>
  <si>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</si>
  <si>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</si>
  <si>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</si>
  <si>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</si>
  <si>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</si>
  <si>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</si>
  <si>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</si>
  <si>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</si>
  <si>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</si>
  <si>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</si>
  <si>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</si>
  <si>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</si>
  <si>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</si>
  <si>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</si>
  <si>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</si>
  <si>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</si>
  <si>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</si>
  <si>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</si>
  <si>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</si>
  <si>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</si>
  <si>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</si>
  <si>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</si>
  <si>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</si>
  <si>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</si>
  <si>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</si>
  <si>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</si>
  <si>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</si>
  <si>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</si>
  <si>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</si>
  <si>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</si>
  <si>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</si>
  <si>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</si>
  <si>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</si>
  <si>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</si>
  <si>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</si>
  <si>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</si>
  <si>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</si>
  <si>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</si>
  <si>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</si>
  <si>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</si>
  <si>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</si>
  <si>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</si>
  <si>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</si>
  <si>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</si>
  <si>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</si>
  <si>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</si>
  <si>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</si>
  <si>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</si>
  <si>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</si>
  <si>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</si>
  <si>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</si>
  <si>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</si>
  <si>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</si>
  <si>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</si>
  <si>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</si>
  <si>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</si>
  <si>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</si>
  <si>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</si>
  <si>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</si>
  <si>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</si>
  <si>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</si>
  <si>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</si>
  <si>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</si>
  <si>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</si>
  <si>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</si>
  <si>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</si>
  <si>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</si>
  <si>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</si>
  <si>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</si>
  <si>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</si>
  <si>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</si>
  <si>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</si>
  <si>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</si>
  <si>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</si>
  <si>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</si>
  <si>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</si>
  <si>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</si>
  <si>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</si>
  <si>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</si>
  <si>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</si>
  <si>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</si>
  <si>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</si>
  <si>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</si>
  <si>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</si>
  <si>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</si>
  <si>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</si>
  <si>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</si>
  <si>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</si>
  <si>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</si>
  <si>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</si>
  <si>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</si>
  <si>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</si>
  <si>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</si>
  <si>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</si>
  <si>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</si>
  <si>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</si>
  <si>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</si>
  <si>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</si>
  <si>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</si>
  <si>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</si>
  <si>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</si>
  <si>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</si>
  <si>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</si>
  <si>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</si>
  <si>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</si>
  <si>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</si>
  <si>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</si>
  <si>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</si>
  <si>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</si>
  <si>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</si>
  <si>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</si>
  <si>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</si>
  <si>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</si>
  <si>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</si>
  <si>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</si>
  <si>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</si>
  <si>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</si>
  <si>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</si>
  <si>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</si>
  <si>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</si>
  <si>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</si>
  <si>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</si>
  <si>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</si>
  <si>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</si>
  <si>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</si>
  <si>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</si>
  <si>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</si>
  <si>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</si>
  <si>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</si>
  <si>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</si>
  <si>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</si>
  <si>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</si>
  <si>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</si>
  <si>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</si>
  <si>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</si>
  <si>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</si>
  <si>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</si>
  <si>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</si>
  <si>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</si>
  <si>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</si>
  <si>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</si>
  <si>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</si>
  <si>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</si>
  <si>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</si>
  <si>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</si>
  <si>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</si>
  <si>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</si>
  <si>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</si>
  <si>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</si>
  <si>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</si>
  <si>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</si>
  <si>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</si>
  <si>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</si>
  <si>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</si>
  <si>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</si>
  <si>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</si>
  <si>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</si>
  <si>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</si>
  <si>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</si>
  <si>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</si>
  <si>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</si>
  <si>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</si>
  <si>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</si>
  <si>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</si>
  <si>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</si>
  <si>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</si>
  <si>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</si>
  <si>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</si>
  <si>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</si>
  <si>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</si>
  <si>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</si>
  <si>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</si>
  <si>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</si>
  <si>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</si>
  <si>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</si>
  <si>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</si>
  <si>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</si>
  <si>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</si>
  <si>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</si>
  <si>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</si>
  <si>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</si>
  <si>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</si>
  <si>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</si>
  <si>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</si>
  <si>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</si>
  <si>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</si>
  <si>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</si>
  <si>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</si>
  <si>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</si>
  <si>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</si>
  <si>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</si>
  <si>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</si>
  <si>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</si>
  <si>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</si>
  <si>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</si>
  <si>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</si>
  <si>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</si>
  <si>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</si>
  <si>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</si>
  <si>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</si>
  <si>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</si>
  <si>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</si>
  <si>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</si>
  <si>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</si>
  <si>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</si>
  <si>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</si>
  <si>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</si>
  <si>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</si>
  <si>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</si>
  <si>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</si>
  <si>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</si>
  <si>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</si>
  <si>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</si>
  <si>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</si>
  <si>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</si>
  <si>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</si>
  <si>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</si>
  <si>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</si>
  <si>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</si>
  <si>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</si>
  <si>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</si>
  <si>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</si>
  <si>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</si>
  <si>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</si>
  <si>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</si>
  <si>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</si>
  <si>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</si>
  <si>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</si>
  <si>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</si>
  <si>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</si>
  <si>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</si>
  <si>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</si>
  <si>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</si>
  <si>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</si>
  <si>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</si>
  <si>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</si>
  <si>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</si>
  <si>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</si>
  <si>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</si>
  <si>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</si>
  <si>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</si>
  <si>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</si>
  <si>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</si>
  <si>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</si>
  <si>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</si>
  <si>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</si>
  <si>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</si>
  <si>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</si>
  <si>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</si>
  <si>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</si>
  <si>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</si>
  <si>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</si>
  <si>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</si>
  <si>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</si>
  <si>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</si>
  <si>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</si>
  <si>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</si>
  <si>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</si>
  <si>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</si>
  <si>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</si>
  <si>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</si>
  <si>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</si>
  <si>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</si>
  <si>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</si>
  <si>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</si>
  <si>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</si>
  <si>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</si>
  <si>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</si>
  <si>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</si>
  <si>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</si>
  <si>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</si>
  <si>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</si>
  <si>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</si>
  <si>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</si>
  <si>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</si>
  <si>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</si>
  <si>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</si>
  <si>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</si>
  <si>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</si>
  <si>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</si>
  <si>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</si>
  <si>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</si>
  <si>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</si>
  <si>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</si>
  <si>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</si>
  <si>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</si>
  <si>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</si>
  <si>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</si>
  <si>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</si>
  <si>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</si>
  <si>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</si>
  <si>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</si>
  <si>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</si>
  <si>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</si>
  <si>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</si>
  <si>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</si>
  <si>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</si>
  <si>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</si>
  <si>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</si>
  <si>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</si>
  <si>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</si>
  <si>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</si>
  <si>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</si>
  <si>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</si>
  <si>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Projected 12 months ended 12/31/17</t>
  </si>
  <si>
    <t>Year 2016 AEP East Zone Network Service Peak Load (1 CP)"</t>
  </si>
  <si>
    <t>Gross Fee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</si>
</sst>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s>
  <fonts count="12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61">
    <xf numFmtId="174" fontId="0" fillId="0" borderId="0" applyProtection="0"/>
    <xf numFmtId="0" fontId="14" fillId="0" borderId="0"/>
    <xf numFmtId="185" fontId="52" fillId="0" borderId="0" applyFont="0" applyFill="0" applyBorder="0" applyAlignment="0" applyProtection="0"/>
    <xf numFmtId="186" fontId="52" fillId="0" borderId="0" applyFont="0" applyFill="0" applyBorder="0" applyAlignment="0" applyProtection="0"/>
    <xf numFmtId="187" fontId="52" fillId="0" borderId="0" applyFont="0" applyFill="0" applyBorder="0" applyAlignment="0" applyProtection="0"/>
    <xf numFmtId="188" fontId="52" fillId="0" borderId="0" applyFont="0" applyFill="0" applyBorder="0" applyAlignment="0" applyProtection="0"/>
    <xf numFmtId="189" fontId="52" fillId="0" borderId="0" applyFont="0" applyFill="0" applyBorder="0" applyAlignment="0" applyProtection="0"/>
    <xf numFmtId="190" fontId="52" fillId="0" borderId="0" applyFont="0" applyFill="0" applyBorder="0" applyAlignment="0" applyProtection="0"/>
    <xf numFmtId="0" fontId="22" fillId="0" borderId="0"/>
    <xf numFmtId="191" fontId="14" fillId="2" borderId="0" applyNumberFormat="0" applyFill="0" applyBorder="0" applyAlignment="0" applyProtection="0">
      <alignment horizontal="right" vertical="center"/>
    </xf>
    <xf numFmtId="191" fontId="46" fillId="0" borderId="0" applyNumberFormat="0" applyFill="0" applyBorder="0" applyAlignment="0" applyProtection="0"/>
    <xf numFmtId="0" fontId="14" fillId="0" borderId="1" applyNumberFormat="0" applyFont="0" applyFill="0" applyAlignment="0" applyProtection="0"/>
    <xf numFmtId="192" fontId="44" fillId="0" borderId="0" applyFont="0" applyFill="0" applyBorder="0" applyAlignment="0" applyProtection="0"/>
    <xf numFmtId="193" fontId="52" fillId="0" borderId="0" applyFont="0" applyFill="0" applyBorder="0" applyProtection="0">
      <alignment horizontal="left"/>
    </xf>
    <xf numFmtId="194" fontId="52" fillId="0" borderId="0" applyFont="0" applyFill="0" applyBorder="0" applyProtection="0">
      <alignment horizontal="left"/>
    </xf>
    <xf numFmtId="195" fontId="52" fillId="0" borderId="0" applyFont="0" applyFill="0" applyBorder="0" applyProtection="0">
      <alignment horizontal="left"/>
    </xf>
    <xf numFmtId="37" fontId="53" fillId="0" borderId="0" applyFont="0" applyFill="0" applyBorder="0" applyAlignment="0" applyProtection="0">
      <alignment vertical="center"/>
      <protection locked="0"/>
    </xf>
    <xf numFmtId="196" fontId="54" fillId="0" borderId="0" applyFont="0" applyFill="0" applyBorder="0" applyAlignment="0" applyProtection="0"/>
    <xf numFmtId="0" fontId="55" fillId="0" borderId="0"/>
    <xf numFmtId="0" fontId="55" fillId="0" borderId="0"/>
    <xf numFmtId="174" fontId="12" fillId="0" borderId="0" applyFill="0"/>
    <xf numFmtId="174" fontId="12" fillId="0" borderId="0">
      <alignment horizontal="center"/>
    </xf>
    <xf numFmtId="0" fontId="12" fillId="0" borderId="0" applyFill="0">
      <alignment horizontal="center"/>
    </xf>
    <xf numFmtId="174" fontId="13" fillId="0" borderId="2" applyFill="0"/>
    <xf numFmtId="0" fontId="14" fillId="0" borderId="0" applyFont="0" applyAlignment="0"/>
    <xf numFmtId="0" fontId="15" fillId="0" borderId="0" applyFill="0">
      <alignment vertical="top"/>
    </xf>
    <xf numFmtId="0" fontId="13" fillId="0" borderId="0" applyFill="0">
      <alignment horizontal="left" vertical="top"/>
    </xf>
    <xf numFmtId="174" fontId="16" fillId="0" borderId="3" applyFill="0"/>
    <xf numFmtId="0" fontId="14" fillId="0" borderId="0" applyNumberFormat="0" applyFont="0" applyAlignment="0"/>
    <xf numFmtId="0" fontId="15" fillId="0" borderId="0" applyFill="0">
      <alignment wrapText="1"/>
    </xf>
    <xf numFmtId="0" fontId="13" fillId="0" borderId="0" applyFill="0">
      <alignment horizontal="left" vertical="top" wrapText="1"/>
    </xf>
    <xf numFmtId="174" fontId="17" fillId="0" borderId="0" applyFill="0"/>
    <xf numFmtId="0" fontId="18" fillId="0" borderId="0" applyNumberFormat="0" applyFont="0" applyAlignment="0">
      <alignment horizontal="center"/>
    </xf>
    <xf numFmtId="0" fontId="19" fillId="0" borderId="0" applyFill="0">
      <alignment vertical="top" wrapText="1"/>
    </xf>
    <xf numFmtId="0" fontId="16" fillId="0" borderId="0" applyFill="0">
      <alignment horizontal="left" vertical="top" wrapText="1"/>
    </xf>
    <xf numFmtId="174" fontId="14" fillId="0" borderId="0" applyFill="0"/>
    <xf numFmtId="0" fontId="18" fillId="0" borderId="0" applyNumberFormat="0" applyFont="0" applyAlignment="0">
      <alignment horizontal="center"/>
    </xf>
    <xf numFmtId="0" fontId="20" fillId="0" borderId="0" applyFill="0">
      <alignment vertical="center" wrapText="1"/>
    </xf>
    <xf numFmtId="0" fontId="21" fillId="0" borderId="0">
      <alignment horizontal="left" vertical="center" wrapText="1"/>
    </xf>
    <xf numFmtId="174" fontId="22" fillId="0" borderId="0" applyFill="0"/>
    <xf numFmtId="0" fontId="18" fillId="0" borderId="0" applyNumberFormat="0" applyFont="0" applyAlignment="0">
      <alignment horizontal="center"/>
    </xf>
    <xf numFmtId="0" fontId="23" fillId="0" borderId="0" applyFill="0">
      <alignment horizontal="center" vertical="center" wrapText="1"/>
    </xf>
    <xf numFmtId="0" fontId="24" fillId="0" borderId="0" applyFill="0">
      <alignment horizontal="center" vertical="center" wrapText="1"/>
    </xf>
    <xf numFmtId="0" fontId="14" fillId="0" borderId="0" applyFill="0">
      <alignment horizontal="center" vertical="center" wrapText="1"/>
    </xf>
    <xf numFmtId="174" fontId="25" fillId="0" borderId="0" applyFill="0"/>
    <xf numFmtId="0" fontId="18"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4" fontId="28" fillId="0" borderId="0" applyFill="0"/>
    <xf numFmtId="0" fontId="18" fillId="0" borderId="0" applyNumberFormat="0" applyFont="0" applyAlignment="0">
      <alignment horizontal="center"/>
    </xf>
    <xf numFmtId="0" fontId="29" fillId="0" borderId="0">
      <alignment horizontal="center" wrapText="1"/>
    </xf>
    <xf numFmtId="0" fontId="25" fillId="0" borderId="0" applyFill="0">
      <alignment horizontal="center" wrapText="1"/>
    </xf>
    <xf numFmtId="179" fontId="56" fillId="0" borderId="0" applyFont="0" applyFill="0" applyBorder="0" applyAlignment="0" applyProtection="0">
      <protection locked="0"/>
    </xf>
    <xf numFmtId="197" fontId="56" fillId="0" borderId="0" applyFont="0" applyFill="0" applyBorder="0" applyAlignment="0" applyProtection="0">
      <protection locked="0"/>
    </xf>
    <xf numFmtId="39" fontId="14" fillId="0" borderId="0" applyFont="0" applyFill="0" applyBorder="0" applyAlignment="0" applyProtection="0"/>
    <xf numFmtId="198" fontId="57" fillId="0" borderId="0" applyFont="0" applyFill="0" applyBorder="0" applyAlignment="0" applyProtection="0"/>
    <xf numFmtId="182" fontId="54" fillId="0" borderId="0" applyFont="0" applyFill="0" applyBorder="0" applyAlignment="0" applyProtection="0"/>
    <xf numFmtId="0" fontId="14" fillId="0" borderId="1" applyNumberFormat="0" applyFont="0" applyFill="0" applyBorder="0" applyProtection="0">
      <alignment horizontal="centerContinuous" vertical="center"/>
    </xf>
    <xf numFmtId="0" fontId="38" fillId="0" borderId="0" applyFill="0" applyBorder="0" applyProtection="0">
      <alignment horizontal="center"/>
      <protection locked="0"/>
    </xf>
    <xf numFmtId="43" fontId="14" fillId="0" borderId="0" applyFont="0" applyFill="0" applyBorder="0" applyAlignment="0" applyProtection="0"/>
    <xf numFmtId="0" fontId="14"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1" fontId="14" fillId="0" borderId="0" applyFont="0" applyFill="0" applyBorder="0" applyAlignment="0" applyProtection="0"/>
    <xf numFmtId="199" fontId="52" fillId="0" borderId="0" applyFont="0" applyFill="0" applyBorder="0" applyAlignment="0" applyProtection="0"/>
    <xf numFmtId="200" fontId="52" fillId="0" borderId="0" applyFont="0" applyFill="0" applyBorder="0" applyAlignment="0" applyProtection="0"/>
    <xf numFmtId="201" fontId="52" fillId="0" borderId="0" applyFont="0" applyFill="0" applyBorder="0" applyAlignment="0" applyProtection="0"/>
    <xf numFmtId="202" fontId="50" fillId="0" borderId="0" applyFont="0" applyFill="0" applyBorder="0" applyAlignment="0" applyProtection="0"/>
    <xf numFmtId="203" fontId="59" fillId="0" borderId="0" applyFont="0" applyFill="0" applyBorder="0" applyAlignment="0" applyProtection="0"/>
    <xf numFmtId="204" fontId="59" fillId="0" borderId="0" applyFont="0" applyFill="0" applyBorder="0" applyAlignment="0" applyProtection="0"/>
    <xf numFmtId="205" fontId="17" fillId="0" borderId="0" applyFont="0" applyFill="0" applyBorder="0" applyAlignment="0" applyProtection="0">
      <protection locked="0"/>
    </xf>
    <xf numFmtId="43" fontId="10" fillId="0" borderId="0" applyFont="0" applyFill="0" applyBorder="0" applyAlignment="0" applyProtection="0"/>
    <xf numFmtId="43" fontId="3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4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93" fillId="0" borderId="0" applyFont="0" applyFill="0" applyBorder="0" applyAlignment="0" applyProtection="0"/>
    <xf numFmtId="37" fontId="60" fillId="0" borderId="0" applyFill="0" applyBorder="0" applyAlignment="0" applyProtection="0"/>
    <xf numFmtId="3" fontId="14" fillId="0" borderId="0" applyFont="0" applyFill="0" applyBorder="0" applyAlignment="0" applyProtection="0"/>
    <xf numFmtId="0" fontId="13" fillId="0" borderId="0" applyFill="0" applyBorder="0" applyAlignment="0" applyProtection="0">
      <protection locked="0"/>
    </xf>
    <xf numFmtId="0" fontId="14" fillId="0" borderId="4"/>
    <xf numFmtId="44" fontId="14" fillId="0" borderId="0" applyFont="0" applyFill="0" applyBorder="0" applyAlignment="0" applyProtection="0"/>
    <xf numFmtId="206" fontId="52" fillId="0" borderId="0" applyFont="0" applyFill="0" applyBorder="0" applyAlignment="0" applyProtection="0"/>
    <xf numFmtId="207" fontId="52" fillId="0" borderId="0" applyFont="0" applyFill="0" applyBorder="0" applyAlignment="0" applyProtection="0"/>
    <xf numFmtId="208" fontId="52" fillId="0" borderId="0" applyFont="0" applyFill="0" applyBorder="0" applyAlignment="0" applyProtection="0"/>
    <xf numFmtId="209" fontId="59" fillId="0" borderId="0" applyFont="0" applyFill="0" applyBorder="0" applyAlignment="0" applyProtection="0"/>
    <xf numFmtId="210" fontId="59" fillId="0" borderId="0" applyFont="0" applyFill="0" applyBorder="0" applyAlignment="0" applyProtection="0"/>
    <xf numFmtId="211" fontId="59" fillId="0" borderId="0" applyFont="0" applyFill="0" applyBorder="0" applyAlignment="0" applyProtection="0"/>
    <xf numFmtId="212" fontId="17" fillId="0" borderId="0" applyFont="0" applyFill="0" applyBorder="0" applyAlignment="0" applyProtection="0">
      <protection locked="0"/>
    </xf>
    <xf numFmtId="44" fontId="24" fillId="0" borderId="0" applyFont="0" applyFill="0" applyBorder="0" applyAlignment="0" applyProtection="0"/>
    <xf numFmtId="44" fontId="14" fillId="0" borderId="0" applyFont="0" applyFill="0" applyBorder="0" applyAlignment="0" applyProtection="0"/>
    <xf numFmtId="44" fontId="4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5" fontId="60" fillId="0" borderId="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213" fontId="54" fillId="0" borderId="0" applyFont="0" applyFill="0" applyBorder="0" applyAlignment="0" applyProtection="0"/>
    <xf numFmtId="181" fontId="14" fillId="0" borderId="0" applyFont="0" applyFill="0" applyBorder="0" applyAlignment="0" applyProtection="0"/>
    <xf numFmtId="214" fontId="56" fillId="0" borderId="0" applyFont="0" applyFill="0" applyBorder="0" applyAlignment="0" applyProtection="0">
      <protection locked="0"/>
    </xf>
    <xf numFmtId="7" fontId="12" fillId="0" borderId="0" applyFont="0" applyFill="0" applyBorder="0" applyAlignment="0" applyProtection="0"/>
    <xf numFmtId="215" fontId="57" fillId="0" borderId="0" applyFont="0" applyFill="0" applyBorder="0" applyAlignment="0" applyProtection="0"/>
    <xf numFmtId="180" fontId="61" fillId="0" borderId="0" applyFont="0" applyFill="0" applyBorder="0" applyAlignment="0" applyProtection="0"/>
    <xf numFmtId="0" fontId="62" fillId="3" borderId="5" applyNumberFormat="0" applyFont="0" applyFill="0" applyAlignment="0" applyProtection="0">
      <alignment horizontal="left" indent="1"/>
    </xf>
    <xf numFmtId="14" fontId="14" fillId="0" borderId="0" applyFont="0" applyFill="0" applyBorder="0" applyAlignment="0" applyProtection="0"/>
    <xf numFmtId="216" fontId="52" fillId="0" borderId="0" applyFont="0" applyFill="0" applyBorder="0" applyProtection="0"/>
    <xf numFmtId="217" fontId="52" fillId="0" borderId="0" applyFont="0" applyFill="0" applyBorder="0" applyProtection="0"/>
    <xf numFmtId="218" fontId="52" fillId="0" borderId="0" applyFont="0" applyFill="0" applyBorder="0" applyAlignment="0" applyProtection="0"/>
    <xf numFmtId="219" fontId="52" fillId="0" borderId="0" applyFont="0" applyFill="0" applyBorder="0" applyAlignment="0" applyProtection="0"/>
    <xf numFmtId="220" fontId="52" fillId="0" borderId="0" applyFont="0" applyFill="0" applyBorder="0" applyAlignment="0" applyProtection="0"/>
    <xf numFmtId="221" fontId="63" fillId="0" borderId="0" applyFont="0" applyFill="0" applyBorder="0" applyAlignment="0" applyProtection="0"/>
    <xf numFmtId="5" fontId="64" fillId="0" borderId="0" applyBorder="0"/>
    <xf numFmtId="181" fontId="64" fillId="0" borderId="0" applyBorder="0"/>
    <xf numFmtId="7" fontId="64" fillId="0" borderId="0" applyBorder="0"/>
    <xf numFmtId="37" fontId="64" fillId="0" borderId="0" applyBorder="0"/>
    <xf numFmtId="179" fontId="64" fillId="0" borderId="0" applyBorder="0"/>
    <xf numFmtId="222" fontId="64" fillId="0" borderId="0" applyBorder="0"/>
    <xf numFmtId="39" fontId="64" fillId="0" borderId="0" applyBorder="0"/>
    <xf numFmtId="223" fontId="64" fillId="0" borderId="0" applyBorder="0"/>
    <xf numFmtId="7" fontId="14" fillId="0" borderId="0" applyFont="0" applyFill="0" applyBorder="0" applyAlignment="0" applyProtection="0"/>
    <xf numFmtId="224" fontId="54" fillId="0" borderId="0" applyFont="0" applyFill="0" applyBorder="0" applyAlignment="0" applyProtection="0"/>
    <xf numFmtId="225" fontId="54" fillId="0" borderId="0" applyFont="0" applyFill="0" applyAlignment="0" applyProtection="0"/>
    <xf numFmtId="224" fontId="54" fillId="0" borderId="0" applyFont="0" applyFill="0" applyBorder="0" applyAlignment="0" applyProtection="0"/>
    <xf numFmtId="226" fontId="12" fillId="0" borderId="0" applyFont="0" applyFill="0" applyBorder="0" applyAlignment="0" applyProtection="0"/>
    <xf numFmtId="2" fontId="14" fillId="0" borderId="0" applyFont="0" applyFill="0" applyBorder="0" applyAlignment="0" applyProtection="0"/>
    <xf numFmtId="0" fontId="65" fillId="0" borderId="0"/>
    <xf numFmtId="179" fontId="66" fillId="0" borderId="0" applyNumberFormat="0" applyFill="0" applyBorder="0" applyAlignment="0" applyProtection="0"/>
    <xf numFmtId="0" fontId="12" fillId="0" borderId="0" applyFont="0" applyFill="0" applyBorder="0" applyAlignment="0" applyProtection="0"/>
    <xf numFmtId="0" fontId="52" fillId="0" borderId="0" applyFont="0" applyFill="0" applyBorder="0" applyProtection="0">
      <alignment horizontal="center" wrapText="1"/>
    </xf>
    <xf numFmtId="227" fontId="52" fillId="0" borderId="0" applyFont="0" applyFill="0" applyBorder="0" applyProtection="0">
      <alignment horizontal="right"/>
    </xf>
    <xf numFmtId="0" fontId="66" fillId="0" borderId="0" applyNumberFormat="0" applyFill="0" applyBorder="0" applyAlignment="0" applyProtection="0"/>
    <xf numFmtId="0" fontId="67" fillId="4" borderId="0" applyNumberFormat="0" applyFill="0" applyBorder="0" applyAlignment="0" applyProtection="0"/>
    <xf numFmtId="0" fontId="16" fillId="0" borderId="6" applyNumberFormat="0" applyAlignment="0" applyProtection="0">
      <alignment horizontal="left" vertical="center"/>
    </xf>
    <xf numFmtId="0" fontId="16" fillId="0" borderId="7">
      <alignment horizontal="left" vertical="center"/>
    </xf>
    <xf numFmtId="14" fontId="39" fillId="5" borderId="8">
      <alignment horizontal="center" vertical="center" wrapText="1"/>
    </xf>
    <xf numFmtId="0" fontId="30" fillId="0" borderId="0" applyFont="0" applyFill="0" applyBorder="0" applyAlignment="0" applyProtection="0"/>
    <xf numFmtId="0" fontId="31" fillId="0" borderId="0" applyFont="0" applyFill="0" applyBorder="0" applyAlignment="0" applyProtection="0"/>
    <xf numFmtId="0" fontId="16" fillId="0" borderId="0" applyFont="0" applyFill="0" applyBorder="0" applyAlignment="0" applyProtection="0"/>
    <xf numFmtId="0" fontId="38" fillId="0" borderId="0" applyFill="0" applyAlignment="0" applyProtection="0">
      <protection locked="0"/>
    </xf>
    <xf numFmtId="0" fontId="38" fillId="0" borderId="1" applyFill="0" applyAlignment="0" applyProtection="0">
      <protection locked="0"/>
    </xf>
    <xf numFmtId="0" fontId="32" fillId="0" borderId="8"/>
    <xf numFmtId="0" fontId="33" fillId="0" borderId="0"/>
    <xf numFmtId="0" fontId="68" fillId="0" borderId="1" applyNumberFormat="0" applyFill="0" applyAlignment="0" applyProtection="0"/>
    <xf numFmtId="0" fontId="63" fillId="6" borderId="0" applyNumberFormat="0" applyFont="0" applyBorder="0" applyAlignment="0" applyProtection="0"/>
    <xf numFmtId="0" fontId="69" fillId="0" borderId="0" applyNumberFormat="0" applyFill="0" applyBorder="0" applyAlignment="0" applyProtection="0">
      <alignment vertical="top"/>
      <protection locked="0"/>
    </xf>
    <xf numFmtId="0" fontId="49" fillId="7" borderId="9" applyNumberFormat="0" applyAlignment="0" applyProtection="0"/>
    <xf numFmtId="228" fontId="52" fillId="0" borderId="0" applyFont="0" applyFill="0" applyBorder="0" applyProtection="0">
      <alignment horizontal="left"/>
    </xf>
    <xf numFmtId="229" fontId="52" fillId="0" borderId="0" applyFont="0" applyFill="0" applyBorder="0" applyProtection="0">
      <alignment horizontal="left"/>
    </xf>
    <xf numFmtId="230" fontId="52" fillId="0" borderId="0" applyFont="0" applyFill="0" applyBorder="0" applyProtection="0">
      <alignment horizontal="left"/>
    </xf>
    <xf numFmtId="231" fontId="52" fillId="0" borderId="0" applyFont="0" applyFill="0" applyBorder="0" applyProtection="0">
      <alignment horizontal="left"/>
    </xf>
    <xf numFmtId="10" fontId="12" fillId="8" borderId="9" applyNumberFormat="0" applyBorder="0" applyAlignment="0" applyProtection="0"/>
    <xf numFmtId="5" fontId="70" fillId="0" borderId="0" applyBorder="0"/>
    <xf numFmtId="181" fontId="70" fillId="0" borderId="0" applyBorder="0"/>
    <xf numFmtId="7" fontId="70" fillId="0" borderId="0" applyBorder="0"/>
    <xf numFmtId="37" fontId="70" fillId="0" borderId="0" applyBorder="0"/>
    <xf numFmtId="179" fontId="70" fillId="0" borderId="0" applyBorder="0"/>
    <xf numFmtId="222" fontId="70" fillId="0" borderId="0" applyBorder="0"/>
    <xf numFmtId="39" fontId="70" fillId="0" borderId="0" applyBorder="0"/>
    <xf numFmtId="223" fontId="70" fillId="0" borderId="0" applyBorder="0"/>
    <xf numFmtId="0" fontId="63" fillId="0" borderId="10" applyNumberFormat="0" applyFont="0" applyFill="0" applyAlignment="0" applyProtection="0"/>
    <xf numFmtId="0" fontId="71" fillId="0" borderId="0"/>
    <xf numFmtId="0" fontId="12" fillId="9" borderId="0"/>
    <xf numFmtId="232" fontId="14" fillId="0" borderId="0" applyFont="0" applyFill="0" applyBorder="0" applyAlignment="0" applyProtection="0"/>
    <xf numFmtId="233" fontId="14" fillId="0" borderId="0" applyFont="0" applyFill="0" applyBorder="0" applyAlignment="0" applyProtection="0"/>
    <xf numFmtId="234" fontId="14" fillId="0" borderId="0" applyFont="0" applyFill="0" applyBorder="0" applyAlignment="0" applyProtection="0"/>
    <xf numFmtId="235" fontId="14" fillId="0" borderId="0" applyFont="0" applyFill="0" applyBorder="0" applyAlignment="0" applyProtection="0"/>
    <xf numFmtId="0" fontId="14" fillId="0" borderId="0" applyFont="0" applyFill="0" applyBorder="0" applyAlignment="0" applyProtection="0">
      <alignment horizontal="right"/>
    </xf>
    <xf numFmtId="236" fontId="14" fillId="0" borderId="0" applyFont="0" applyFill="0" applyBorder="0" applyAlignment="0" applyProtection="0"/>
    <xf numFmtId="37" fontId="72" fillId="0" borderId="0"/>
    <xf numFmtId="0" fontId="54" fillId="0" borderId="0"/>
    <xf numFmtId="0" fontId="96" fillId="0" borderId="0"/>
    <xf numFmtId="7" fontId="94" fillId="0" borderId="0"/>
    <xf numFmtId="0" fontId="14" fillId="0" borderId="0"/>
    <xf numFmtId="0" fontId="50" fillId="0" borderId="0"/>
    <xf numFmtId="0" fontId="24" fillId="0" borderId="0"/>
    <xf numFmtId="0" fontId="14" fillId="0" borderId="0"/>
    <xf numFmtId="0" fontId="14" fillId="0" borderId="0"/>
    <xf numFmtId="0" fontId="48" fillId="0" borderId="0"/>
    <xf numFmtId="0" fontId="14" fillId="0" borderId="0"/>
    <xf numFmtId="0" fontId="14" fillId="0" borderId="0"/>
    <xf numFmtId="0" fontId="1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74" fontId="34" fillId="0" borderId="0" applyProtection="0"/>
    <xf numFmtId="0" fontId="96" fillId="0" borderId="0"/>
    <xf numFmtId="0" fontId="96" fillId="0" borderId="0"/>
    <xf numFmtId="0" fontId="96" fillId="0" borderId="0"/>
    <xf numFmtId="0" fontId="96" fillId="0" borderId="0"/>
    <xf numFmtId="0" fontId="34" fillId="0" borderId="0" applyProtection="0"/>
    <xf numFmtId="174" fontId="34" fillId="0" borderId="0" applyProtection="0"/>
    <xf numFmtId="174" fontId="34" fillId="0" borderId="0" applyProtection="0"/>
    <xf numFmtId="174" fontId="34" fillId="0" borderId="0" applyProtection="0"/>
    <xf numFmtId="174" fontId="34" fillId="0" borderId="0" applyProtection="0"/>
    <xf numFmtId="0" fontId="14" fillId="0" borderId="0"/>
    <xf numFmtId="0" fontId="44" fillId="10" borderId="0" applyNumberFormat="0" applyFont="0" applyBorder="0" applyAlignment="0"/>
    <xf numFmtId="237" fontId="14" fillId="0" borderId="0" applyFont="0" applyFill="0" applyBorder="0" applyAlignment="0" applyProtection="0"/>
    <xf numFmtId="238" fontId="73" fillId="0" borderId="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9" fontId="14" fillId="0" borderId="0"/>
    <xf numFmtId="240" fontId="54" fillId="0" borderId="0"/>
    <xf numFmtId="240" fontId="54" fillId="0" borderId="0"/>
    <xf numFmtId="238" fontId="73" fillId="0" borderId="0"/>
    <xf numFmtId="0" fontId="54" fillId="0" borderId="0"/>
    <xf numFmtId="238" fontId="60" fillId="0" borderId="0"/>
    <xf numFmtId="239" fontId="14" fillId="0" borderId="0"/>
    <xf numFmtId="240" fontId="54" fillId="0" borderId="0"/>
    <xf numFmtId="240" fontId="54" fillId="0" borderId="0"/>
    <xf numFmtId="0" fontId="54" fillId="0" borderId="0"/>
    <xf numFmtId="0" fontId="54" fillId="0" borderId="0"/>
    <xf numFmtId="241" fontId="54" fillId="0" borderId="0"/>
    <xf numFmtId="170" fontId="54" fillId="0" borderId="0"/>
    <xf numFmtId="242" fontId="54" fillId="0" borderId="0"/>
    <xf numFmtId="241" fontId="54" fillId="0" borderId="0"/>
    <xf numFmtId="170" fontId="54" fillId="0" borderId="0"/>
    <xf numFmtId="243" fontId="54" fillId="0" borderId="0"/>
    <xf numFmtId="243" fontId="54" fillId="0" borderId="0"/>
    <xf numFmtId="178" fontId="54" fillId="0" borderId="0"/>
    <xf numFmtId="242" fontId="54" fillId="0" borderId="0"/>
    <xf numFmtId="169" fontId="54" fillId="0" borderId="0"/>
    <xf numFmtId="178" fontId="54" fillId="0" borderId="0"/>
    <xf numFmtId="178" fontId="54" fillId="0" borderId="0"/>
    <xf numFmtId="0" fontId="54" fillId="0" borderId="0"/>
    <xf numFmtId="237" fontId="14" fillId="0" borderId="0" applyFont="0" applyFill="0" applyBorder="0" applyAlignment="0" applyProtection="0"/>
    <xf numFmtId="237" fontId="14" fillId="0" borderId="0" applyFont="0" applyFill="0" applyBorder="0" applyAlignment="0" applyProtection="0"/>
    <xf numFmtId="237" fontId="14" fillId="0" borderId="0" applyFont="0" applyFill="0" applyBorder="0" applyAlignment="0" applyProtection="0"/>
    <xf numFmtId="238" fontId="73" fillId="0" borderId="0"/>
    <xf numFmtId="238" fontId="73" fillId="0" borderId="0"/>
    <xf numFmtId="237" fontId="14" fillId="0" borderId="0" applyFont="0" applyFill="0" applyBorder="0" applyAlignment="0" applyProtection="0"/>
    <xf numFmtId="238" fontId="73" fillId="0" borderId="0"/>
    <xf numFmtId="238" fontId="73" fillId="0" borderId="0"/>
    <xf numFmtId="241" fontId="54" fillId="0" borderId="0"/>
    <xf numFmtId="170" fontId="54" fillId="0" borderId="0"/>
    <xf numFmtId="242" fontId="54" fillId="0" borderId="0"/>
    <xf numFmtId="241" fontId="54" fillId="0" borderId="0"/>
    <xf numFmtId="170" fontId="54" fillId="0" borderId="0"/>
    <xf numFmtId="243" fontId="54" fillId="0" borderId="0"/>
    <xf numFmtId="243" fontId="54" fillId="0" borderId="0"/>
    <xf numFmtId="178" fontId="54" fillId="0" borderId="0"/>
    <xf numFmtId="242" fontId="54" fillId="0" borderId="0"/>
    <xf numFmtId="169" fontId="54" fillId="0" borderId="0"/>
    <xf numFmtId="178" fontId="54" fillId="0" borderId="0"/>
    <xf numFmtId="178" fontId="54" fillId="0" borderId="0"/>
    <xf numFmtId="244" fontId="22" fillId="11" borderId="0" applyFont="0" applyFill="0" applyBorder="0" applyAlignment="0" applyProtection="0"/>
    <xf numFmtId="245" fontId="22" fillId="11" borderId="0" applyFont="0" applyFill="0" applyBorder="0" applyAlignment="0" applyProtection="0"/>
    <xf numFmtId="246" fontId="14" fillId="0" borderId="0" applyFont="0" applyFill="0" applyBorder="0" applyAlignment="0" applyProtection="0"/>
    <xf numFmtId="9" fontId="14" fillId="0" borderId="0" applyFont="0" applyFill="0" applyBorder="0" applyAlignment="0" applyProtection="0"/>
    <xf numFmtId="247" fontId="59" fillId="0" borderId="0" applyFont="0" applyFill="0" applyBorder="0" applyAlignment="0" applyProtection="0"/>
    <xf numFmtId="248" fontId="50" fillId="0" borderId="0" applyFont="0" applyFill="0" applyBorder="0" applyAlignment="0" applyProtection="0"/>
    <xf numFmtId="249" fontId="14" fillId="0" borderId="0" applyFont="0" applyFill="0" applyBorder="0" applyAlignment="0" applyProtection="0"/>
    <xf numFmtId="250" fontId="52" fillId="0" borderId="0" applyFont="0" applyFill="0" applyBorder="0" applyAlignment="0" applyProtection="0"/>
    <xf numFmtId="251" fontId="52" fillId="0" borderId="0" applyFont="0" applyFill="0" applyBorder="0" applyAlignment="0" applyProtection="0"/>
    <xf numFmtId="252" fontId="52" fillId="0" borderId="0" applyFont="0" applyFill="0" applyBorder="0" applyAlignment="0" applyProtection="0"/>
    <xf numFmtId="253" fontId="52" fillId="0" borderId="0" applyFont="0" applyFill="0" applyBorder="0" applyAlignment="0" applyProtection="0"/>
    <xf numFmtId="254" fontId="59" fillId="0" borderId="0" applyFont="0" applyFill="0" applyBorder="0" applyAlignment="0" applyProtection="0"/>
    <xf numFmtId="255" fontId="50" fillId="0" borderId="0" applyFont="0" applyFill="0" applyBorder="0" applyAlignment="0" applyProtection="0"/>
    <xf numFmtId="256" fontId="59" fillId="0" borderId="0" applyFont="0" applyFill="0" applyBorder="0" applyAlignment="0" applyProtection="0"/>
    <xf numFmtId="257" fontId="50" fillId="0" borderId="0" applyFont="0" applyFill="0" applyBorder="0" applyAlignment="0" applyProtection="0"/>
    <xf numFmtId="258" fontId="59" fillId="0" borderId="0" applyFont="0" applyFill="0" applyBorder="0" applyAlignment="0" applyProtection="0"/>
    <xf numFmtId="259" fontId="50" fillId="0" borderId="0" applyFont="0" applyFill="0" applyBorder="0" applyAlignment="0" applyProtection="0"/>
    <xf numFmtId="260" fontId="17" fillId="0" borderId="0" applyFont="0" applyFill="0" applyBorder="0" applyAlignment="0" applyProtection="0">
      <protection locked="0"/>
    </xf>
    <xf numFmtId="261" fontId="50"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191" fontId="60" fillId="0" borderId="0" applyFill="0" applyBorder="0" applyAlignment="0" applyProtection="0"/>
    <xf numFmtId="9" fontId="64" fillId="0" borderId="0" applyBorder="0"/>
    <xf numFmtId="171" fontId="64" fillId="0" borderId="0" applyBorder="0"/>
    <xf numFmtId="10" fontId="64" fillId="0" borderId="0" applyBorder="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8">
      <alignment horizontal="center"/>
    </xf>
    <xf numFmtId="3" fontId="35" fillId="0" borderId="0" applyFont="0" applyFill="0" applyBorder="0" applyAlignment="0" applyProtection="0"/>
    <xf numFmtId="0" fontId="35" fillId="12" borderId="0" applyNumberFormat="0" applyFont="0" applyBorder="0" applyAlignment="0" applyProtection="0"/>
    <xf numFmtId="3" fontId="14" fillId="0" borderId="0">
      <alignment horizontal="right" vertical="top"/>
    </xf>
    <xf numFmtId="41" fontId="21" fillId="9" borderId="11" applyFill="0"/>
    <xf numFmtId="0" fontId="37" fillId="0" borderId="0">
      <alignment horizontal="left" indent="7"/>
    </xf>
    <xf numFmtId="41" fontId="21" fillId="0" borderId="11" applyFill="0">
      <alignment horizontal="left" indent="2"/>
    </xf>
    <xf numFmtId="174" fontId="38" fillId="0" borderId="1" applyFill="0">
      <alignment horizontal="right"/>
    </xf>
    <xf numFmtId="0" fontId="39" fillId="0" borderId="9" applyNumberFormat="0" applyFont="0" applyBorder="0">
      <alignment horizontal="right"/>
    </xf>
    <xf numFmtId="0" fontId="40" fillId="0" borderId="0" applyFill="0"/>
    <xf numFmtId="0" fontId="16" fillId="0" borderId="0" applyFill="0"/>
    <xf numFmtId="4" fontId="38" fillId="0" borderId="1" applyFill="0"/>
    <xf numFmtId="0" fontId="14" fillId="0" borderId="0" applyNumberFormat="0" applyFont="0" applyBorder="0" applyAlignment="0"/>
    <xf numFmtId="0" fontId="19" fillId="0" borderId="0" applyFill="0">
      <alignment horizontal="left" indent="1"/>
    </xf>
    <xf numFmtId="0" fontId="41" fillId="0" borderId="0" applyFill="0">
      <alignment horizontal="left" indent="1"/>
    </xf>
    <xf numFmtId="4" fontId="22" fillId="0" borderId="0" applyFill="0"/>
    <xf numFmtId="0" fontId="14" fillId="0" borderId="0" applyNumberFormat="0" applyFont="0" applyFill="0" applyBorder="0" applyAlignment="0"/>
    <xf numFmtId="0" fontId="19" fillId="0" borderId="0" applyFill="0">
      <alignment horizontal="left" indent="2"/>
    </xf>
    <xf numFmtId="0" fontId="16" fillId="0" borderId="0" applyFill="0">
      <alignment horizontal="left" indent="2"/>
    </xf>
    <xf numFmtId="4" fontId="22" fillId="0" borderId="0" applyFill="0"/>
    <xf numFmtId="0" fontId="14" fillId="0" borderId="0" applyNumberFormat="0" applyFont="0" applyBorder="0" applyAlignment="0"/>
    <xf numFmtId="0" fontId="42" fillId="0" borderId="0">
      <alignment horizontal="left" indent="3"/>
    </xf>
    <xf numFmtId="0" fontId="43" fillId="0" borderId="0" applyFill="0">
      <alignment horizontal="left" indent="3"/>
    </xf>
    <xf numFmtId="4" fontId="22" fillId="0" borderId="0" applyFill="0"/>
    <xf numFmtId="0" fontId="14" fillId="0" borderId="0" applyNumberFormat="0" applyFont="0" applyBorder="0" applyAlignment="0"/>
    <xf numFmtId="0" fontId="23" fillId="0" borderId="0">
      <alignment horizontal="left" indent="4"/>
    </xf>
    <xf numFmtId="0" fontId="24" fillId="0" borderId="0" applyFill="0">
      <alignment horizontal="left" indent="4"/>
    </xf>
    <xf numFmtId="0" fontId="14" fillId="0" borderId="0" applyFill="0">
      <alignment horizontal="left" indent="4"/>
    </xf>
    <xf numFmtId="4" fontId="25" fillId="0" borderId="0" applyFill="0"/>
    <xf numFmtId="0" fontId="14" fillId="0" borderId="0" applyNumberFormat="0" applyFont="0" applyBorder="0" applyAlignment="0"/>
    <xf numFmtId="0" fontId="26" fillId="0" borderId="0">
      <alignment horizontal="left" indent="5"/>
    </xf>
    <xf numFmtId="0" fontId="27" fillId="0" borderId="0" applyFill="0">
      <alignment horizontal="left" indent="5"/>
    </xf>
    <xf numFmtId="4" fontId="28" fillId="0" borderId="0" applyFill="0"/>
    <xf numFmtId="0" fontId="14" fillId="0" borderId="0" applyNumberFormat="0" applyFont="0" applyFill="0" applyBorder="0" applyAlignment="0"/>
    <xf numFmtId="0" fontId="29" fillId="0" borderId="0" applyFill="0">
      <alignment horizontal="left" indent="6"/>
    </xf>
    <xf numFmtId="0" fontId="25" fillId="0" borderId="0" applyFill="0">
      <alignment horizontal="left" indent="6"/>
    </xf>
    <xf numFmtId="0" fontId="63" fillId="0" borderId="12" applyNumberFormat="0" applyFont="0" applyFill="0" applyAlignment="0" applyProtection="0"/>
    <xf numFmtId="0" fontId="74" fillId="0" borderId="0" applyNumberFormat="0" applyFill="0" applyBorder="0" applyAlignment="0" applyProtection="0"/>
    <xf numFmtId="0" fontId="75" fillId="0" borderId="0"/>
    <xf numFmtId="0" fontId="75" fillId="0" borderId="0"/>
    <xf numFmtId="0" fontId="51" fillId="0" borderId="8">
      <alignment horizontal="right"/>
    </xf>
    <xf numFmtId="0" fontId="13" fillId="13" borderId="0"/>
    <xf numFmtId="262" fontId="61" fillId="0" borderId="0">
      <alignment horizontal="center"/>
    </xf>
    <xf numFmtId="263" fontId="76" fillId="0" borderId="0">
      <alignment horizontal="center"/>
    </xf>
    <xf numFmtId="0" fontId="77" fillId="0" borderId="0" applyNumberFormat="0" applyFill="0" applyBorder="0" applyAlignment="0" applyProtection="0"/>
    <xf numFmtId="0" fontId="78" fillId="0" borderId="0" applyNumberFormat="0" applyBorder="0" applyAlignment="0"/>
    <xf numFmtId="0" fontId="47" fillId="0" borderId="0" applyNumberFormat="0" applyBorder="0" applyAlignment="0"/>
    <xf numFmtId="0" fontId="14" fillId="9" borderId="4" applyNumberFormat="0" applyFont="0" applyAlignment="0"/>
    <xf numFmtId="0" fontId="63" fillId="3" borderId="0" applyNumberFormat="0" applyFont="0" applyBorder="0" applyAlignment="0" applyProtection="0"/>
    <xf numFmtId="244" fontId="79" fillId="0" borderId="7" applyNumberFormat="0" applyFont="0" applyFill="0" applyAlignment="0" applyProtection="0"/>
    <xf numFmtId="0" fontId="45" fillId="0" borderId="0" applyFill="0" applyBorder="0" applyProtection="0">
      <alignment horizontal="left" vertical="top"/>
    </xf>
    <xf numFmtId="0" fontId="80" fillId="0" borderId="0" applyAlignment="0">
      <alignment horizontal="centerContinuous"/>
    </xf>
    <xf numFmtId="0" fontId="14" fillId="0" borderId="3" applyNumberFormat="0" applyFont="0" applyFill="0" applyAlignment="0" applyProtection="0"/>
    <xf numFmtId="0" fontId="14" fillId="0" borderId="0" applyFont="0" applyFill="0" applyBorder="0" applyAlignment="0" applyProtection="0"/>
    <xf numFmtId="0" fontId="81" fillId="0" borderId="0" applyNumberFormat="0" applyFill="0" applyBorder="0" applyAlignment="0" applyProtection="0"/>
    <xf numFmtId="264" fontId="50" fillId="0" borderId="0" applyFont="0" applyFill="0" applyBorder="0" applyAlignment="0" applyProtection="0"/>
    <xf numFmtId="265" fontId="50" fillId="0" borderId="0" applyFont="0" applyFill="0" applyBorder="0" applyAlignment="0" applyProtection="0"/>
    <xf numFmtId="266" fontId="50" fillId="0" borderId="0" applyFont="0" applyFill="0" applyBorder="0" applyAlignment="0" applyProtection="0"/>
    <xf numFmtId="267" fontId="50" fillId="0" borderId="0" applyFont="0" applyFill="0" applyBorder="0" applyAlignment="0" applyProtection="0"/>
    <xf numFmtId="268" fontId="50" fillId="0" borderId="0" applyFont="0" applyFill="0" applyBorder="0" applyAlignment="0" applyProtection="0"/>
    <xf numFmtId="269" fontId="50" fillId="0" borderId="0" applyFont="0" applyFill="0" applyBorder="0" applyAlignment="0" applyProtection="0"/>
    <xf numFmtId="270" fontId="50" fillId="0" borderId="0" applyFont="0" applyFill="0" applyBorder="0" applyAlignment="0" applyProtection="0"/>
    <xf numFmtId="271" fontId="50" fillId="0" borderId="0" applyFont="0" applyFill="0" applyBorder="0" applyAlignment="0" applyProtection="0"/>
    <xf numFmtId="272" fontId="82" fillId="3" borderId="13" applyFont="0" applyFill="0" applyBorder="0" applyAlignment="0" applyProtection="0"/>
    <xf numFmtId="272" fontId="54" fillId="0" borderId="0" applyFont="0" applyFill="0" applyBorder="0" applyAlignment="0" applyProtection="0"/>
    <xf numFmtId="273" fontId="57" fillId="0" borderId="0" applyFont="0" applyFill="0" applyBorder="0" applyAlignment="0" applyProtection="0"/>
    <xf numFmtId="274" fontId="61" fillId="0" borderId="7" applyFont="0" applyFill="0" applyBorder="0" applyAlignment="0" applyProtection="0">
      <alignment horizontal="right"/>
      <protection locked="0"/>
    </xf>
    <xf numFmtId="43" fontId="10" fillId="0" borderId="0" applyFont="0" applyFill="0" applyBorder="0" applyAlignment="0" applyProtection="0"/>
    <xf numFmtId="0" fontId="98" fillId="0" borderId="0"/>
    <xf numFmtId="43" fontId="7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1" fillId="0" borderId="0"/>
    <xf numFmtId="0" fontId="8" fillId="0" borderId="0"/>
    <xf numFmtId="0" fontId="8" fillId="0" borderId="0"/>
    <xf numFmtId="0" fontId="8" fillId="0" borderId="0"/>
    <xf numFmtId="0" fontId="8"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35" fillId="0" borderId="0"/>
    <xf numFmtId="0" fontId="101" fillId="0" borderId="0"/>
    <xf numFmtId="0" fontId="101" fillId="0" borderId="0"/>
    <xf numFmtId="0" fontId="101" fillId="0" borderId="0"/>
    <xf numFmtId="0" fontId="101" fillId="0" borderId="0"/>
    <xf numFmtId="0" fontId="14" fillId="0" borderId="0"/>
    <xf numFmtId="0" fontId="14"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2" fillId="20" borderId="0" applyNumberFormat="0" applyBorder="0" applyAlignment="0" applyProtection="0"/>
    <xf numFmtId="0" fontId="102" fillId="23" borderId="0" applyNumberFormat="0" applyBorder="0" applyAlignment="0" applyProtection="0"/>
    <xf numFmtId="0" fontId="102" fillId="26" borderId="0" applyNumberFormat="0" applyBorder="0" applyAlignment="0" applyProtection="0"/>
    <xf numFmtId="0" fontId="103" fillId="27"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03" fillId="30" borderId="0" applyNumberFormat="0" applyBorder="0" applyAlignment="0" applyProtection="0"/>
    <xf numFmtId="0" fontId="103" fillId="31" borderId="0" applyNumberFormat="0" applyBorder="0" applyAlignment="0" applyProtection="0"/>
    <xf numFmtId="0" fontId="103" fillId="32" borderId="0" applyNumberFormat="0" applyBorder="0" applyAlignment="0" applyProtection="0"/>
    <xf numFmtId="0" fontId="103" fillId="33"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03" fillId="34" borderId="0" applyNumberFormat="0" applyBorder="0" applyAlignment="0" applyProtection="0"/>
    <xf numFmtId="0" fontId="104" fillId="18" borderId="0" applyNumberFormat="0" applyBorder="0" applyAlignment="0" applyProtection="0"/>
    <xf numFmtId="0" fontId="105" fillId="35" borderId="25" applyNumberFormat="0" applyAlignment="0" applyProtection="0"/>
    <xf numFmtId="0" fontId="106" fillId="36" borderId="26" applyNumberFormat="0" applyAlignment="0" applyProtection="0"/>
    <xf numFmtId="9" fontId="3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0" borderId="0" applyNumberFormat="0" applyFill="0" applyBorder="0" applyAlignment="0" applyProtection="0"/>
    <xf numFmtId="0" fontId="108" fillId="19" borderId="0" applyNumberFormat="0" applyBorder="0" applyAlignment="0" applyProtection="0"/>
    <xf numFmtId="43" fontId="35" fillId="0" borderId="0" applyFont="0" applyFill="0" applyBorder="0" applyAlignment="0" applyProtection="0"/>
    <xf numFmtId="0" fontId="109" fillId="0" borderId="27" applyNumberFormat="0" applyFill="0" applyAlignment="0" applyProtection="0"/>
    <xf numFmtId="0" fontId="109" fillId="0" borderId="0" applyNumberFormat="0" applyFill="0" applyBorder="0" applyAlignment="0" applyProtection="0"/>
    <xf numFmtId="0" fontId="110" fillId="22" borderId="25" applyNumberFormat="0" applyAlignment="0" applyProtection="0"/>
    <xf numFmtId="0" fontId="111" fillId="0" borderId="28" applyNumberFormat="0" applyFill="0" applyAlignment="0" applyProtection="0"/>
    <xf numFmtId="0" fontId="112" fillId="37" borderId="0" applyNumberFormat="0" applyBorder="0" applyAlignment="0" applyProtection="0"/>
    <xf numFmtId="43" fontId="7" fillId="0" borderId="0" applyFont="0" applyFill="0" applyBorder="0" applyAlignment="0" applyProtection="0"/>
    <xf numFmtId="0" fontId="14" fillId="0" borderId="0"/>
    <xf numFmtId="0" fontId="14" fillId="0" borderId="0"/>
    <xf numFmtId="0" fontId="14" fillId="0" borderId="0"/>
    <xf numFmtId="43" fontId="7" fillId="0" borderId="0" applyFont="0" applyFill="0" applyBorder="0" applyAlignment="0" applyProtection="0"/>
    <xf numFmtId="0" fontId="34" fillId="38" borderId="29" applyNumberFormat="0" applyFont="0" applyAlignment="0" applyProtection="0"/>
    <xf numFmtId="0" fontId="113" fillId="35" borderId="3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34"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7" fillId="0" borderId="0"/>
    <xf numFmtId="0" fontId="7" fillId="0" borderId="0"/>
    <xf numFmtId="0" fontId="14" fillId="0" borderId="0"/>
    <xf numFmtId="0" fontId="95" fillId="0" borderId="0">
      <alignment vertical="top"/>
    </xf>
    <xf numFmtId="0" fontId="7" fillId="0" borderId="0"/>
    <xf numFmtId="174" fontId="34" fillId="0" borderId="0" applyProtection="0"/>
    <xf numFmtId="174" fontId="34" fillId="0" borderId="0" applyProtection="0"/>
    <xf numFmtId="0" fontId="14" fillId="0" borderId="0"/>
    <xf numFmtId="44" fontId="34" fillId="0" borderId="0" applyFont="0" applyFill="0" applyBorder="0" applyAlignment="0" applyProtection="0"/>
    <xf numFmtId="0" fontId="7" fillId="0" borderId="0"/>
    <xf numFmtId="174" fontId="34" fillId="0" borderId="0" applyProtection="0"/>
    <xf numFmtId="9"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4" fillId="0" borderId="0" applyFont="0" applyFill="0" applyBorder="0" applyAlignment="0" applyProtection="0"/>
    <xf numFmtId="0" fontId="6" fillId="0" borderId="0"/>
    <xf numFmtId="0" fontId="6" fillId="0" borderId="0"/>
    <xf numFmtId="0" fontId="6" fillId="0" borderId="0"/>
    <xf numFmtId="0" fontId="6" fillId="0" borderId="0"/>
    <xf numFmtId="9" fontId="34" fillId="0" borderId="0" applyFont="0" applyFill="0" applyBorder="0" applyAlignment="0" applyProtection="0"/>
    <xf numFmtId="0" fontId="116" fillId="0" borderId="0"/>
    <xf numFmtId="9" fontId="116" fillId="0" borderId="0" applyFont="0" applyFill="0" applyBorder="0" applyAlignment="0" applyProtection="0"/>
    <xf numFmtId="0" fontId="110" fillId="22" borderId="25" applyNumberFormat="0" applyAlignment="0" applyProtection="0"/>
    <xf numFmtId="43" fontId="116" fillId="0" borderId="0" applyFont="0" applyFill="0" applyBorder="0" applyAlignment="0" applyProtection="0"/>
    <xf numFmtId="43"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3" fontId="116" fillId="0" borderId="0" applyFont="0" applyFill="0" applyBorder="0" applyAlignment="0" applyProtection="0"/>
    <xf numFmtId="0" fontId="110" fillId="22" borderId="25" applyNumberFormat="0" applyAlignment="0" applyProtection="0"/>
    <xf numFmtId="0" fontId="116" fillId="0" borderId="0"/>
    <xf numFmtId="9" fontId="116" fillId="0" borderId="0" applyFont="0" applyFill="0" applyBorder="0" applyAlignment="0" applyProtection="0"/>
    <xf numFmtId="9" fontId="116" fillId="0" borderId="0" applyFont="0" applyFill="0" applyBorder="0" applyAlignment="0" applyProtection="0"/>
    <xf numFmtId="0" fontId="1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43"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43"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4" fillId="0" borderId="0"/>
    <xf numFmtId="0" fontId="4" fillId="0" borderId="0"/>
    <xf numFmtId="0" fontId="4" fillId="0" borderId="0"/>
    <xf numFmtId="44" fontId="34" fillId="0" borderId="0" applyFont="0" applyFill="0" applyBorder="0" applyAlignment="0" applyProtection="0"/>
    <xf numFmtId="0" fontId="4" fillId="0" borderId="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55">
    <xf numFmtId="174" fontId="0" fillId="0" borderId="0" xfId="0" applyAlignment="1"/>
    <xf numFmtId="0" fontId="54" fillId="0" borderId="0" xfId="211" applyFont="1"/>
    <xf numFmtId="0" fontId="61" fillId="0" borderId="0" xfId="211" applyFont="1" applyAlignment="1">
      <alignment horizontal="centerContinuous"/>
    </xf>
    <xf numFmtId="0" fontId="61" fillId="0" borderId="0" xfId="211" applyFont="1" applyAlignment="1">
      <alignment horizontal="center" wrapText="1"/>
    </xf>
    <xf numFmtId="0" fontId="61" fillId="0" borderId="0" xfId="206" applyFont="1" applyFill="1" applyBorder="1" applyAlignment="1">
      <alignment horizontal="center" wrapText="1"/>
    </xf>
    <xf numFmtId="0" fontId="54" fillId="0" borderId="0" xfId="211" quotePrefix="1" applyFont="1" applyAlignment="1">
      <alignment horizontal="left"/>
    </xf>
    <xf numFmtId="0" fontId="54" fillId="0" borderId="0" xfId="211" applyFont="1" applyAlignment="1">
      <alignment horizontal="right"/>
    </xf>
    <xf numFmtId="37" fontId="54" fillId="0" borderId="0" xfId="211" applyNumberFormat="1" applyFont="1"/>
    <xf numFmtId="0" fontId="61" fillId="0" borderId="0" xfId="211" applyFont="1" applyAlignment="1">
      <alignment horizontal="centerContinuous" wrapText="1"/>
    </xf>
    <xf numFmtId="0" fontId="61" fillId="0" borderId="0" xfId="211" applyFont="1" applyAlignment="1">
      <alignment horizontal="center"/>
    </xf>
    <xf numFmtId="174" fontId="54" fillId="0" borderId="0" xfId="0" applyFont="1" applyAlignment="1">
      <alignment wrapText="1"/>
    </xf>
    <xf numFmtId="0" fontId="84" fillId="0" borderId="0" xfId="0" applyNumberFormat="1" applyFont="1" applyAlignment="1">
      <alignment horizontal="center"/>
    </xf>
    <xf numFmtId="174" fontId="84" fillId="0" borderId="0" xfId="0" applyFont="1" applyAlignment="1"/>
    <xf numFmtId="174" fontId="54" fillId="0" borderId="0" xfId="0" applyFont="1" applyAlignment="1"/>
    <xf numFmtId="174" fontId="54" fillId="0" borderId="0" xfId="207" applyFont="1" applyAlignment="1"/>
    <xf numFmtId="175" fontId="54" fillId="0" borderId="0" xfId="59" applyNumberFormat="1" applyFont="1" applyAlignment="1"/>
    <xf numFmtId="0" fontId="54" fillId="0" borderId="0" xfId="201" applyNumberFormat="1" applyFont="1" applyFill="1" applyBorder="1" applyAlignment="1" applyProtection="1">
      <protection locked="0"/>
    </xf>
    <xf numFmtId="0" fontId="54" fillId="0" borderId="0" xfId="201" applyNumberFormat="1" applyFont="1" applyFill="1" applyBorder="1" applyAlignment="1" applyProtection="1">
      <alignment horizontal="center"/>
      <protection locked="0"/>
    </xf>
    <xf numFmtId="0" fontId="54" fillId="14" borderId="0" xfId="201" applyNumberFormat="1" applyFont="1" applyFill="1" applyAlignment="1">
      <alignment horizontal="right"/>
    </xf>
    <xf numFmtId="3" fontId="54" fillId="0" borderId="0" xfId="201" applyNumberFormat="1" applyFont="1" applyFill="1" applyBorder="1" applyAlignment="1"/>
    <xf numFmtId="3" fontId="54" fillId="0" borderId="0" xfId="201" applyNumberFormat="1" applyFont="1" applyFill="1" applyBorder="1" applyAlignment="1">
      <alignment horizontal="center"/>
    </xf>
    <xf numFmtId="0" fontId="54" fillId="0" borderId="0" xfId="201" applyNumberFormat="1" applyFont="1" applyFill="1" applyBorder="1" applyProtection="1">
      <protection locked="0"/>
    </xf>
    <xf numFmtId="174" fontId="54" fillId="0" borderId="0" xfId="201" applyFont="1" applyFill="1" applyBorder="1" applyAlignment="1"/>
    <xf numFmtId="0" fontId="54" fillId="0" borderId="0" xfId="201" applyNumberFormat="1" applyFont="1" applyFill="1" applyBorder="1"/>
    <xf numFmtId="43" fontId="54" fillId="0" borderId="0" xfId="59" applyFont="1" applyAlignment="1"/>
    <xf numFmtId="0" fontId="54" fillId="0" borderId="0" xfId="210" applyNumberFormat="1" applyFont="1" applyAlignment="1" applyProtection="1">
      <protection locked="0"/>
    </xf>
    <xf numFmtId="3" fontId="54" fillId="0" borderId="0" xfId="210" applyNumberFormat="1" applyFont="1" applyAlignment="1"/>
    <xf numFmtId="3" fontId="54" fillId="0" borderId="8" xfId="210" applyNumberFormat="1" applyFont="1" applyBorder="1" applyAlignment="1">
      <alignment horizontal="center"/>
    </xf>
    <xf numFmtId="0" fontId="54" fillId="0" borderId="0" xfId="210" applyNumberFormat="1" applyFont="1" applyAlignment="1"/>
    <xf numFmtId="3" fontId="54" fillId="0" borderId="0" xfId="210" applyNumberFormat="1" applyFont="1" applyAlignment="1">
      <alignment horizontal="center"/>
    </xf>
    <xf numFmtId="0" fontId="54" fillId="0" borderId="8" xfId="210" applyNumberFormat="1" applyFont="1" applyBorder="1" applyAlignment="1" applyProtection="1">
      <alignment horizontal="center"/>
      <protection locked="0"/>
    </xf>
    <xf numFmtId="174" fontId="54" fillId="0" borderId="0" xfId="210" applyFont="1" applyFill="1" applyAlignment="1"/>
    <xf numFmtId="169" fontId="54" fillId="0" borderId="0" xfId="210" applyNumberFormat="1" applyFont="1" applyAlignment="1"/>
    <xf numFmtId="174" fontId="54" fillId="0" borderId="0" xfId="210" applyFont="1" applyAlignment="1"/>
    <xf numFmtId="3" fontId="54" fillId="0" borderId="0" xfId="210" applyNumberFormat="1" applyFont="1" applyFill="1" applyAlignment="1"/>
    <xf numFmtId="166" fontId="54" fillId="0" borderId="0" xfId="210" applyNumberFormat="1" applyFont="1" applyAlignment="1">
      <alignment horizontal="center"/>
    </xf>
    <xf numFmtId="164" fontId="54" fillId="0" borderId="0" xfId="210" applyNumberFormat="1" applyFont="1" applyAlignment="1">
      <alignment horizontal="left"/>
    </xf>
    <xf numFmtId="0" fontId="54" fillId="0" borderId="0" xfId="210" applyNumberFormat="1" applyFont="1" applyFill="1" applyAlignment="1"/>
    <xf numFmtId="164" fontId="54" fillId="0" borderId="0" xfId="210" applyNumberFormat="1" applyFont="1" applyFill="1" applyAlignment="1">
      <alignment horizontal="left"/>
    </xf>
    <xf numFmtId="175" fontId="54" fillId="0" borderId="0" xfId="59" applyNumberFormat="1" applyFont="1" applyBorder="1" applyAlignment="1"/>
    <xf numFmtId="10" fontId="54" fillId="0" borderId="0" xfId="210" applyNumberFormat="1" applyFont="1" applyFill="1" applyAlignment="1">
      <alignment horizontal="left"/>
    </xf>
    <xf numFmtId="3" fontId="54" fillId="0" borderId="0" xfId="188" applyNumberFormat="1" applyFont="1" applyAlignment="1"/>
    <xf numFmtId="166" fontId="54" fillId="0" borderId="0" xfId="188" applyNumberFormat="1" applyFont="1" applyAlignment="1"/>
    <xf numFmtId="0" fontId="54" fillId="0" borderId="0" xfId="188" applyFont="1" applyAlignment="1"/>
    <xf numFmtId="164" fontId="54" fillId="0" borderId="0" xfId="210" applyNumberFormat="1" applyFont="1" applyFill="1" applyAlignment="1" applyProtection="1">
      <alignment horizontal="left"/>
      <protection locked="0"/>
    </xf>
    <xf numFmtId="174" fontId="54" fillId="0" borderId="1" xfId="201" applyFont="1" applyFill="1" applyBorder="1" applyAlignment="1"/>
    <xf numFmtId="175" fontId="54" fillId="0" borderId="0" xfId="59" applyNumberFormat="1" applyFont="1" applyFill="1" applyBorder="1" applyAlignment="1"/>
    <xf numFmtId="43" fontId="54" fillId="0" borderId="0" xfId="59" applyFont="1" applyFill="1" applyBorder="1" applyAlignment="1"/>
    <xf numFmtId="174" fontId="85" fillId="0" borderId="0" xfId="201" applyFont="1" applyFill="1" applyBorder="1" applyAlignment="1"/>
    <xf numFmtId="174" fontId="54" fillId="0" borderId="0" xfId="201" applyFont="1" applyFill="1" applyBorder="1" applyAlignment="1">
      <alignment horizontal="center"/>
    </xf>
    <xf numFmtId="174" fontId="54" fillId="0" borderId="0" xfId="201" applyFont="1" applyFill="1" applyBorder="1" applyAlignment="1">
      <alignment horizontal="right"/>
    </xf>
    <xf numFmtId="0" fontId="54" fillId="0" borderId="0" xfId="188" applyFont="1" applyFill="1"/>
    <xf numFmtId="0" fontId="54" fillId="0" borderId="0" xfId="201" applyNumberFormat="1" applyFont="1" applyFill="1" applyAlignment="1">
      <alignment horizontal="right"/>
    </xf>
    <xf numFmtId="0" fontId="86" fillId="0" borderId="0" xfId="201" applyNumberFormat="1" applyFont="1" applyFill="1" applyBorder="1"/>
    <xf numFmtId="0" fontId="86" fillId="0" borderId="0" xfId="201" applyNumberFormat="1" applyFont="1" applyFill="1" applyBorder="1" applyAlignment="1">
      <alignment horizontal="center"/>
    </xf>
    <xf numFmtId="49" fontId="54" fillId="0" borderId="0" xfId="201" applyNumberFormat="1" applyFont="1" applyFill="1" applyBorder="1"/>
    <xf numFmtId="3" fontId="54" fillId="0" borderId="0" xfId="201" applyNumberFormat="1" applyFont="1" applyFill="1" applyBorder="1"/>
    <xf numFmtId="0" fontId="54" fillId="0" borderId="0" xfId="201" applyNumberFormat="1" applyFont="1" applyFill="1" applyBorder="1" applyAlignment="1">
      <alignment horizontal="center"/>
    </xf>
    <xf numFmtId="49" fontId="54" fillId="0" borderId="0" xfId="201" applyNumberFormat="1" applyFont="1" applyFill="1" applyBorder="1" applyAlignment="1">
      <alignment horizontal="center"/>
    </xf>
    <xf numFmtId="0" fontId="54" fillId="0" borderId="0" xfId="201" applyNumberFormat="1" applyFont="1" applyFill="1" applyBorder="1" applyAlignment="1"/>
    <xf numFmtId="3" fontId="61" fillId="0" borderId="0" xfId="201" applyNumberFormat="1" applyFont="1" applyFill="1" applyBorder="1" applyAlignment="1">
      <alignment horizontal="center"/>
    </xf>
    <xf numFmtId="174" fontId="61" fillId="0" borderId="0" xfId="201" applyFont="1" applyFill="1" applyBorder="1" applyAlignment="1">
      <alignment horizontal="center"/>
    </xf>
    <xf numFmtId="0" fontId="61" fillId="0" borderId="0" xfId="201" applyNumberFormat="1" applyFont="1" applyFill="1" applyBorder="1" applyAlignment="1" applyProtection="1">
      <alignment horizontal="center"/>
      <protection locked="0"/>
    </xf>
    <xf numFmtId="0" fontId="61" fillId="0" borderId="0" xfId="201" applyNumberFormat="1" applyFont="1" applyFill="1" applyBorder="1" applyAlignment="1">
      <alignment horizontal="center"/>
    </xf>
    <xf numFmtId="0" fontId="61" fillId="0" borderId="0" xfId="201" applyNumberFormat="1" applyFont="1" applyFill="1" applyBorder="1" applyAlignment="1"/>
    <xf numFmtId="0" fontId="87" fillId="0" borderId="0" xfId="201" applyNumberFormat="1" applyFont="1" applyFill="1" applyBorder="1" applyAlignment="1" applyProtection="1">
      <alignment horizontal="center"/>
      <protection locked="0"/>
    </xf>
    <xf numFmtId="3" fontId="54" fillId="0" borderId="0" xfId="201" applyNumberFormat="1" applyFont="1" applyFill="1" applyBorder="1" applyAlignment="1">
      <alignment horizontal="left"/>
    </xf>
    <xf numFmtId="10" fontId="88" fillId="0" borderId="0" xfId="265" applyNumberFormat="1" applyFont="1" applyFill="1" applyBorder="1" applyAlignment="1"/>
    <xf numFmtId="10" fontId="61" fillId="0" borderId="0" xfId="201" applyNumberFormat="1" applyFont="1" applyFill="1" applyBorder="1" applyAlignment="1"/>
    <xf numFmtId="3" fontId="61" fillId="0" borderId="0" xfId="201" applyNumberFormat="1" applyFont="1" applyFill="1" applyBorder="1" applyAlignment="1"/>
    <xf numFmtId="165" fontId="61" fillId="0" borderId="0" xfId="201" applyNumberFormat="1" applyFont="1" applyFill="1" applyBorder="1" applyAlignment="1"/>
    <xf numFmtId="10" fontId="54" fillId="0" borderId="0" xfId="201" applyNumberFormat="1" applyFont="1" applyFill="1" applyBorder="1" applyAlignment="1"/>
    <xf numFmtId="49" fontId="61" fillId="0" borderId="0" xfId="201" applyNumberFormat="1" applyFont="1" applyFill="1" applyBorder="1" applyAlignment="1">
      <alignment horizontal="center"/>
    </xf>
    <xf numFmtId="174" fontId="61" fillId="0" borderId="0" xfId="201" applyFont="1" applyFill="1" applyBorder="1" applyAlignment="1"/>
    <xf numFmtId="3" fontId="61" fillId="0" borderId="0" xfId="201" applyNumberFormat="1" applyFont="1" applyFill="1" applyBorder="1" applyAlignment="1">
      <alignment horizontal="left"/>
    </xf>
    <xf numFmtId="10" fontId="61" fillId="0" borderId="0" xfId="265" applyNumberFormat="1" applyFont="1" applyFill="1" applyBorder="1" applyAlignment="1"/>
    <xf numFmtId="0" fontId="54" fillId="0" borderId="0" xfId="201" applyNumberFormat="1" applyFont="1" applyFill="1" applyBorder="1" applyAlignment="1">
      <alignment horizontal="fill"/>
    </xf>
    <xf numFmtId="174" fontId="89" fillId="0" borderId="0" xfId="201" applyFont="1" applyFill="1" applyBorder="1" applyAlignment="1"/>
    <xf numFmtId="3" fontId="89" fillId="0" borderId="0" xfId="201" applyNumberFormat="1" applyFont="1" applyFill="1" applyBorder="1" applyAlignment="1"/>
    <xf numFmtId="164" fontId="54" fillId="0" borderId="0" xfId="201" applyNumberFormat="1" applyFont="1" applyFill="1" applyBorder="1" applyAlignment="1">
      <alignment horizontal="left"/>
    </xf>
    <xf numFmtId="164" fontId="54" fillId="0" borderId="0" xfId="201" applyNumberFormat="1" applyFont="1" applyFill="1" applyBorder="1" applyAlignment="1">
      <alignment horizontal="center"/>
    </xf>
    <xf numFmtId="170" fontId="54" fillId="0" borderId="0" xfId="201" applyNumberFormat="1" applyFont="1" applyFill="1" applyBorder="1" applyAlignment="1"/>
    <xf numFmtId="0" fontId="89" fillId="0" borderId="0" xfId="201" applyNumberFormat="1" applyFont="1" applyFill="1" applyBorder="1"/>
    <xf numFmtId="177" fontId="61" fillId="0" borderId="0" xfId="201" applyNumberFormat="1" applyFont="1" applyFill="1" applyBorder="1" applyAlignment="1">
      <alignment horizontal="center"/>
    </xf>
    <xf numFmtId="174" fontId="61" fillId="0" borderId="7" xfId="201" applyFont="1" applyFill="1" applyBorder="1" applyAlignment="1"/>
    <xf numFmtId="0" fontId="61" fillId="0" borderId="7" xfId="201" applyNumberFormat="1" applyFont="1" applyFill="1" applyBorder="1" applyAlignment="1">
      <alignment horizontal="center" wrapText="1"/>
    </xf>
    <xf numFmtId="174" fontId="61" fillId="0" borderId="9" xfId="201" applyFont="1" applyFill="1" applyBorder="1" applyAlignment="1">
      <alignment horizontal="center" wrapText="1"/>
    </xf>
    <xf numFmtId="3" fontId="61" fillId="0" borderId="9" xfId="201" applyNumberFormat="1" applyFont="1" applyFill="1" applyBorder="1" applyAlignment="1">
      <alignment horizontal="center" wrapText="1"/>
    </xf>
    <xf numFmtId="0" fontId="54" fillId="0" borderId="7" xfId="201" applyNumberFormat="1" applyFont="1" applyFill="1" applyBorder="1"/>
    <xf numFmtId="0" fontId="54" fillId="0" borderId="7" xfId="201" applyNumberFormat="1" applyFont="1" applyFill="1" applyBorder="1" applyAlignment="1">
      <alignment horizontal="center"/>
    </xf>
    <xf numFmtId="0" fontId="54" fillId="0" borderId="9" xfId="201" applyNumberFormat="1" applyFont="1" applyFill="1" applyBorder="1" applyAlignment="1">
      <alignment horizontal="center"/>
    </xf>
    <xf numFmtId="3" fontId="54" fillId="0" borderId="9" xfId="201" applyNumberFormat="1" applyFont="1" applyFill="1" applyBorder="1" applyAlignment="1">
      <alignment horizontal="center" wrapText="1"/>
    </xf>
    <xf numFmtId="3" fontId="54" fillId="0" borderId="7" xfId="201" applyNumberFormat="1" applyFont="1" applyFill="1" applyBorder="1" applyAlignment="1">
      <alignment horizontal="center"/>
    </xf>
    <xf numFmtId="0" fontId="54" fillId="0" borderId="11" xfId="201" applyNumberFormat="1" applyFont="1" applyFill="1" applyBorder="1"/>
    <xf numFmtId="3" fontId="54" fillId="0" borderId="11" xfId="201" applyNumberFormat="1" applyFont="1" applyFill="1" applyBorder="1" applyAlignment="1"/>
    <xf numFmtId="174" fontId="54" fillId="0" borderId="0" xfId="209" applyFont="1" applyFill="1" applyBorder="1" applyAlignment="1"/>
    <xf numFmtId="174" fontId="54" fillId="14" borderId="0" xfId="209" applyFont="1" applyFill="1" applyBorder="1" applyAlignment="1"/>
    <xf numFmtId="0" fontId="54" fillId="14" borderId="0" xfId="59" applyNumberFormat="1" applyFont="1" applyFill="1" applyBorder="1" applyAlignment="1"/>
    <xf numFmtId="176" fontId="54" fillId="14" borderId="0" xfId="93" applyNumberFormat="1" applyFont="1" applyFill="1" applyBorder="1" applyAlignment="1"/>
    <xf numFmtId="174" fontId="54" fillId="0" borderId="0" xfId="201" applyFont="1" applyFill="1" applyBorder="1" applyAlignment="1">
      <alignment horizontal="center" vertical="top"/>
    </xf>
    <xf numFmtId="49" fontId="84" fillId="0" borderId="0" xfId="0" applyNumberFormat="1" applyFont="1" applyAlignment="1">
      <alignment horizontal="center"/>
    </xf>
    <xf numFmtId="3" fontId="84" fillId="0" borderId="0" xfId="210" applyNumberFormat="1" applyFont="1" applyAlignment="1"/>
    <xf numFmtId="3" fontId="54" fillId="0" borderId="0" xfId="210" applyNumberFormat="1" applyFont="1" applyAlignment="1">
      <alignment wrapText="1"/>
    </xf>
    <xf numFmtId="0" fontId="54" fillId="0" borderId="0" xfId="192" applyFont="1"/>
    <xf numFmtId="43" fontId="54" fillId="0" borderId="0" xfId="192" applyNumberFormat="1" applyFont="1"/>
    <xf numFmtId="0" fontId="54" fillId="0" borderId="0" xfId="188" applyFont="1"/>
    <xf numFmtId="0" fontId="54" fillId="0" borderId="0" xfId="188" applyFont="1" applyAlignment="1">
      <alignment horizontal="right"/>
    </xf>
    <xf numFmtId="0" fontId="54" fillId="0" borderId="0" xfId="210" applyNumberFormat="1" applyFont="1" applyAlignment="1" applyProtection="1">
      <alignment horizontal="center"/>
      <protection locked="0"/>
    </xf>
    <xf numFmtId="0" fontId="54" fillId="0" borderId="0" xfId="210" applyNumberFormat="1" applyFont="1" applyFill="1" applyAlignment="1" applyProtection="1">
      <protection locked="0"/>
    </xf>
    <xf numFmtId="0" fontId="54" fillId="0" borderId="0" xfId="210" applyNumberFormat="1" applyFont="1" applyFill="1" applyProtection="1">
      <protection locked="0"/>
    </xf>
    <xf numFmtId="0" fontId="54" fillId="14" borderId="0" xfId="188" applyFont="1" applyFill="1"/>
    <xf numFmtId="0" fontId="54" fillId="14" borderId="0" xfId="210" applyNumberFormat="1" applyFont="1" applyFill="1"/>
    <xf numFmtId="0" fontId="54" fillId="0" borderId="0" xfId="210" applyNumberFormat="1" applyFont="1" applyProtection="1">
      <protection locked="0"/>
    </xf>
    <xf numFmtId="0" fontId="54" fillId="0" borderId="0" xfId="210" applyNumberFormat="1" applyFont="1"/>
    <xf numFmtId="0" fontId="91" fillId="0" borderId="0" xfId="210" applyNumberFormat="1" applyFont="1"/>
    <xf numFmtId="49" fontId="54" fillId="0" borderId="0" xfId="210" applyNumberFormat="1" applyFont="1" applyAlignment="1"/>
    <xf numFmtId="49" fontId="54" fillId="0" borderId="0" xfId="210" applyNumberFormat="1" applyFont="1" applyAlignment="1">
      <alignment horizontal="center"/>
    </xf>
    <xf numFmtId="0" fontId="54" fillId="0" borderId="0" xfId="210" applyNumberFormat="1" applyFont="1" applyAlignment="1">
      <alignment horizontal="center"/>
    </xf>
    <xf numFmtId="49" fontId="54" fillId="0" borderId="0" xfId="210" applyNumberFormat="1" applyFont="1"/>
    <xf numFmtId="3" fontId="54" fillId="0" borderId="0" xfId="210" applyNumberFormat="1" applyFont="1"/>
    <xf numFmtId="42" fontId="54" fillId="0" borderId="0" xfId="188" applyNumberFormat="1" applyFont="1"/>
    <xf numFmtId="0" fontId="54" fillId="0" borderId="0" xfId="210" applyNumberFormat="1" applyFont="1" applyFill="1"/>
    <xf numFmtId="0" fontId="54" fillId="0" borderId="8" xfId="210" applyNumberFormat="1" applyFont="1" applyBorder="1" applyAlignment="1" applyProtection="1">
      <alignment horizontal="centerContinuous"/>
      <protection locked="0"/>
    </xf>
    <xf numFmtId="3" fontId="54" fillId="0" borderId="0" xfId="210" applyNumberFormat="1" applyFont="1" applyFill="1" applyBorder="1"/>
    <xf numFmtId="3" fontId="54" fillId="0" borderId="0" xfId="210" applyNumberFormat="1" applyFont="1" applyAlignment="1">
      <alignment horizontal="left"/>
    </xf>
    <xf numFmtId="166" fontId="54" fillId="0" borderId="0" xfId="210" applyNumberFormat="1" applyFont="1" applyAlignment="1"/>
    <xf numFmtId="174" fontId="85" fillId="0" borderId="0" xfId="0" applyFont="1" applyAlignment="1"/>
    <xf numFmtId="0" fontId="54" fillId="0" borderId="0" xfId="206" applyNumberFormat="1" applyFont="1" applyAlignment="1" applyProtection="1">
      <alignment horizontal="center"/>
      <protection locked="0"/>
    </xf>
    <xf numFmtId="0" fontId="54" fillId="0" borderId="0" xfId="206" applyNumberFormat="1" applyFont="1" applyAlignment="1"/>
    <xf numFmtId="0" fontId="54" fillId="0" borderId="0" xfId="206" applyNumberFormat="1" applyFont="1"/>
    <xf numFmtId="0" fontId="54" fillId="0" borderId="0" xfId="206" applyNumberFormat="1" applyFont="1" applyBorder="1" applyAlignment="1"/>
    <xf numFmtId="0" fontId="54" fillId="0" borderId="0" xfId="210" applyNumberFormat="1" applyFont="1" applyFill="1" applyBorder="1"/>
    <xf numFmtId="0" fontId="54" fillId="0" borderId="0" xfId="206" applyFont="1" applyAlignment="1"/>
    <xf numFmtId="3" fontId="54" fillId="0" borderId="0" xfId="206" applyNumberFormat="1" applyFont="1" applyAlignment="1"/>
    <xf numFmtId="42" fontId="54" fillId="0" borderId="18" xfId="206" applyNumberFormat="1" applyFont="1" applyBorder="1" applyAlignment="1" applyProtection="1">
      <alignment horizontal="right"/>
      <protection locked="0"/>
    </xf>
    <xf numFmtId="0" fontId="54" fillId="0" borderId="0" xfId="210" applyNumberFormat="1" applyFont="1" applyFill="1" applyBorder="1" applyAlignment="1" applyProtection="1">
      <alignment horizontal="center"/>
      <protection locked="0"/>
    </xf>
    <xf numFmtId="174" fontId="54" fillId="0" borderId="0" xfId="210" applyFont="1" applyFill="1" applyBorder="1" applyAlignment="1"/>
    <xf numFmtId="0" fontId="54" fillId="0" borderId="0" xfId="210" applyNumberFormat="1" applyFont="1" applyFill="1" applyBorder="1" applyProtection="1">
      <protection locked="0"/>
    </xf>
    <xf numFmtId="0" fontId="54" fillId="0" borderId="0" xfId="210" applyNumberFormat="1" applyFont="1" applyFill="1" applyBorder="1" applyAlignment="1"/>
    <xf numFmtId="173" fontId="54" fillId="0" borderId="0" xfId="210" applyNumberFormat="1" applyFont="1" applyFill="1" applyProtection="1">
      <protection locked="0"/>
    </xf>
    <xf numFmtId="173" fontId="54" fillId="0" borderId="0" xfId="210" applyNumberFormat="1" applyFont="1" applyProtection="1">
      <protection locked="0"/>
    </xf>
    <xf numFmtId="169" fontId="54" fillId="0" borderId="0" xfId="210" applyNumberFormat="1" applyFont="1"/>
    <xf numFmtId="0" fontId="54" fillId="0" borderId="0" xfId="210" applyNumberFormat="1" applyFont="1" applyAlignment="1">
      <alignment horizontal="right"/>
    </xf>
    <xf numFmtId="0" fontId="83" fillId="0" borderId="0" xfId="210" applyNumberFormat="1" applyFont="1" applyAlignment="1"/>
    <xf numFmtId="3" fontId="61" fillId="0" borderId="0" xfId="210" applyNumberFormat="1" applyFont="1" applyAlignment="1">
      <alignment horizontal="center"/>
    </xf>
    <xf numFmtId="0" fontId="61" fillId="0" borderId="0" xfId="210" applyNumberFormat="1" applyFont="1" applyAlignment="1" applyProtection="1">
      <alignment horizontal="center"/>
      <protection locked="0"/>
    </xf>
    <xf numFmtId="174" fontId="61" fillId="0" borderId="0" xfId="210" applyFont="1" applyAlignment="1">
      <alignment horizontal="center"/>
    </xf>
    <xf numFmtId="3" fontId="61" fillId="0" borderId="0" xfId="210" applyNumberFormat="1" applyFont="1" applyAlignment="1"/>
    <xf numFmtId="0" fontId="61" fillId="0" borderId="0" xfId="210" applyNumberFormat="1" applyFont="1" applyAlignment="1"/>
    <xf numFmtId="175" fontId="54" fillId="14" borderId="0" xfId="59" applyNumberFormat="1" applyFont="1" applyFill="1" applyAlignment="1"/>
    <xf numFmtId="175" fontId="54" fillId="14" borderId="8" xfId="59" applyNumberFormat="1" applyFont="1" applyFill="1" applyBorder="1" applyAlignment="1"/>
    <xf numFmtId="175" fontId="54" fillId="0" borderId="8" xfId="59" applyNumberFormat="1" applyFont="1" applyBorder="1" applyAlignment="1"/>
    <xf numFmtId="43" fontId="54" fillId="0" borderId="0" xfId="59" applyFont="1" applyAlignment="1">
      <alignment horizontal="center"/>
    </xf>
    <xf numFmtId="164" fontId="54" fillId="0" borderId="0" xfId="210" applyNumberFormat="1" applyFont="1" applyAlignment="1">
      <alignment horizontal="center"/>
    </xf>
    <xf numFmtId="184" fontId="54" fillId="0" borderId="0" xfId="59" applyNumberFormat="1" applyFont="1" applyAlignment="1"/>
    <xf numFmtId="3" fontId="54" fillId="0" borderId="0" xfId="206" applyNumberFormat="1" applyFont="1" applyBorder="1" applyAlignment="1"/>
    <xf numFmtId="3" fontId="54" fillId="0" borderId="0" xfId="206" applyNumberFormat="1" applyFont="1" applyFill="1" applyBorder="1" applyAlignment="1"/>
    <xf numFmtId="0" fontId="54" fillId="0" borderId="0" xfId="206" applyFont="1" applyFill="1" applyBorder="1" applyAlignment="1"/>
    <xf numFmtId="3" fontId="54" fillId="0" borderId="0" xfId="206" applyNumberFormat="1" applyFont="1" applyFill="1" applyAlignment="1"/>
    <xf numFmtId="184" fontId="54" fillId="0" borderId="0" xfId="59" applyNumberFormat="1" applyFont="1" applyBorder="1" applyAlignment="1"/>
    <xf numFmtId="3" fontId="54" fillId="0" borderId="0" xfId="210" quotePrefix="1" applyNumberFormat="1" applyFont="1" applyAlignment="1">
      <alignment horizontal="left"/>
    </xf>
    <xf numFmtId="175" fontId="54" fillId="0" borderId="0" xfId="59" applyNumberFormat="1" applyFont="1" applyFill="1" applyAlignment="1"/>
    <xf numFmtId="3" fontId="54" fillId="0" borderId="0" xfId="188" applyNumberFormat="1" applyFont="1" applyFill="1" applyAlignment="1"/>
    <xf numFmtId="0" fontId="54" fillId="0" borderId="0" xfId="188" applyNumberFormat="1" applyFont="1"/>
    <xf numFmtId="175" fontId="54" fillId="0" borderId="18" xfId="59" applyNumberFormat="1" applyFont="1" applyBorder="1" applyAlignment="1"/>
    <xf numFmtId="164" fontId="54" fillId="0" borderId="0" xfId="188" applyNumberFormat="1" applyFont="1" applyAlignment="1">
      <alignment horizontal="center"/>
    </xf>
    <xf numFmtId="3" fontId="54" fillId="0" borderId="0" xfId="188" applyNumberFormat="1" applyFont="1" applyBorder="1" applyAlignment="1"/>
    <xf numFmtId="3" fontId="54" fillId="0" borderId="0" xfId="210" applyNumberFormat="1" applyFont="1" applyAlignment="1">
      <alignment horizontal="right"/>
    </xf>
    <xf numFmtId="0" fontId="54" fillId="0" borderId="0" xfId="206" applyNumberFormat="1" applyFont="1" applyFill="1" applyAlignment="1"/>
    <xf numFmtId="172" fontId="54" fillId="0" borderId="0" xfId="210" applyNumberFormat="1" applyFont="1" applyFill="1" applyAlignment="1">
      <alignment horizontal="left"/>
    </xf>
    <xf numFmtId="183" fontId="54" fillId="0" borderId="0" xfId="59" applyNumberFormat="1" applyFont="1" applyAlignment="1"/>
    <xf numFmtId="183" fontId="54" fillId="0" borderId="0" xfId="59" applyNumberFormat="1" applyFont="1" applyFill="1" applyAlignment="1"/>
    <xf numFmtId="183" fontId="54" fillId="0" borderId="0" xfId="59" applyNumberFormat="1" applyFont="1" applyFill="1" applyBorder="1" applyAlignment="1"/>
    <xf numFmtId="175" fontId="54" fillId="0" borderId="8" xfId="59" applyNumberFormat="1" applyFont="1" applyFill="1" applyBorder="1" applyAlignment="1"/>
    <xf numFmtId="0" fontId="54" fillId="0" borderId="0" xfId="210" applyNumberFormat="1" applyFont="1" applyAlignment="1">
      <alignment wrapText="1"/>
    </xf>
    <xf numFmtId="0" fontId="54" fillId="0" borderId="0" xfId="210" quotePrefix="1" applyNumberFormat="1" applyFont="1" applyAlignment="1">
      <alignment horizontal="left"/>
    </xf>
    <xf numFmtId="175" fontId="54" fillId="0" borderId="0" xfId="59" applyNumberFormat="1" applyFont="1" applyFill="1" applyAlignment="1">
      <alignment horizontal="right"/>
    </xf>
    <xf numFmtId="167" fontId="54" fillId="0" borderId="0" xfId="210" applyNumberFormat="1" applyFont="1" applyAlignment="1"/>
    <xf numFmtId="166" fontId="54" fillId="0" borderId="0" xfId="188" applyNumberFormat="1" applyFont="1" applyAlignment="1">
      <alignment horizontal="center"/>
    </xf>
    <xf numFmtId="164" fontId="54" fillId="0" borderId="0" xfId="210" applyNumberFormat="1" applyFont="1" applyAlignment="1" applyProtection="1">
      <alignment horizontal="left"/>
      <protection locked="0"/>
    </xf>
    <xf numFmtId="175" fontId="54" fillId="0" borderId="14" xfId="59" applyNumberFormat="1" applyFont="1" applyBorder="1" applyAlignment="1"/>
    <xf numFmtId="174" fontId="54" fillId="0" borderId="0" xfId="210" applyFont="1" applyAlignment="1">
      <alignment horizontal="right"/>
    </xf>
    <xf numFmtId="0" fontId="84" fillId="0" borderId="0" xfId="210" applyNumberFormat="1" applyFont="1" applyAlignment="1" applyProtection="1">
      <alignment horizontal="center"/>
      <protection locked="0"/>
    </xf>
    <xf numFmtId="0" fontId="54" fillId="0" borderId="8" xfId="210" applyNumberFormat="1" applyFont="1" applyFill="1" applyBorder="1" applyProtection="1">
      <protection locked="0"/>
    </xf>
    <xf numFmtId="0" fontId="54" fillId="0" borderId="8" xfId="210" applyNumberFormat="1" applyFont="1" applyFill="1" applyBorder="1"/>
    <xf numFmtId="3" fontId="54" fillId="0" borderId="0" xfId="210" applyNumberFormat="1" applyFont="1" applyFill="1" applyAlignment="1">
      <alignment horizontal="center"/>
    </xf>
    <xf numFmtId="49" fontId="54" fillId="0" borderId="0" xfId="210" applyNumberFormat="1" applyFont="1" applyFill="1"/>
    <xf numFmtId="49" fontId="54" fillId="0" borderId="0" xfId="210" applyNumberFormat="1" applyFont="1" applyFill="1" applyAlignment="1"/>
    <xf numFmtId="49" fontId="54" fillId="0" borderId="0" xfId="210" applyNumberFormat="1" applyFont="1" applyFill="1" applyAlignment="1">
      <alignment horizontal="center"/>
    </xf>
    <xf numFmtId="183" fontId="54" fillId="0" borderId="0" xfId="59" applyNumberFormat="1" applyFont="1" applyFill="1" applyAlignment="1">
      <alignment horizontal="right"/>
    </xf>
    <xf numFmtId="3" fontId="54" fillId="0" borderId="8" xfId="210" applyNumberFormat="1" applyFont="1" applyBorder="1" applyAlignment="1"/>
    <xf numFmtId="43" fontId="54" fillId="0" borderId="0" xfId="59" applyNumberFormat="1" applyFont="1" applyAlignment="1"/>
    <xf numFmtId="4" fontId="54" fillId="0" borderId="0" xfId="210" applyNumberFormat="1" applyFont="1" applyAlignment="1"/>
    <xf numFmtId="3" fontId="54" fillId="0" borderId="0" xfId="188" applyNumberFormat="1" applyFont="1" applyBorder="1" applyAlignment="1">
      <alignment horizontal="center"/>
    </xf>
    <xf numFmtId="0" fontId="54" fillId="0" borderId="8" xfId="188" applyNumberFormat="1" applyFont="1" applyBorder="1" applyAlignment="1">
      <alignment horizontal="center"/>
    </xf>
    <xf numFmtId="0" fontId="54" fillId="0" borderId="0" xfId="188" applyNumberFormat="1" applyFont="1" applyAlignment="1">
      <alignment horizontal="center"/>
    </xf>
    <xf numFmtId="3" fontId="54" fillId="0" borderId="0" xfId="210" quotePrefix="1" applyNumberFormat="1" applyFont="1" applyAlignment="1"/>
    <xf numFmtId="175" fontId="54" fillId="0" borderId="0" xfId="59" applyNumberFormat="1" applyFont="1" applyFill="1" applyAlignment="1">
      <alignment horizontal="center"/>
    </xf>
    <xf numFmtId="0" fontId="54" fillId="0" borderId="0" xfId="210" applyNumberFormat="1" applyFont="1" applyBorder="1" applyAlignment="1" applyProtection="1">
      <alignment horizontal="center"/>
      <protection locked="0"/>
    </xf>
    <xf numFmtId="174" fontId="54" fillId="0" borderId="0" xfId="210" applyFont="1" applyFill="1" applyAlignment="1" applyProtection="1"/>
    <xf numFmtId="170" fontId="54" fillId="0" borderId="0" xfId="210" applyNumberFormat="1" applyFont="1" applyFill="1" applyBorder="1" applyProtection="1"/>
    <xf numFmtId="168" fontId="54" fillId="0" borderId="0" xfId="210" applyNumberFormat="1" applyFont="1" applyProtection="1">
      <protection locked="0"/>
    </xf>
    <xf numFmtId="1" fontId="54" fillId="0" borderId="0" xfId="210" applyNumberFormat="1" applyFont="1" applyFill="1" applyProtection="1"/>
    <xf numFmtId="1" fontId="54" fillId="0" borderId="0" xfId="210" applyNumberFormat="1" applyFont="1" applyFill="1" applyAlignment="1" applyProtection="1"/>
    <xf numFmtId="0" fontId="54" fillId="0" borderId="0" xfId="210" applyNumberFormat="1" applyFont="1" applyAlignment="1" applyProtection="1">
      <alignment horizontal="left"/>
      <protection locked="0"/>
    </xf>
    <xf numFmtId="3" fontId="54" fillId="0" borderId="0" xfId="210" applyNumberFormat="1" applyFont="1" applyAlignment="1" applyProtection="1"/>
    <xf numFmtId="3" fontId="54" fillId="0" borderId="0" xfId="210" applyNumberFormat="1" applyFont="1" applyFill="1" applyAlignment="1" applyProtection="1"/>
    <xf numFmtId="174" fontId="54" fillId="0" borderId="0" xfId="210" applyNumberFormat="1" applyFont="1" applyAlignment="1" applyProtection="1">
      <protection locked="0"/>
    </xf>
    <xf numFmtId="170" fontId="54" fillId="0" borderId="0" xfId="210" applyNumberFormat="1" applyFont="1" applyFill="1" applyBorder="1" applyAlignment="1" applyProtection="1"/>
    <xf numFmtId="170" fontId="54" fillId="0" borderId="0" xfId="210" applyNumberFormat="1" applyFont="1" applyAlignment="1" applyProtection="1">
      <alignment horizontal="right"/>
      <protection locked="0"/>
    </xf>
    <xf numFmtId="170" fontId="54" fillId="0" borderId="0" xfId="210" applyNumberFormat="1" applyFont="1" applyProtection="1">
      <protection locked="0"/>
    </xf>
    <xf numFmtId="3" fontId="54" fillId="0" borderId="0" xfId="210" applyNumberFormat="1" applyFont="1" applyAlignment="1">
      <alignment vertical="top" wrapText="1"/>
    </xf>
    <xf numFmtId="0" fontId="54" fillId="0" borderId="0" xfId="210" applyNumberFormat="1" applyFont="1" applyAlignment="1" applyProtection="1">
      <alignment vertical="top" wrapText="1"/>
      <protection locked="0"/>
    </xf>
    <xf numFmtId="174" fontId="83" fillId="0" borderId="15" xfId="201" applyFont="1" applyFill="1" applyBorder="1" applyAlignment="1"/>
    <xf numFmtId="174" fontId="83" fillId="0" borderId="1" xfId="201" applyFont="1" applyFill="1" applyBorder="1" applyAlignment="1"/>
    <xf numFmtId="177" fontId="61" fillId="0" borderId="0" xfId="201" quotePrefix="1" applyNumberFormat="1" applyFont="1" applyFill="1" applyBorder="1" applyAlignment="1">
      <alignment horizontal="center"/>
    </xf>
    <xf numFmtId="174" fontId="54" fillId="0" borderId="0" xfId="210" applyFont="1" applyAlignment="1">
      <alignment horizontal="center"/>
    </xf>
    <xf numFmtId="174" fontId="54" fillId="0" borderId="0" xfId="201" applyFont="1" applyFill="1" applyBorder="1" applyAlignment="1">
      <alignment horizontal="left"/>
    </xf>
    <xf numFmtId="0" fontId="54" fillId="0" borderId="0" xfId="210" applyNumberFormat="1" applyFont="1" applyFill="1" applyAlignment="1">
      <alignment horizontal="center"/>
    </xf>
    <xf numFmtId="10" fontId="54" fillId="0" borderId="0" xfId="265" applyNumberFormat="1" applyFont="1" applyAlignment="1"/>
    <xf numFmtId="0" fontId="54" fillId="0" borderId="0" xfId="187" applyFont="1" applyFill="1" applyBorder="1" applyAlignment="1">
      <alignment horizontal="center"/>
    </xf>
    <xf numFmtId="174" fontId="54" fillId="0" borderId="0" xfId="0" applyFont="1" applyFill="1" applyAlignment="1"/>
    <xf numFmtId="174" fontId="54" fillId="0" borderId="0" xfId="0" applyFont="1" applyAlignment="1">
      <alignment horizontal="center"/>
    </xf>
    <xf numFmtId="174" fontId="54" fillId="0" borderId="0" xfId="0" applyFont="1" applyAlignment="1">
      <alignment horizontal="right"/>
    </xf>
    <xf numFmtId="0" fontId="54" fillId="0" borderId="0" xfId="0" applyNumberFormat="1" applyFont="1" applyAlignment="1">
      <alignment horizontal="center"/>
    </xf>
    <xf numFmtId="0" fontId="54" fillId="0" borderId="0" xfId="0" applyNumberFormat="1" applyFont="1" applyAlignment="1">
      <alignment horizontal="center" wrapText="1"/>
    </xf>
    <xf numFmtId="0" fontId="83" fillId="0" borderId="0" xfId="0" applyNumberFormat="1" applyFont="1" applyAlignment="1">
      <alignment horizontal="center"/>
    </xf>
    <xf numFmtId="174" fontId="83" fillId="0" borderId="0" xfId="0" applyFont="1" applyAlignment="1">
      <alignment horizontal="center"/>
    </xf>
    <xf numFmtId="44" fontId="83" fillId="0" borderId="0" xfId="0" applyNumberFormat="1" applyFont="1" applyBorder="1" applyAlignment="1"/>
    <xf numFmtId="0" fontId="54" fillId="0" borderId="22" xfId="201" applyNumberFormat="1" applyFont="1" applyFill="1" applyBorder="1"/>
    <xf numFmtId="0" fontId="54" fillId="0" borderId="7" xfId="201" applyNumberFormat="1" applyFont="1" applyFill="1" applyBorder="1" applyAlignment="1">
      <alignment horizontal="center" wrapText="1"/>
    </xf>
    <xf numFmtId="174" fontId="44" fillId="0" borderId="0" xfId="0" applyFont="1" applyAlignment="1"/>
    <xf numFmtId="43" fontId="44" fillId="0" borderId="0" xfId="59" applyFont="1" applyAlignment="1"/>
    <xf numFmtId="175" fontId="44" fillId="0" borderId="0" xfId="59" applyNumberFormat="1" applyFont="1" applyAlignment="1" applyProtection="1">
      <alignment horizontal="center"/>
      <protection locked="0"/>
    </xf>
    <xf numFmtId="0" fontId="44" fillId="0" borderId="0" xfId="210" applyNumberFormat="1" applyFont="1" applyAlignment="1" applyProtection="1">
      <protection locked="0"/>
    </xf>
    <xf numFmtId="3" fontId="44" fillId="0" borderId="0" xfId="210" applyNumberFormat="1" applyFont="1" applyAlignment="1"/>
    <xf numFmtId="3" fontId="44" fillId="0" borderId="8" xfId="210" applyNumberFormat="1" applyFont="1" applyBorder="1" applyAlignment="1">
      <alignment horizontal="center"/>
    </xf>
    <xf numFmtId="170" fontId="44" fillId="0" borderId="0" xfId="0" applyNumberFormat="1" applyFont="1" applyAlignment="1"/>
    <xf numFmtId="0" fontId="44" fillId="0" borderId="0" xfId="210" applyNumberFormat="1" applyFont="1" applyAlignment="1"/>
    <xf numFmtId="3" fontId="44" fillId="0" borderId="0" xfId="210" applyNumberFormat="1" applyFont="1" applyAlignment="1">
      <alignment horizontal="center"/>
    </xf>
    <xf numFmtId="0" fontId="44" fillId="0" borderId="8" xfId="210" applyNumberFormat="1" applyFont="1" applyBorder="1" applyAlignment="1" applyProtection="1">
      <alignment horizontal="center"/>
      <protection locked="0"/>
    </xf>
    <xf numFmtId="174" fontId="44" fillId="0" borderId="0" xfId="210" applyFont="1" applyFill="1" applyAlignment="1"/>
    <xf numFmtId="174" fontId="44" fillId="0" borderId="0" xfId="210" applyFont="1" applyAlignment="1"/>
    <xf numFmtId="43" fontId="44" fillId="0" borderId="0" xfId="59" applyFont="1" applyFill="1" applyAlignment="1">
      <alignment horizontal="center"/>
    </xf>
    <xf numFmtId="3" fontId="44" fillId="0" borderId="0" xfId="210" applyNumberFormat="1" applyFont="1" applyFill="1" applyAlignment="1"/>
    <xf numFmtId="166" fontId="44" fillId="0" borderId="0" xfId="210" applyNumberFormat="1" applyFont="1" applyAlignment="1">
      <alignment horizontal="center"/>
    </xf>
    <xf numFmtId="164" fontId="44" fillId="0" borderId="0" xfId="210" applyNumberFormat="1" applyFont="1" applyAlignment="1">
      <alignment horizontal="left"/>
    </xf>
    <xf numFmtId="0" fontId="44" fillId="0" borderId="0" xfId="210" applyNumberFormat="1" applyFont="1" applyFill="1" applyAlignment="1"/>
    <xf numFmtId="164" fontId="44" fillId="0" borderId="0" xfId="210" applyNumberFormat="1" applyFont="1" applyFill="1" applyAlignment="1">
      <alignment horizontal="left"/>
    </xf>
    <xf numFmtId="43" fontId="44" fillId="0" borderId="0" xfId="59" applyFont="1" applyFill="1" applyAlignment="1">
      <alignment horizontal="right"/>
    </xf>
    <xf numFmtId="175" fontId="44" fillId="0" borderId="0" xfId="59" applyNumberFormat="1" applyFont="1" applyBorder="1" applyAlignment="1"/>
    <xf numFmtId="10" fontId="44" fillId="0" borderId="0" xfId="210" applyNumberFormat="1" applyFont="1" applyFill="1" applyAlignment="1">
      <alignment horizontal="left"/>
    </xf>
    <xf numFmtId="3" fontId="44" fillId="0" borderId="0" xfId="188" applyNumberFormat="1" applyFont="1" applyAlignment="1"/>
    <xf numFmtId="166" fontId="44" fillId="0" borderId="0" xfId="188" applyNumberFormat="1" applyFont="1" applyAlignment="1"/>
    <xf numFmtId="0" fontId="44" fillId="0" borderId="0" xfId="188" applyFont="1" applyAlignment="1"/>
    <xf numFmtId="164" fontId="44" fillId="0" borderId="0" xfId="210" applyNumberFormat="1" applyFont="1" applyFill="1" applyAlignment="1" applyProtection="1">
      <alignment horizontal="left"/>
      <protection locked="0"/>
    </xf>
    <xf numFmtId="0" fontId="54" fillId="0" borderId="0" xfId="211" applyFont="1" applyAlignment="1">
      <alignment horizontal="center"/>
    </xf>
    <xf numFmtId="49" fontId="54" fillId="0" borderId="0" xfId="0" applyNumberFormat="1" applyFont="1" applyAlignment="1">
      <alignment horizontal="center"/>
    </xf>
    <xf numFmtId="0" fontId="54" fillId="0" borderId="0" xfId="210" applyNumberFormat="1" applyFont="1" applyFill="1" applyAlignment="1" applyProtection="1">
      <alignment vertical="top"/>
      <protection locked="0"/>
    </xf>
    <xf numFmtId="0" fontId="54" fillId="0" borderId="0" xfId="188" applyNumberFormat="1" applyFont="1" applyAlignment="1">
      <alignment vertical="top"/>
    </xf>
    <xf numFmtId="0" fontId="54" fillId="0" borderId="0" xfId="210" applyNumberFormat="1" applyFont="1" applyAlignment="1" applyProtection="1">
      <alignment vertical="top"/>
      <protection locked="0"/>
    </xf>
    <xf numFmtId="170" fontId="54" fillId="0" borderId="0" xfId="210" applyNumberFormat="1" applyFont="1" applyFill="1" applyBorder="1" applyAlignment="1" applyProtection="1">
      <alignment vertical="top"/>
    </xf>
    <xf numFmtId="3" fontId="54" fillId="0" borderId="0" xfId="210" applyNumberFormat="1" applyFont="1" applyAlignment="1" applyProtection="1">
      <alignment vertical="top"/>
    </xf>
    <xf numFmtId="3" fontId="54" fillId="0" borderId="0" xfId="210" applyNumberFormat="1" applyFont="1" applyFill="1" applyAlignment="1" applyProtection="1">
      <alignment vertical="top"/>
    </xf>
    <xf numFmtId="174" fontId="54" fillId="0" borderId="0" xfId="0" applyFont="1" applyAlignment="1">
      <alignment vertical="top"/>
    </xf>
    <xf numFmtId="1" fontId="54" fillId="0" borderId="0" xfId="0" applyNumberFormat="1" applyFont="1" applyFill="1" applyAlignment="1">
      <alignment horizontal="center"/>
    </xf>
    <xf numFmtId="49" fontId="54" fillId="0" borderId="0" xfId="0" applyNumberFormat="1" applyFont="1" applyFill="1" applyAlignment="1">
      <alignment horizontal="center"/>
    </xf>
    <xf numFmtId="175" fontId="44" fillId="0" borderId="0" xfId="59" applyNumberFormat="1" applyFont="1" applyAlignment="1"/>
    <xf numFmtId="175" fontId="54" fillId="0" borderId="0" xfId="59" applyNumberFormat="1" applyFont="1" applyAlignment="1">
      <alignment horizontal="right"/>
    </xf>
    <xf numFmtId="175" fontId="54" fillId="0" borderId="8" xfId="59" applyNumberFormat="1" applyFont="1" applyBorder="1" applyAlignment="1">
      <alignment horizontal="right"/>
    </xf>
    <xf numFmtId="43" fontId="44" fillId="0" borderId="0" xfId="59" applyFont="1" applyAlignment="1">
      <alignment horizontal="right"/>
    </xf>
    <xf numFmtId="174" fontId="54" fillId="0" borderId="0" xfId="0" applyFont="1" applyFill="1" applyAlignment="1">
      <alignment horizontal="center"/>
    </xf>
    <xf numFmtId="175" fontId="54" fillId="0" borderId="11" xfId="59" applyNumberFormat="1" applyFont="1" applyFill="1" applyBorder="1" applyAlignment="1"/>
    <xf numFmtId="175" fontId="54" fillId="0" borderId="15" xfId="59" applyNumberFormat="1" applyFont="1" applyFill="1" applyBorder="1" applyAlignment="1"/>
    <xf numFmtId="0" fontId="54" fillId="0" borderId="0" xfId="188" applyNumberFormat="1" applyFont="1" applyFill="1" applyAlignment="1">
      <alignment vertical="top"/>
    </xf>
    <xf numFmtId="0" fontId="54" fillId="0" borderId="0" xfId="0" applyNumberFormat="1" applyFont="1" applyFill="1" applyBorder="1" applyAlignment="1">
      <alignment vertical="top"/>
    </xf>
    <xf numFmtId="3" fontId="54" fillId="0" borderId="0" xfId="210" applyNumberFormat="1" applyFont="1" applyBorder="1" applyAlignment="1">
      <alignment horizontal="center"/>
    </xf>
    <xf numFmtId="3" fontId="44" fillId="0" borderId="0" xfId="0" applyNumberFormat="1" applyFont="1" applyAlignment="1"/>
    <xf numFmtId="3" fontId="44" fillId="0" borderId="0" xfId="0" applyNumberFormat="1" applyFont="1" applyFill="1" applyAlignment="1"/>
    <xf numFmtId="0" fontId="44" fillId="0" borderId="0" xfId="0" applyNumberFormat="1" applyFont="1" applyProtection="1">
      <protection locked="0"/>
    </xf>
    <xf numFmtId="3" fontId="44" fillId="0" borderId="0" xfId="0" applyNumberFormat="1" applyFont="1" applyAlignment="1">
      <alignment horizontal="center"/>
    </xf>
    <xf numFmtId="3" fontId="54" fillId="0" borderId="0" xfId="188" applyNumberFormat="1" applyFont="1" applyAlignment="1">
      <alignment wrapText="1"/>
    </xf>
    <xf numFmtId="174" fontId="44" fillId="0" borderId="0" xfId="210" applyFont="1" applyFill="1" applyAlignment="1">
      <alignment wrapText="1"/>
    </xf>
    <xf numFmtId="175" fontId="44" fillId="0" borderId="0" xfId="59" applyNumberFormat="1" applyFont="1" applyAlignment="1">
      <alignment horizontal="left" indent="2"/>
    </xf>
    <xf numFmtId="174" fontId="54" fillId="0" borderId="0" xfId="0" applyFont="1" applyFill="1" applyBorder="1" applyAlignment="1"/>
    <xf numFmtId="175" fontId="54" fillId="0" borderId="8" xfId="59" applyNumberFormat="1" applyFont="1" applyFill="1" applyBorder="1" applyAlignment="1">
      <alignment horizontal="center"/>
    </xf>
    <xf numFmtId="0" fontId="54" fillId="0" borderId="19" xfId="201" applyNumberFormat="1" applyFont="1" applyFill="1" applyBorder="1"/>
    <xf numFmtId="175" fontId="54" fillId="14" borderId="10" xfId="59" applyNumberFormat="1" applyFont="1" applyFill="1" applyBorder="1" applyAlignment="1"/>
    <xf numFmtId="174" fontId="83" fillId="0" borderId="17" xfId="201" applyFont="1" applyFill="1" applyBorder="1" applyAlignment="1"/>
    <xf numFmtId="0" fontId="54" fillId="0" borderId="9" xfId="201" applyNumberFormat="1" applyFont="1" applyFill="1" applyBorder="1" applyAlignment="1">
      <alignment horizontal="center" wrapText="1"/>
    </xf>
    <xf numFmtId="41" fontId="54" fillId="15" borderId="0" xfId="211" applyNumberFormat="1" applyFont="1" applyFill="1"/>
    <xf numFmtId="0" fontId="54" fillId="0" borderId="0" xfId="0" applyNumberFormat="1" applyFont="1" applyAlignment="1">
      <alignment horizontal="center"/>
    </xf>
    <xf numFmtId="44" fontId="54" fillId="0" borderId="0" xfId="0" applyNumberFormat="1" applyFont="1" applyBorder="1" applyAlignment="1"/>
    <xf numFmtId="44" fontId="54" fillId="0" borderId="0" xfId="0" applyNumberFormat="1" applyFont="1" applyFill="1" applyBorder="1" applyAlignment="1"/>
    <xf numFmtId="0" fontId="54" fillId="0" borderId="0" xfId="187" applyFont="1" applyFill="1" applyBorder="1" applyAlignment="1"/>
    <xf numFmtId="174" fontId="84" fillId="0" borderId="0" xfId="0" applyFont="1" applyBorder="1" applyAlignment="1"/>
    <xf numFmtId="0" fontId="54" fillId="16" borderId="0" xfId="187" applyFont="1" applyFill="1" applyBorder="1" applyAlignment="1"/>
    <xf numFmtId="175" fontId="54" fillId="16" borderId="0" xfId="59" applyNumberFormat="1" applyFont="1" applyFill="1" applyBorder="1" applyAlignment="1">
      <alignment horizontal="center"/>
    </xf>
    <xf numFmtId="175" fontId="54" fillId="0" borderId="0" xfId="59" applyNumberFormat="1" applyFont="1" applyFill="1" applyBorder="1" applyAlignment="1">
      <alignment horizontal="center" wrapText="1"/>
    </xf>
    <xf numFmtId="175" fontId="54" fillId="16" borderId="0" xfId="59" applyNumberFormat="1" applyFont="1" applyFill="1" applyBorder="1"/>
    <xf numFmtId="175" fontId="54" fillId="16" borderId="1" xfId="59" applyNumberFormat="1" applyFont="1" applyFill="1" applyBorder="1"/>
    <xf numFmtId="175" fontId="54" fillId="0" borderId="1" xfId="59" applyNumberFormat="1" applyFont="1" applyFill="1" applyBorder="1" applyAlignment="1">
      <alignment horizontal="center" wrapText="1"/>
    </xf>
    <xf numFmtId="175" fontId="54" fillId="0" borderId="0" xfId="59" applyNumberFormat="1" applyFont="1" applyFill="1" applyBorder="1"/>
    <xf numFmtId="174" fontId="54" fillId="0" borderId="0" xfId="0" applyFont="1" applyBorder="1" applyAlignment="1"/>
    <xf numFmtId="3" fontId="54" fillId="0" borderId="0" xfId="188" applyNumberFormat="1" applyFont="1" applyFill="1" applyAlignment="1">
      <alignment wrapText="1"/>
    </xf>
    <xf numFmtId="0" fontId="61" fillId="0" borderId="0" xfId="211" applyFont="1" applyFill="1" applyAlignment="1">
      <alignment horizontal="center" wrapText="1"/>
    </xf>
    <xf numFmtId="0" fontId="54" fillId="0" borderId="0" xfId="210" applyNumberFormat="1" applyFont="1" applyFill="1" applyAlignment="1" applyProtection="1">
      <alignment horizontal="center"/>
      <protection locked="0"/>
    </xf>
    <xf numFmtId="164" fontId="54" fillId="0" borderId="0" xfId="210" applyNumberFormat="1" applyFont="1" applyFill="1" applyAlignment="1">
      <alignment horizontal="center"/>
    </xf>
    <xf numFmtId="0" fontId="54" fillId="0" borderId="0" xfId="206" applyNumberFormat="1" applyFont="1" applyFill="1" applyAlignment="1">
      <alignment horizontal="left"/>
    </xf>
    <xf numFmtId="0" fontId="54" fillId="0" borderId="0" xfId="187" applyFont="1" applyBorder="1" applyAlignment="1">
      <alignment horizontal="center"/>
    </xf>
    <xf numFmtId="3" fontId="54" fillId="0" borderId="0" xfId="187" applyNumberFormat="1" applyFont="1" applyFill="1" applyBorder="1" applyAlignment="1"/>
    <xf numFmtId="174" fontId="61" fillId="0" borderId="1" xfId="201" applyFont="1" applyBorder="1" applyAlignment="1">
      <alignment horizontal="center" wrapText="1"/>
    </xf>
    <xf numFmtId="0" fontId="54" fillId="0" borderId="0" xfId="204" applyFont="1" applyBorder="1" applyAlignment="1"/>
    <xf numFmtId="180" fontId="54" fillId="0" borderId="0" xfId="205" applyNumberFormat="1" applyFont="1" applyFill="1" applyBorder="1" applyAlignment="1"/>
    <xf numFmtId="174" fontId="54" fillId="0" borderId="0" xfId="201" applyFont="1" applyFill="1" applyBorder="1" applyAlignment="1">
      <alignment vertical="top" wrapText="1"/>
    </xf>
    <xf numFmtId="0" fontId="87" fillId="0" borderId="0" xfId="187" applyFont="1" applyBorder="1" applyAlignment="1">
      <alignment horizontal="left"/>
    </xf>
    <xf numFmtId="0" fontId="54" fillId="0" borderId="0" xfId="187" applyFont="1" applyBorder="1" applyAlignment="1"/>
    <xf numFmtId="174" fontId="61" fillId="0" borderId="0" xfId="201" applyFont="1" applyAlignment="1">
      <alignment horizontal="center"/>
    </xf>
    <xf numFmtId="174" fontId="61" fillId="0" borderId="0" xfId="201" applyFont="1" applyAlignment="1">
      <alignment horizontal="center" wrapText="1"/>
    </xf>
    <xf numFmtId="0" fontId="61" fillId="0" borderId="0" xfId="185" applyFont="1" applyAlignment="1">
      <alignment horizontal="center"/>
    </xf>
    <xf numFmtId="0" fontId="54" fillId="0" borderId="0" xfId="187" applyFont="1" applyBorder="1"/>
    <xf numFmtId="170" fontId="54" fillId="0" borderId="0" xfId="204" applyNumberFormat="1" applyFont="1" applyFill="1" applyBorder="1" applyAlignment="1">
      <alignment horizontal="right"/>
    </xf>
    <xf numFmtId="173" fontId="54" fillId="0" borderId="0" xfId="204" applyNumberFormat="1" applyFont="1" applyFill="1" applyBorder="1" applyAlignment="1"/>
    <xf numFmtId="173" fontId="54" fillId="0" borderId="0" xfId="205" applyNumberFormat="1" applyFont="1" applyFill="1" applyBorder="1" applyAlignment="1"/>
    <xf numFmtId="0" fontId="54" fillId="0" borderId="0" xfId="204" applyFont="1" applyFill="1" applyBorder="1" applyAlignment="1"/>
    <xf numFmtId="175" fontId="54" fillId="0" borderId="0" xfId="364" applyNumberFormat="1" applyFont="1" applyFill="1" applyBorder="1" applyAlignment="1">
      <alignment horizontal="right"/>
    </xf>
    <xf numFmtId="174" fontId="61" fillId="0" borderId="0" xfId="201" applyFont="1" applyFill="1" applyBorder="1" applyAlignment="1">
      <alignment horizontal="center" wrapText="1"/>
    </xf>
    <xf numFmtId="174" fontId="54" fillId="0" borderId="0" xfId="201" applyFont="1" applyFill="1" applyBorder="1" applyAlignment="1">
      <alignment wrapText="1"/>
    </xf>
    <xf numFmtId="174" fontId="54" fillId="0" borderId="0" xfId="0" applyFont="1" applyAlignment="1"/>
    <xf numFmtId="0" fontId="54" fillId="0" borderId="0" xfId="0" applyNumberFormat="1" applyFont="1" applyFill="1" applyAlignment="1">
      <alignment horizontal="center" vertical="top"/>
    </xf>
    <xf numFmtId="3" fontId="54" fillId="0" borderId="0" xfId="188" applyNumberFormat="1" applyFont="1" applyAlignment="1">
      <alignment horizontal="center" wrapText="1"/>
    </xf>
    <xf numFmtId="1" fontId="54" fillId="0" borderId="0" xfId="0" applyNumberFormat="1" applyFont="1" applyFill="1" applyAlignment="1">
      <alignment horizontal="center" vertical="top"/>
    </xf>
    <xf numFmtId="175" fontId="54" fillId="16" borderId="0" xfId="59" applyNumberFormat="1" applyFont="1" applyFill="1" applyAlignment="1"/>
    <xf numFmtId="0" fontId="54" fillId="0" borderId="0" xfId="206" applyNumberFormat="1" applyFont="1" applyFill="1" applyAlignment="1" applyProtection="1">
      <alignment horizontal="center"/>
      <protection locked="0"/>
    </xf>
    <xf numFmtId="0" fontId="54" fillId="0" borderId="8" xfId="210" applyNumberFormat="1" applyFont="1" applyFill="1" applyBorder="1" applyAlignment="1" applyProtection="1">
      <alignment horizontal="center"/>
      <protection locked="0"/>
    </xf>
    <xf numFmtId="3" fontId="54" fillId="0" borderId="0" xfId="210" applyNumberFormat="1" applyFont="1" applyFill="1" applyAlignment="1">
      <alignment horizontal="left"/>
    </xf>
    <xf numFmtId="183" fontId="54" fillId="0" borderId="0" xfId="59" applyNumberFormat="1" applyFont="1" applyBorder="1" applyAlignment="1"/>
    <xf numFmtId="183" fontId="54" fillId="0" borderId="0" xfId="59" applyNumberFormat="1" applyFont="1" applyAlignment="1">
      <alignment horizontal="center"/>
    </xf>
    <xf numFmtId="183" fontId="54" fillId="0" borderId="0" xfId="210" applyNumberFormat="1" applyFont="1" applyAlignment="1">
      <alignment horizontal="center"/>
    </xf>
    <xf numFmtId="10" fontId="54" fillId="0" borderId="8" xfId="265" applyNumberFormat="1" applyFont="1" applyBorder="1" applyAlignment="1"/>
    <xf numFmtId="0" fontId="54" fillId="0" borderId="0" xfId="187" applyFont="1" applyFill="1"/>
    <xf numFmtId="0" fontId="54" fillId="0" borderId="0" xfId="187" applyFont="1" applyFill="1" applyBorder="1"/>
    <xf numFmtId="0" fontId="61" fillId="0" borderId="0" xfId="187" applyFont="1" applyFill="1" applyBorder="1" applyAlignment="1">
      <alignment horizontal="center"/>
    </xf>
    <xf numFmtId="43" fontId="54" fillId="0" borderId="0" xfId="187" applyNumberFormat="1" applyFont="1" applyFill="1" applyBorder="1"/>
    <xf numFmtId="0" fontId="61" fillId="0" borderId="0" xfId="187" applyFont="1" applyFill="1" applyBorder="1"/>
    <xf numFmtId="0" fontId="61" fillId="0" borderId="0" xfId="187" quotePrefix="1" applyFont="1" applyFill="1" applyBorder="1" applyAlignment="1">
      <alignment horizontal="center"/>
    </xf>
    <xf numFmtId="164" fontId="61" fillId="0" borderId="0" xfId="187" applyNumberFormat="1" applyFont="1" applyFill="1" applyBorder="1" applyAlignment="1">
      <alignment horizontal="center"/>
    </xf>
    <xf numFmtId="0" fontId="54" fillId="14" borderId="0" xfId="187" applyFont="1" applyFill="1" applyBorder="1"/>
    <xf numFmtId="175" fontId="54" fillId="0" borderId="0" xfId="187" applyNumberFormat="1" applyFont="1" applyFill="1" applyBorder="1"/>
    <xf numFmtId="10" fontId="54" fillId="0" borderId="0" xfId="187" applyNumberFormat="1" applyFont="1" applyFill="1" applyBorder="1"/>
    <xf numFmtId="175" fontId="85" fillId="0" borderId="0" xfId="187" applyNumberFormat="1" applyFont="1" applyFill="1" applyBorder="1"/>
    <xf numFmtId="3" fontId="54" fillId="0" borderId="0" xfId="187" applyNumberFormat="1" applyFont="1" applyFill="1" applyBorder="1"/>
    <xf numFmtId="164" fontId="54" fillId="0" borderId="0" xfId="265" applyNumberFormat="1" applyFont="1" applyFill="1" applyBorder="1"/>
    <xf numFmtId="10" fontId="54" fillId="16" borderId="0" xfId="187" applyNumberFormat="1" applyFont="1" applyFill="1" applyBorder="1"/>
    <xf numFmtId="164" fontId="54" fillId="0" borderId="0" xfId="282" applyNumberFormat="1" applyFont="1" applyFill="1" applyBorder="1"/>
    <xf numFmtId="0" fontId="54" fillId="0" borderId="0" xfId="187" applyFont="1" applyAlignment="1">
      <alignment horizontal="center"/>
    </xf>
    <xf numFmtId="0" fontId="54" fillId="0" borderId="0" xfId="187" applyFont="1"/>
    <xf numFmtId="0" fontId="54" fillId="0" borderId="0" xfId="187" applyFont="1" applyFill="1" applyAlignment="1">
      <alignment wrapText="1"/>
    </xf>
    <xf numFmtId="0" fontId="54" fillId="0" borderId="0" xfId="187" applyFont="1" applyFill="1" applyBorder="1" applyAlignment="1">
      <alignment wrapText="1"/>
    </xf>
    <xf numFmtId="10" fontId="54" fillId="0" borderId="0" xfId="265" applyNumberFormat="1" applyFont="1" applyFill="1" applyBorder="1"/>
    <xf numFmtId="0" fontId="54" fillId="0" borderId="3" xfId="187" applyFont="1" applyFill="1" applyBorder="1"/>
    <xf numFmtId="176" fontId="54" fillId="0" borderId="0" xfId="102" applyNumberFormat="1" applyFont="1" applyFill="1" applyBorder="1" applyAlignment="1">
      <alignment horizontal="center"/>
    </xf>
    <xf numFmtId="174" fontId="54" fillId="0" borderId="0" xfId="0" applyFont="1" applyBorder="1" applyAlignment="1"/>
    <xf numFmtId="10" fontId="54" fillId="0" borderId="3" xfId="187" applyNumberFormat="1" applyFont="1" applyFill="1" applyBorder="1"/>
    <xf numFmtId="0" fontId="61" fillId="0" borderId="3" xfId="187" applyFont="1" applyFill="1" applyBorder="1"/>
    <xf numFmtId="10" fontId="61" fillId="0" borderId="3" xfId="187" applyNumberFormat="1" applyFont="1" applyFill="1" applyBorder="1"/>
    <xf numFmtId="0" fontId="54" fillId="0" borderId="1" xfId="187" applyFont="1" applyFill="1" applyBorder="1" applyAlignment="1">
      <alignment horizontal="center"/>
    </xf>
    <xf numFmtId="0" fontId="54" fillId="0" borderId="0" xfId="187" applyFont="1" applyFill="1" applyAlignment="1"/>
    <xf numFmtId="0" fontId="54" fillId="0" borderId="1" xfId="187" applyFont="1" applyFill="1" applyBorder="1" applyAlignment="1">
      <alignment horizontal="center" wrapText="1"/>
    </xf>
    <xf numFmtId="175" fontId="54" fillId="0" borderId="3" xfId="59" applyNumberFormat="1" applyFont="1" applyFill="1" applyBorder="1"/>
    <xf numFmtId="164" fontId="54" fillId="0" borderId="3" xfId="282" applyNumberFormat="1" applyFont="1" applyFill="1" applyBorder="1"/>
    <xf numFmtId="0" fontId="54" fillId="0" borderId="0" xfId="187" quotePrefix="1" applyFont="1" applyFill="1" applyBorder="1" applyAlignment="1">
      <alignment horizontal="center"/>
    </xf>
    <xf numFmtId="175" fontId="54" fillId="0" borderId="0" xfId="59" applyNumberFormat="1" applyFont="1" applyFill="1"/>
    <xf numFmtId="10" fontId="54" fillId="14" borderId="0" xfId="187" applyNumberFormat="1" applyFont="1" applyFill="1" applyBorder="1"/>
    <xf numFmtId="10" fontId="54" fillId="16" borderId="0" xfId="79" applyNumberFormat="1" applyFont="1" applyFill="1" applyBorder="1"/>
    <xf numFmtId="10" fontId="54" fillId="16" borderId="0" xfId="282" applyNumberFormat="1" applyFont="1" applyFill="1" applyBorder="1"/>
    <xf numFmtId="10" fontId="54" fillId="0" borderId="0" xfId="282" applyNumberFormat="1" applyFont="1" applyFill="1" applyBorder="1"/>
    <xf numFmtId="0" fontId="54" fillId="14" borderId="0" xfId="59" applyNumberFormat="1" applyFont="1" applyFill="1" applyBorder="1"/>
    <xf numFmtId="0" fontId="61" fillId="0" borderId="0" xfId="211" applyFont="1" applyBorder="1" applyAlignment="1">
      <alignment horizontal="center" wrapText="1"/>
    </xf>
    <xf numFmtId="0" fontId="61" fillId="0" borderId="0" xfId="211" applyFont="1" applyBorder="1" applyAlignment="1">
      <alignment horizontal="center"/>
    </xf>
    <xf numFmtId="10" fontId="61" fillId="0" borderId="0" xfId="187" applyNumberFormat="1" applyFont="1" applyFill="1" applyBorder="1"/>
    <xf numFmtId="0" fontId="54" fillId="16" borderId="0" xfId="187" applyFont="1" applyFill="1"/>
    <xf numFmtId="175" fontId="54" fillId="0" borderId="23" xfId="59" applyNumberFormat="1" applyFont="1" applyBorder="1" applyAlignment="1"/>
    <xf numFmtId="10" fontId="54" fillId="0" borderId="0" xfId="265" applyNumberFormat="1" applyFont="1" applyFill="1" applyAlignment="1"/>
    <xf numFmtId="171" fontId="54" fillId="14" borderId="0" xfId="265" applyNumberFormat="1" applyFont="1" applyFill="1" applyAlignment="1">
      <alignment horizontal="right"/>
    </xf>
    <xf numFmtId="49" fontId="99" fillId="0" borderId="0" xfId="0" applyNumberFormat="1" applyFont="1" applyAlignment="1">
      <alignment horizontal="center"/>
    </xf>
    <xf numFmtId="1" fontId="57" fillId="0" borderId="0" xfId="0" applyNumberFormat="1" applyFont="1" applyFill="1" applyAlignment="1">
      <alignment horizontal="center"/>
    </xf>
    <xf numFmtId="0" fontId="57" fillId="0" borderId="1" xfId="187" applyFont="1" applyFill="1" applyBorder="1" applyAlignment="1">
      <alignment horizontal="right"/>
    </xf>
    <xf numFmtId="0" fontId="57" fillId="0" borderId="0" xfId="187" applyFont="1" applyFill="1" applyBorder="1"/>
    <xf numFmtId="0" fontId="57" fillId="0" borderId="0" xfId="187" applyFont="1" applyBorder="1" applyAlignment="1">
      <alignment horizontal="left"/>
    </xf>
    <xf numFmtId="175" fontId="54" fillId="16" borderId="0" xfId="79" applyNumberFormat="1" applyFont="1" applyFill="1" applyBorder="1"/>
    <xf numFmtId="0" fontId="57" fillId="0" borderId="0" xfId="187" applyNumberFormat="1" applyFont="1" applyFill="1" applyBorder="1" applyAlignment="1">
      <alignment horizontal="left"/>
    </xf>
    <xf numFmtId="175" fontId="54" fillId="16" borderId="1" xfId="79" applyNumberFormat="1" applyFont="1" applyFill="1" applyBorder="1"/>
    <xf numFmtId="0" fontId="57" fillId="0" borderId="0" xfId="187" applyFont="1" applyBorder="1"/>
    <xf numFmtId="0" fontId="54" fillId="0" borderId="1" xfId="187" applyFont="1" applyBorder="1" applyAlignment="1">
      <alignment horizontal="center" wrapText="1"/>
    </xf>
    <xf numFmtId="174" fontId="54" fillId="0" borderId="0" xfId="0" quotePrefix="1" applyFont="1" applyAlignment="1">
      <alignment horizontal="center"/>
    </xf>
    <xf numFmtId="174" fontId="0" fillId="0" borderId="0" xfId="0" applyAlignment="1"/>
    <xf numFmtId="0" fontId="61" fillId="0" borderId="0" xfId="211" applyFont="1" applyAlignment="1">
      <alignment horizontal="center"/>
    </xf>
    <xf numFmtId="0" fontId="54" fillId="0" borderId="0" xfId="187" applyFont="1" applyFill="1" applyBorder="1" applyAlignment="1">
      <alignment horizontal="left"/>
    </xf>
    <xf numFmtId="0" fontId="54" fillId="0" borderId="0" xfId="187" applyFont="1" applyFill="1" applyAlignment="1">
      <alignment horizontal="center"/>
    </xf>
    <xf numFmtId="0" fontId="54" fillId="0" borderId="0" xfId="187" applyFont="1" applyFill="1" applyAlignment="1">
      <alignment horizontal="left" wrapText="1"/>
    </xf>
    <xf numFmtId="0" fontId="54" fillId="0" borderId="0" xfId="0" applyNumberFormat="1" applyFont="1" applyAlignment="1">
      <alignment horizontal="center"/>
    </xf>
    <xf numFmtId="3" fontId="44" fillId="0" borderId="8" xfId="0" quotePrefix="1" applyNumberFormat="1" applyFont="1" applyBorder="1" applyAlignment="1">
      <alignment horizontal="center"/>
    </xf>
    <xf numFmtId="1" fontId="54" fillId="0" borderId="0" xfId="0" applyNumberFormat="1" applyFont="1" applyAlignment="1">
      <alignment horizontal="center"/>
    </xf>
    <xf numFmtId="171" fontId="54" fillId="14" borderId="0" xfId="265" applyNumberFormat="1" applyFont="1" applyFill="1" applyAlignment="1" applyProtection="1">
      <alignment vertical="top"/>
      <protection locked="0"/>
    </xf>
    <xf numFmtId="10" fontId="54" fillId="0" borderId="0" xfId="265" applyNumberFormat="1" applyFont="1" applyFill="1" applyAlignment="1">
      <alignment horizontal="right"/>
    </xf>
    <xf numFmtId="171" fontId="54" fillId="0" borderId="0" xfId="265" applyNumberFormat="1" applyFont="1" applyFill="1" applyBorder="1" applyAlignment="1"/>
    <xf numFmtId="276" fontId="54" fillId="0" borderId="0" xfId="59" applyNumberFormat="1" applyFont="1" applyFill="1" applyBorder="1" applyAlignment="1"/>
    <xf numFmtId="276" fontId="88" fillId="0" borderId="0" xfId="59" applyNumberFormat="1" applyFont="1" applyFill="1" applyBorder="1" applyAlignment="1"/>
    <xf numFmtId="276" fontId="61" fillId="0" borderId="0" xfId="59" applyNumberFormat="1" applyFont="1" applyFill="1" applyBorder="1" applyAlignment="1"/>
    <xf numFmtId="3" fontId="54" fillId="0" borderId="8" xfId="0" applyNumberFormat="1" applyFont="1" applyBorder="1" applyAlignment="1">
      <alignment horizontal="center"/>
    </xf>
    <xf numFmtId="175" fontId="54" fillId="0" borderId="0" xfId="59" applyNumberFormat="1" applyFont="1" applyFill="1" applyAlignment="1" applyProtection="1">
      <protection locked="0"/>
    </xf>
    <xf numFmtId="1" fontId="54" fillId="0" borderId="0" xfId="0" applyNumberFormat="1" applyFont="1" applyFill="1" applyBorder="1" applyAlignment="1">
      <alignment horizontal="center"/>
    </xf>
    <xf numFmtId="0" fontId="54" fillId="0" borderId="0" xfId="210" applyNumberFormat="1" applyFont="1" applyBorder="1" applyAlignment="1" applyProtection="1">
      <protection locked="0"/>
    </xf>
    <xf numFmtId="0" fontId="61" fillId="0" borderId="0" xfId="211" applyFont="1" applyFill="1" applyBorder="1" applyAlignment="1">
      <alignment horizontal="center" wrapText="1"/>
    </xf>
    <xf numFmtId="0" fontId="54" fillId="0" borderId="1" xfId="187" applyFont="1" applyFill="1" applyBorder="1"/>
    <xf numFmtId="175" fontId="54" fillId="0" borderId="3" xfId="59" applyNumberFormat="1" applyFont="1" applyBorder="1" applyAlignment="1">
      <alignment horizontal="left"/>
    </xf>
    <xf numFmtId="0" fontId="54" fillId="0" borderId="0" xfId="187" applyFont="1" applyFill="1" applyAlignment="1">
      <alignment horizontal="right"/>
    </xf>
    <xf numFmtId="0" fontId="54" fillId="0" borderId="0" xfId="211" applyFont="1" applyAlignment="1">
      <alignment horizontal="center" wrapText="1"/>
    </xf>
    <xf numFmtId="174" fontId="54" fillId="0" borderId="0" xfId="0" applyFont="1" applyFill="1" applyAlignment="1">
      <alignment wrapText="1"/>
    </xf>
    <xf numFmtId="174" fontId="61" fillId="0" borderId="7" xfId="201" applyFont="1" applyFill="1" applyBorder="1" applyAlignment="1">
      <alignment horizontal="center" wrapText="1"/>
    </xf>
    <xf numFmtId="174" fontId="54" fillId="0" borderId="9" xfId="201" applyFont="1" applyFill="1" applyBorder="1" applyAlignment="1">
      <alignment horizontal="center"/>
    </xf>
    <xf numFmtId="43" fontId="54" fillId="16" borderId="10" xfId="59" applyFont="1" applyFill="1" applyBorder="1" applyAlignment="1">
      <alignment horizontal="left"/>
    </xf>
    <xf numFmtId="175" fontId="54" fillId="0" borderId="0" xfId="59" applyNumberFormat="1" applyFont="1" applyAlignment="1"/>
    <xf numFmtId="0" fontId="54" fillId="0" borderId="0" xfId="201" applyNumberFormat="1" applyFont="1" applyFill="1" applyBorder="1" applyAlignment="1" applyProtection="1">
      <protection locked="0"/>
    </xf>
    <xf numFmtId="0" fontId="54" fillId="0" borderId="0" xfId="201" applyNumberFormat="1" applyFont="1" applyFill="1" applyBorder="1" applyAlignment="1" applyProtection="1">
      <alignment horizontal="center"/>
      <protection locked="0"/>
    </xf>
    <xf numFmtId="3" fontId="54" fillId="0" borderId="0" xfId="201" applyNumberFormat="1" applyFont="1" applyFill="1" applyBorder="1" applyAlignment="1"/>
    <xf numFmtId="0" fontId="54" fillId="0" borderId="0" xfId="201" applyNumberFormat="1" applyFont="1" applyFill="1" applyBorder="1" applyProtection="1">
      <protection locked="0"/>
    </xf>
    <xf numFmtId="174" fontId="54" fillId="0" borderId="0" xfId="201" applyFont="1" applyFill="1" applyBorder="1" applyAlignment="1"/>
    <xf numFmtId="43" fontId="54" fillId="0" borderId="0" xfId="59" applyFont="1" applyAlignment="1"/>
    <xf numFmtId="174" fontId="54" fillId="0" borderId="15" xfId="201" applyFont="1" applyFill="1" applyBorder="1" applyAlignment="1"/>
    <xf numFmtId="0" fontId="54" fillId="0" borderId="0" xfId="210" applyNumberFormat="1" applyFont="1" applyFill="1" applyAlignment="1">
      <alignment horizontal="center"/>
    </xf>
    <xf numFmtId="174" fontId="54" fillId="0" borderId="0" xfId="0" applyFont="1"/>
    <xf numFmtId="174" fontId="54" fillId="0" borderId="0" xfId="0" applyFont="1" applyFill="1"/>
    <xf numFmtId="175" fontId="54" fillId="0" borderId="15" xfId="59" applyNumberFormat="1" applyFont="1" applyFill="1" applyBorder="1" applyAlignment="1"/>
    <xf numFmtId="174" fontId="95" fillId="0" borderId="0" xfId="201" applyFont="1" applyFill="1" applyBorder="1" applyAlignment="1"/>
    <xf numFmtId="0" fontId="54" fillId="0" borderId="0" xfId="208" applyNumberFormat="1" applyFont="1" applyFill="1" applyBorder="1" applyAlignment="1" applyProtection="1">
      <alignment horizontal="center"/>
      <protection locked="0"/>
    </xf>
    <xf numFmtId="174" fontId="54" fillId="0" borderId="19" xfId="0" applyFont="1" applyBorder="1"/>
    <xf numFmtId="174" fontId="54" fillId="0" borderId="20" xfId="0" applyFont="1" applyBorder="1"/>
    <xf numFmtId="174" fontId="54" fillId="0" borderId="22" xfId="0" applyFont="1" applyBorder="1" applyAlignment="1">
      <alignment horizontal="center"/>
    </xf>
    <xf numFmtId="174" fontId="54" fillId="0" borderId="3" xfId="0" applyFont="1" applyBorder="1"/>
    <xf numFmtId="174" fontId="54" fillId="0" borderId="15" xfId="0" applyFont="1" applyBorder="1" applyAlignment="1">
      <alignment horizontal="center"/>
    </xf>
    <xf numFmtId="174" fontId="54" fillId="16" borderId="0" xfId="0" applyFont="1" applyFill="1"/>
    <xf numFmtId="174" fontId="54" fillId="0" borderId="22" xfId="0" applyFont="1" applyBorder="1"/>
    <xf numFmtId="176" fontId="54" fillId="16" borderId="10" xfId="93" applyNumberFormat="1" applyFont="1" applyFill="1" applyBorder="1"/>
    <xf numFmtId="174" fontId="54" fillId="0" borderId="11" xfId="0" applyFont="1" applyBorder="1"/>
    <xf numFmtId="174" fontId="54" fillId="0" borderId="9" xfId="0" applyFont="1" applyBorder="1" applyAlignment="1">
      <alignment horizontal="center"/>
    </xf>
    <xf numFmtId="174" fontId="54" fillId="0" borderId="11" xfId="0" applyFont="1" applyBorder="1" applyAlignment="1">
      <alignment horizontal="center"/>
    </xf>
    <xf numFmtId="174" fontId="54" fillId="0" borderId="15" xfId="0" applyFont="1" applyBorder="1"/>
    <xf numFmtId="43" fontId="54" fillId="0" borderId="0" xfId="59" applyFont="1"/>
    <xf numFmtId="174" fontId="54" fillId="0" borderId="0" xfId="201" applyFont="1" applyAlignment="1"/>
    <xf numFmtId="174" fontId="54" fillId="0" borderId="19" xfId="201" applyFont="1" applyFill="1" applyBorder="1" applyAlignment="1">
      <alignment horizontal="center"/>
    </xf>
    <xf numFmtId="174" fontId="54" fillId="0" borderId="22" xfId="201" applyFont="1" applyFill="1" applyBorder="1" applyAlignment="1">
      <alignment horizontal="center"/>
    </xf>
    <xf numFmtId="174" fontId="54" fillId="0" borderId="17" xfId="201" applyFont="1" applyFill="1" applyBorder="1" applyAlignment="1">
      <alignment horizontal="center"/>
    </xf>
    <xf numFmtId="174" fontId="54" fillId="16" borderId="11" xfId="0" applyFont="1" applyFill="1" applyBorder="1"/>
    <xf numFmtId="0" fontId="54" fillId="0" borderId="0" xfId="59" applyNumberFormat="1" applyFont="1" applyFill="1" applyAlignment="1">
      <alignment horizontal="center"/>
    </xf>
    <xf numFmtId="0" fontId="54" fillId="0" borderId="0" xfId="59" applyNumberFormat="1" applyFont="1" applyFill="1" applyBorder="1" applyAlignment="1">
      <alignment horizontal="center"/>
    </xf>
    <xf numFmtId="0" fontId="54" fillId="0" borderId="0" xfId="59" applyNumberFormat="1" applyFont="1" applyAlignment="1">
      <alignment horizontal="center"/>
    </xf>
    <xf numFmtId="174" fontId="54" fillId="0" borderId="10" xfId="0" applyFont="1" applyBorder="1" applyAlignment="1">
      <alignment horizontal="center"/>
    </xf>
    <xf numFmtId="0" fontId="61" fillId="0" borderId="0" xfId="59" applyNumberFormat="1" applyFont="1" applyFill="1" applyBorder="1" applyAlignment="1">
      <alignment horizontal="left"/>
    </xf>
    <xf numFmtId="174" fontId="54" fillId="0" borderId="19" xfId="0" applyFont="1" applyBorder="1" applyAlignment="1">
      <alignment horizontal="center"/>
    </xf>
    <xf numFmtId="174" fontId="95" fillId="0" borderId="15" xfId="201" applyFont="1" applyFill="1" applyBorder="1" applyAlignment="1">
      <alignment horizontal="center"/>
    </xf>
    <xf numFmtId="174" fontId="54" fillId="0" borderId="0" xfId="0" applyFont="1" applyFill="1" applyAlignment="1">
      <alignment vertical="top" wrapText="1"/>
    </xf>
    <xf numFmtId="174" fontId="54" fillId="0" borderId="0" xfId="201" applyFont="1" applyFill="1" applyBorder="1" applyAlignment="1">
      <alignment horizontal="left" vertical="top" wrapText="1"/>
    </xf>
    <xf numFmtId="174" fontId="54" fillId="0" borderId="0" xfId="0" applyFont="1" applyFill="1" applyAlignment="1">
      <alignment horizontal="left" wrapText="1"/>
    </xf>
    <xf numFmtId="0" fontId="54" fillId="0" borderId="0" xfId="201" applyNumberFormat="1" applyFont="1" applyFill="1" applyBorder="1" applyAlignment="1" applyProtection="1">
      <alignment horizontal="center"/>
      <protection locked="0"/>
    </xf>
    <xf numFmtId="174" fontId="90" fillId="0" borderId="15" xfId="0" applyNumberFormat="1" applyFont="1" applyFill="1" applyBorder="1" applyAlignment="1" applyProtection="1">
      <alignment horizontal="center"/>
    </xf>
    <xf numFmtId="174" fontId="54" fillId="0" borderId="11" xfId="0" applyNumberFormat="1" applyFont="1" applyFill="1" applyBorder="1" applyAlignment="1" applyProtection="1">
      <alignment horizontal="center"/>
    </xf>
    <xf numFmtId="174" fontId="54" fillId="0" borderId="11" xfId="0" applyFont="1" applyFill="1" applyBorder="1" applyAlignment="1">
      <alignment horizontal="center"/>
    </xf>
    <xf numFmtId="174" fontId="54" fillId="0" borderId="22" xfId="0" applyFont="1" applyFill="1" applyBorder="1" applyAlignment="1">
      <alignment horizontal="center"/>
    </xf>
    <xf numFmtId="175" fontId="54" fillId="16" borderId="19" xfId="59" applyNumberFormat="1" applyFont="1" applyFill="1" applyBorder="1"/>
    <xf numFmtId="175" fontId="54" fillId="16" borderId="10" xfId="59" applyNumberFormat="1" applyFont="1" applyFill="1" applyBorder="1"/>
    <xf numFmtId="175" fontId="54" fillId="0" borderId="17" xfId="93" applyNumberFormat="1" applyFont="1" applyFill="1" applyBorder="1"/>
    <xf numFmtId="175" fontId="54" fillId="0" borderId="0" xfId="59" applyNumberFormat="1" applyFont="1"/>
    <xf numFmtId="175" fontId="54" fillId="0" borderId="12" xfId="59" applyNumberFormat="1" applyFont="1" applyBorder="1"/>
    <xf numFmtId="175" fontId="54" fillId="16" borderId="20" xfId="59" applyNumberFormat="1" applyFont="1" applyFill="1" applyBorder="1"/>
    <xf numFmtId="175" fontId="54" fillId="16" borderId="12" xfId="59" applyNumberFormat="1" applyFont="1" applyFill="1" applyBorder="1"/>
    <xf numFmtId="175" fontId="54" fillId="0" borderId="21" xfId="93" applyNumberFormat="1" applyFont="1" applyFill="1" applyBorder="1"/>
    <xf numFmtId="175" fontId="54" fillId="0" borderId="11" xfId="59" applyNumberFormat="1" applyFont="1" applyBorder="1" applyAlignment="1">
      <alignment horizontal="center"/>
    </xf>
    <xf numFmtId="175" fontId="54" fillId="16" borderId="22" xfId="59" applyNumberFormat="1" applyFont="1" applyFill="1" applyBorder="1" applyAlignment="1">
      <alignment horizontal="center"/>
    </xf>
    <xf numFmtId="175" fontId="54" fillId="0" borderId="11" xfId="59" applyNumberFormat="1" applyFont="1" applyBorder="1"/>
    <xf numFmtId="175" fontId="54" fillId="16" borderId="11" xfId="59" applyNumberFormat="1" applyFont="1" applyFill="1" applyBorder="1"/>
    <xf numFmtId="175" fontId="54" fillId="0" borderId="15" xfId="0" applyNumberFormat="1" applyFont="1" applyBorder="1"/>
    <xf numFmtId="171" fontId="54" fillId="0" borderId="22" xfId="265" applyNumberFormat="1" applyFont="1" applyBorder="1"/>
    <xf numFmtId="171" fontId="54" fillId="0" borderId="11" xfId="265" applyNumberFormat="1" applyFont="1" applyBorder="1"/>
    <xf numFmtId="171" fontId="54" fillId="0" borderId="15" xfId="265" applyNumberFormat="1" applyFont="1" applyBorder="1"/>
    <xf numFmtId="171" fontId="54" fillId="0" borderId="0" xfId="265" applyNumberFormat="1" applyFont="1"/>
    <xf numFmtId="174" fontId="54" fillId="16" borderId="11" xfId="0" applyFont="1" applyFill="1" applyBorder="1" applyAlignment="1">
      <alignment horizontal="center"/>
    </xf>
    <xf numFmtId="175" fontId="54" fillId="0" borderId="0" xfId="210" applyNumberFormat="1" applyFont="1" applyAlignment="1"/>
    <xf numFmtId="175" fontId="54" fillId="0" borderId="0" xfId="206" applyNumberFormat="1" applyFont="1" applyAlignment="1"/>
    <xf numFmtId="175" fontId="44" fillId="0" borderId="0" xfId="59" applyNumberFormat="1" applyFont="1" applyFill="1" applyAlignment="1">
      <alignment horizontal="center"/>
    </xf>
    <xf numFmtId="171" fontId="44" fillId="0" borderId="0" xfId="265" applyNumberFormat="1" applyFont="1" applyAlignment="1"/>
    <xf numFmtId="171" fontId="44" fillId="0" borderId="0" xfId="265" applyNumberFormat="1" applyFont="1" applyFill="1" applyAlignment="1">
      <alignment horizontal="right"/>
    </xf>
    <xf numFmtId="43" fontId="44" fillId="0" borderId="0" xfId="59" applyFont="1" applyFill="1" applyAlignment="1"/>
    <xf numFmtId="10" fontId="44" fillId="0" borderId="0" xfId="265" applyNumberFormat="1" applyFont="1" applyAlignment="1"/>
    <xf numFmtId="10" fontId="44" fillId="0" borderId="8" xfId="265" applyNumberFormat="1" applyFont="1" applyBorder="1" applyAlignment="1"/>
    <xf numFmtId="10" fontId="44" fillId="0" borderId="0" xfId="265" applyNumberFormat="1" applyFont="1" applyFill="1" applyAlignment="1">
      <alignment horizontal="right"/>
    </xf>
    <xf numFmtId="174" fontId="0" fillId="0" borderId="0" xfId="0" applyAlignment="1"/>
    <xf numFmtId="0" fontId="54" fillId="0" borderId="0" xfId="210" applyNumberFormat="1" applyFont="1" applyAlignment="1" applyProtection="1">
      <alignment horizontal="center"/>
      <protection locked="0"/>
    </xf>
    <xf numFmtId="175" fontId="54" fillId="0" borderId="24" xfId="59" applyNumberFormat="1" applyFont="1" applyBorder="1" applyAlignment="1">
      <alignment horizontal="fill"/>
    </xf>
    <xf numFmtId="183" fontId="54" fillId="0" borderId="0" xfId="210" applyNumberFormat="1" applyFont="1" applyAlignment="1"/>
    <xf numFmtId="183" fontId="54" fillId="0" borderId="0" xfId="188" applyNumberFormat="1" applyFont="1" applyFill="1" applyAlignment="1">
      <alignment horizontal="right"/>
    </xf>
    <xf numFmtId="183" fontId="54" fillId="0" borderId="0" xfId="188" applyNumberFormat="1" applyFont="1" applyAlignment="1"/>
    <xf numFmtId="174" fontId="54" fillId="0" borderId="0" xfId="201" applyFont="1" applyFill="1" applyBorder="1" applyAlignment="1">
      <alignment vertical="top"/>
    </xf>
    <xf numFmtId="49" fontId="54" fillId="0" borderId="0" xfId="201" applyNumberFormat="1" applyFont="1" applyFill="1" applyBorder="1" applyAlignment="1">
      <alignment horizontal="center" vertical="top"/>
    </xf>
    <xf numFmtId="175" fontId="83" fillId="0" borderId="15" xfId="59" applyNumberFormat="1" applyFont="1" applyFill="1" applyBorder="1" applyAlignment="1"/>
    <xf numFmtId="175" fontId="44" fillId="0" borderId="0" xfId="210" applyNumberFormat="1" applyFont="1" applyAlignment="1"/>
    <xf numFmtId="175" fontId="44" fillId="0" borderId="0" xfId="0" applyNumberFormat="1" applyFont="1" applyAlignment="1"/>
    <xf numFmtId="175" fontId="44" fillId="0" borderId="0" xfId="59" applyNumberFormat="1" applyFont="1" applyAlignment="1">
      <alignment horizontal="right"/>
    </xf>
    <xf numFmtId="175" fontId="44" fillId="0" borderId="1" xfId="59" applyNumberFormat="1" applyFont="1" applyBorder="1" applyAlignment="1">
      <alignment horizontal="right"/>
    </xf>
    <xf numFmtId="175" fontId="44" fillId="0" borderId="0" xfId="59" applyNumberFormat="1" applyFont="1" applyFill="1" applyAlignment="1">
      <alignment horizontal="right"/>
    </xf>
    <xf numFmtId="175" fontId="44" fillId="0" borderId="1" xfId="59" applyNumberFormat="1" applyFont="1" applyBorder="1" applyAlignment="1"/>
    <xf numFmtId="0" fontId="54" fillId="0" borderId="0" xfId="210" applyNumberFormat="1" applyFont="1" applyFill="1" applyAlignment="1" applyProtection="1">
      <alignment vertical="top" wrapText="1"/>
      <protection locked="0"/>
    </xf>
    <xf numFmtId="0" fontId="54" fillId="0" borderId="0" xfId="188" quotePrefix="1" applyNumberFormat="1" applyFont="1" applyFill="1" applyAlignment="1">
      <alignment vertical="top" wrapText="1"/>
    </xf>
    <xf numFmtId="0" fontId="54" fillId="0" borderId="0" xfId="188" applyNumberFormat="1" applyFont="1" applyFill="1" applyAlignment="1">
      <alignment vertical="top" wrapText="1"/>
    </xf>
    <xf numFmtId="169" fontId="54" fillId="0" borderId="0" xfId="206" applyNumberFormat="1" applyFont="1" applyAlignment="1"/>
    <xf numFmtId="0" fontId="54" fillId="0" borderId="0" xfId="188" applyNumberFormat="1" applyFont="1" applyFill="1" applyAlignment="1">
      <alignment vertical="top" wrapText="1"/>
    </xf>
    <xf numFmtId="49" fontId="54" fillId="0" borderId="0" xfId="0" applyNumberFormat="1" applyFont="1" applyFill="1" applyBorder="1" applyAlignment="1">
      <alignment horizontal="center" vertical="center" wrapText="1"/>
    </xf>
    <xf numFmtId="0" fontId="54" fillId="0" borderId="0" xfId="0" applyNumberFormat="1" applyFont="1" applyBorder="1" applyAlignment="1">
      <alignment horizontal="center" vertical="center"/>
    </xf>
    <xf numFmtId="174" fontId="54" fillId="0" borderId="1" xfId="201" applyFont="1" applyFill="1" applyBorder="1" applyAlignment="1">
      <alignment horizontal="center"/>
    </xf>
    <xf numFmtId="174" fontId="54" fillId="0" borderId="0" xfId="210" applyFont="1" applyFill="1" applyAlignment="1">
      <alignment vertical="top" wrapText="1"/>
    </xf>
    <xf numFmtId="10" fontId="54" fillId="0" borderId="0" xfId="265" applyNumberFormat="1" applyFont="1" applyFill="1" applyBorder="1" applyAlignment="1">
      <alignment horizontal="right"/>
    </xf>
    <xf numFmtId="10" fontId="54" fillId="0" borderId="0" xfId="265" applyNumberFormat="1" applyFont="1" applyFill="1" applyBorder="1" applyAlignment="1"/>
    <xf numFmtId="170" fontId="54" fillId="16" borderId="0" xfId="201" applyNumberFormat="1" applyFont="1" applyFill="1" applyBorder="1" applyAlignment="1"/>
    <xf numFmtId="170" fontId="54" fillId="16" borderId="0" xfId="661" applyNumberFormat="1" applyFont="1" applyFill="1" applyBorder="1" applyAlignment="1">
      <alignment horizontal="right"/>
    </xf>
    <xf numFmtId="0" fontId="54" fillId="0" borderId="0" xfId="206" applyNumberFormat="1" applyFont="1" applyFill="1" applyAlignment="1"/>
    <xf numFmtId="0" fontId="54" fillId="0" borderId="0" xfId="188" quotePrefix="1" applyNumberFormat="1" applyFont="1" applyFill="1" applyAlignment="1">
      <alignment vertical="top"/>
    </xf>
    <xf numFmtId="3" fontId="54" fillId="0" borderId="0" xfId="210" applyNumberFormat="1" applyFont="1" applyFill="1" applyAlignment="1"/>
    <xf numFmtId="0" fontId="54" fillId="0" borderId="0" xfId="210" applyNumberFormat="1" applyFont="1" applyFill="1" applyAlignment="1"/>
    <xf numFmtId="175" fontId="54" fillId="0" borderId="0" xfId="59" applyNumberFormat="1" applyFont="1" applyFill="1" applyBorder="1" applyAlignment="1"/>
    <xf numFmtId="3" fontId="54" fillId="0" borderId="0" xfId="188" applyNumberFormat="1" applyFont="1" applyFill="1" applyAlignment="1"/>
    <xf numFmtId="183" fontId="54" fillId="0" borderId="0" xfId="59" applyNumberFormat="1" applyFont="1" applyFill="1" applyAlignment="1"/>
    <xf numFmtId="174" fontId="54" fillId="0" borderId="0" xfId="0" applyFont="1" applyFill="1" applyAlignment="1"/>
    <xf numFmtId="0" fontId="54" fillId="0" borderId="0" xfId="206" applyNumberFormat="1" applyFont="1" applyFill="1" applyAlignment="1" applyProtection="1">
      <alignment horizontal="center"/>
      <protection locked="0"/>
    </xf>
    <xf numFmtId="175" fontId="54" fillId="0" borderId="1" xfId="59" applyNumberFormat="1" applyFont="1" applyFill="1" applyBorder="1" applyAlignment="1"/>
    <xf numFmtId="276" fontId="54" fillId="0" borderId="3" xfId="59" applyNumberFormat="1" applyFont="1" applyFill="1" applyBorder="1" applyAlignment="1"/>
    <xf numFmtId="175" fontId="54" fillId="0" borderId="22" xfId="59" applyNumberFormat="1" applyFont="1" applyFill="1" applyBorder="1" applyAlignment="1"/>
    <xf numFmtId="174" fontId="54" fillId="0" borderId="10" xfId="209" applyFont="1" applyFill="1" applyBorder="1" applyAlignment="1">
      <alignment horizontal="center"/>
    </xf>
    <xf numFmtId="175" fontId="54" fillId="0" borderId="10" xfId="59" applyNumberFormat="1" applyFont="1" applyFill="1" applyBorder="1" applyAlignment="1"/>
    <xf numFmtId="175" fontId="54" fillId="0" borderId="19" xfId="59" applyNumberFormat="1" applyFont="1" applyFill="1" applyBorder="1" applyAlignment="1"/>
    <xf numFmtId="1" fontId="54" fillId="0" borderId="10" xfId="59" applyNumberFormat="1" applyFont="1" applyFill="1" applyBorder="1" applyAlignment="1">
      <alignment horizontal="center"/>
    </xf>
    <xf numFmtId="1" fontId="54" fillId="0" borderId="19" xfId="59" applyNumberFormat="1" applyFont="1" applyFill="1" applyBorder="1" applyAlignment="1">
      <alignment horizontal="center"/>
    </xf>
    <xf numFmtId="174" fontId="54" fillId="0" borderId="3" xfId="209" applyFont="1" applyFill="1" applyBorder="1" applyAlignment="1"/>
    <xf numFmtId="174" fontId="54" fillId="0" borderId="11" xfId="0" applyFont="1" applyFill="1" applyBorder="1"/>
    <xf numFmtId="175" fontId="54" fillId="0" borderId="10" xfId="59" applyNumberFormat="1" applyFont="1" applyFill="1" applyBorder="1"/>
    <xf numFmtId="171" fontId="54" fillId="0" borderId="11" xfId="265" applyNumberFormat="1" applyFont="1" applyFill="1" applyBorder="1"/>
    <xf numFmtId="175" fontId="54" fillId="0" borderId="12" xfId="59" applyNumberFormat="1" applyFont="1" applyFill="1" applyBorder="1"/>
    <xf numFmtId="175" fontId="54" fillId="0" borderId="11" xfId="59" applyNumberFormat="1" applyFont="1" applyFill="1" applyBorder="1" applyAlignment="1">
      <alignment horizontal="center"/>
    </xf>
    <xf numFmtId="175" fontId="54" fillId="0" borderId="11" xfId="59" applyNumberFormat="1" applyFont="1" applyFill="1" applyBorder="1"/>
    <xf numFmtId="174" fontId="54" fillId="0" borderId="22" xfId="0" applyFont="1" applyFill="1" applyBorder="1"/>
    <xf numFmtId="175" fontId="54" fillId="0" borderId="19" xfId="59" applyNumberFormat="1" applyFont="1" applyFill="1" applyBorder="1"/>
    <xf numFmtId="171" fontId="54" fillId="0" borderId="22" xfId="265" applyNumberFormat="1" applyFont="1" applyFill="1" applyBorder="1"/>
    <xf numFmtId="0" fontId="54" fillId="0" borderId="1" xfId="59" applyNumberFormat="1" applyFont="1" applyBorder="1" applyAlignment="1">
      <alignment horizontal="center"/>
    </xf>
    <xf numFmtId="175" fontId="54" fillId="0" borderId="22" xfId="59" applyNumberFormat="1" applyFont="1" applyFill="1" applyBorder="1"/>
    <xf numFmtId="0" fontId="54" fillId="0" borderId="0" xfId="59" applyNumberFormat="1" applyFont="1" applyFill="1" applyBorder="1" applyAlignment="1"/>
    <xf numFmtId="176" fontId="54" fillId="0" borderId="0" xfId="93" applyNumberFormat="1" applyFont="1" applyFill="1" applyBorder="1" applyAlignment="1"/>
    <xf numFmtId="0" fontId="54" fillId="0" borderId="0" xfId="210" applyNumberFormat="1" applyFont="1" applyAlignment="1" applyProtection="1">
      <alignment horizontal="center" vertical="top"/>
      <protection locked="0"/>
    </xf>
    <xf numFmtId="174" fontId="75" fillId="0" borderId="0" xfId="625" applyFont="1" applyFill="1" applyBorder="1" applyAlignment="1"/>
    <xf numFmtId="175" fontId="54" fillId="0" borderId="3" xfId="625" applyNumberFormat="1" applyFont="1" applyFill="1" applyBorder="1"/>
    <xf numFmtId="175" fontId="54" fillId="0" borderId="22" xfId="59" applyNumberFormat="1" applyFont="1" applyBorder="1" applyAlignment="1">
      <alignment horizontal="center"/>
    </xf>
    <xf numFmtId="1" fontId="54" fillId="0" borderId="19" xfId="209" applyNumberFormat="1" applyFont="1" applyFill="1" applyBorder="1" applyAlignment="1">
      <alignment horizontal="center"/>
    </xf>
    <xf numFmtId="174" fontId="54" fillId="0" borderId="8" xfId="201" applyFont="1" applyFill="1" applyBorder="1" applyAlignment="1">
      <alignment horizontal="center"/>
    </xf>
    <xf numFmtId="0" fontId="54" fillId="0" borderId="3" xfId="59" applyNumberFormat="1" applyFont="1" applyFill="1" applyBorder="1" applyAlignment="1"/>
    <xf numFmtId="176" fontId="54" fillId="0" borderId="3" xfId="93" applyNumberFormat="1" applyFont="1" applyFill="1" applyBorder="1" applyAlignment="1"/>
    <xf numFmtId="175" fontId="54" fillId="0" borderId="3" xfId="59" applyNumberFormat="1" applyFont="1" applyFill="1" applyBorder="1" applyAlignment="1"/>
    <xf numFmtId="174" fontId="0" fillId="0" borderId="0" xfId="0" applyAlignment="1"/>
    <xf numFmtId="3" fontId="54" fillId="0" borderId="0" xfId="201" applyNumberFormat="1" applyFont="1" applyFill="1" applyBorder="1" applyAlignment="1"/>
    <xf numFmtId="174" fontId="54" fillId="0" borderId="0" xfId="201" applyFont="1" applyFill="1" applyBorder="1" applyAlignment="1"/>
    <xf numFmtId="0" fontId="54" fillId="0" borderId="0" xfId="201" applyNumberFormat="1" applyFont="1" applyFill="1" applyBorder="1"/>
    <xf numFmtId="3" fontId="54" fillId="0" borderId="0" xfId="210" applyNumberFormat="1" applyFont="1" applyAlignment="1"/>
    <xf numFmtId="0" fontId="54" fillId="0" borderId="0" xfId="210" applyNumberFormat="1" applyFont="1" applyAlignment="1"/>
    <xf numFmtId="0" fontId="54" fillId="0" borderId="0" xfId="210" applyNumberFormat="1" applyFont="1" applyFill="1" applyAlignment="1"/>
    <xf numFmtId="174" fontId="54" fillId="0" borderId="1" xfId="201" applyFont="1" applyFill="1" applyBorder="1" applyAlignment="1"/>
    <xf numFmtId="175" fontId="54" fillId="0" borderId="0" xfId="59" applyNumberFormat="1" applyFont="1" applyFill="1" applyBorder="1" applyAlignment="1"/>
    <xf numFmtId="174" fontId="54" fillId="0" borderId="0" xfId="201" applyFont="1" applyFill="1" applyBorder="1" applyAlignment="1">
      <alignment horizontal="center"/>
    </xf>
    <xf numFmtId="0" fontId="54" fillId="0" borderId="0" xfId="201" applyNumberFormat="1" applyFont="1" applyFill="1" applyBorder="1" applyAlignment="1">
      <alignment horizontal="center"/>
    </xf>
    <xf numFmtId="0" fontId="54" fillId="0" borderId="0" xfId="201" applyNumberFormat="1" applyFont="1" applyFill="1" applyBorder="1" applyAlignment="1"/>
    <xf numFmtId="0" fontId="61" fillId="0" borderId="0" xfId="201" applyNumberFormat="1" applyFont="1" applyFill="1" applyBorder="1" applyAlignment="1"/>
    <xf numFmtId="177" fontId="61" fillId="0" borderId="0" xfId="201" applyNumberFormat="1" applyFont="1" applyFill="1" applyBorder="1" applyAlignment="1">
      <alignment horizontal="center"/>
    </xf>
    <xf numFmtId="174" fontId="61" fillId="0" borderId="16" xfId="201" applyFont="1" applyFill="1" applyBorder="1" applyAlignment="1">
      <alignment horizontal="center" wrapText="1"/>
    </xf>
    <xf numFmtId="174" fontId="61" fillId="0" borderId="7" xfId="201" applyFont="1" applyFill="1" applyBorder="1" applyAlignment="1"/>
    <xf numFmtId="0" fontId="54" fillId="0" borderId="16" xfId="201" applyNumberFormat="1" applyFont="1" applyFill="1" applyBorder="1"/>
    <xf numFmtId="0" fontId="54" fillId="0" borderId="7" xfId="201" applyNumberFormat="1" applyFont="1" applyFill="1" applyBorder="1"/>
    <xf numFmtId="0" fontId="54" fillId="0" borderId="10" xfId="201" applyNumberFormat="1" applyFont="1" applyFill="1" applyBorder="1"/>
    <xf numFmtId="174" fontId="54" fillId="0" borderId="10" xfId="209" applyFont="1" applyFill="1" applyBorder="1" applyAlignment="1"/>
    <xf numFmtId="174" fontId="54" fillId="0" borderId="0" xfId="209" applyFont="1" applyFill="1" applyBorder="1" applyAlignment="1"/>
    <xf numFmtId="174" fontId="54" fillId="14" borderId="0" xfId="209" applyFont="1" applyFill="1" applyBorder="1" applyAlignment="1"/>
    <xf numFmtId="0" fontId="54" fillId="14" borderId="0" xfId="59" applyNumberFormat="1" applyFont="1" applyFill="1" applyBorder="1" applyAlignment="1"/>
    <xf numFmtId="176" fontId="54" fillId="14" borderId="0" xfId="93" applyNumberFormat="1" applyFont="1" applyFill="1" applyBorder="1" applyAlignment="1"/>
    <xf numFmtId="174" fontId="54" fillId="0" borderId="0" xfId="201" applyFont="1" applyFill="1" applyBorder="1" applyAlignment="1">
      <alignment horizontal="center" vertical="top"/>
    </xf>
    <xf numFmtId="3" fontId="54" fillId="0" borderId="0" xfId="210" applyNumberFormat="1" applyFont="1" applyAlignment="1">
      <alignment wrapText="1"/>
    </xf>
    <xf numFmtId="0" fontId="54" fillId="0" borderId="0" xfId="210" applyNumberFormat="1" applyFont="1" applyAlignment="1" applyProtection="1">
      <alignment horizontal="center"/>
      <protection locked="0"/>
    </xf>
    <xf numFmtId="0" fontId="54" fillId="0" borderId="0" xfId="210" applyNumberFormat="1" applyFont="1"/>
    <xf numFmtId="3" fontId="54" fillId="0" borderId="0" xfId="210" applyNumberFormat="1" applyFont="1"/>
    <xf numFmtId="0" fontId="54" fillId="0" borderId="0" xfId="210" applyNumberFormat="1" applyFont="1" applyFill="1"/>
    <xf numFmtId="173" fontId="54" fillId="0" borderId="0" xfId="210" applyNumberFormat="1" applyFont="1" applyFill="1" applyProtection="1">
      <protection locked="0"/>
    </xf>
    <xf numFmtId="174" fontId="61" fillId="0" borderId="0" xfId="210" applyFont="1" applyAlignment="1">
      <alignment horizontal="center"/>
    </xf>
    <xf numFmtId="175" fontId="54" fillId="14" borderId="0" xfId="59" applyNumberFormat="1" applyFont="1" applyFill="1" applyBorder="1" applyAlignment="1"/>
    <xf numFmtId="174" fontId="54" fillId="0" borderId="0" xfId="0" applyFont="1"/>
    <xf numFmtId="174" fontId="54" fillId="0" borderId="0" xfId="0" applyFont="1" applyFill="1" applyAlignment="1"/>
    <xf numFmtId="174" fontId="54" fillId="0" borderId="0" xfId="0" applyFont="1" applyFill="1"/>
    <xf numFmtId="174" fontId="54" fillId="0" borderId="0" xfId="0" applyFont="1" applyFill="1" applyAlignment="1">
      <alignment horizontal="center"/>
    </xf>
    <xf numFmtId="175" fontId="54" fillId="0" borderId="11" xfId="59" applyNumberFormat="1" applyFont="1" applyFill="1" applyBorder="1" applyAlignment="1"/>
    <xf numFmtId="174" fontId="95" fillId="0" borderId="0" xfId="201" applyFont="1" applyFill="1" applyBorder="1" applyAlignment="1"/>
    <xf numFmtId="175" fontId="54" fillId="14" borderId="10" xfId="59" applyNumberFormat="1" applyFont="1" applyFill="1" applyBorder="1" applyAlignment="1"/>
    <xf numFmtId="174" fontId="54" fillId="0" borderId="15" xfId="0" applyFont="1" applyBorder="1" applyAlignment="1">
      <alignment horizontal="center"/>
    </xf>
    <xf numFmtId="174" fontId="54" fillId="16" borderId="0" xfId="0" applyFont="1" applyFill="1"/>
    <xf numFmtId="174" fontId="54" fillId="0" borderId="22" xfId="0" applyFont="1" applyBorder="1"/>
    <xf numFmtId="174" fontId="54" fillId="0" borderId="11" xfId="0" applyFont="1" applyBorder="1"/>
    <xf numFmtId="174" fontId="54" fillId="0" borderId="9" xfId="0" applyFont="1" applyBorder="1" applyAlignment="1">
      <alignment horizontal="center"/>
    </xf>
    <xf numFmtId="174" fontId="54" fillId="0" borderId="11" xfId="0" applyFont="1" applyBorder="1" applyAlignment="1">
      <alignment horizontal="center"/>
    </xf>
    <xf numFmtId="174" fontId="54" fillId="0" borderId="15" xfId="0" applyFont="1" applyBorder="1"/>
    <xf numFmtId="174" fontId="54" fillId="0" borderId="0" xfId="201" applyFont="1" applyAlignment="1"/>
    <xf numFmtId="174" fontId="54" fillId="0" borderId="19" xfId="201" applyFont="1" applyFill="1" applyBorder="1" applyAlignment="1">
      <alignment horizontal="center"/>
    </xf>
    <xf numFmtId="174" fontId="54" fillId="0" borderId="17" xfId="201" applyFont="1" applyFill="1" applyBorder="1" applyAlignment="1">
      <alignment horizontal="center"/>
    </xf>
    <xf numFmtId="174" fontId="54" fillId="16" borderId="11" xfId="0" applyFont="1" applyFill="1" applyBorder="1"/>
    <xf numFmtId="174" fontId="0" fillId="0" borderId="0" xfId="0" applyFill="1" applyAlignment="1"/>
    <xf numFmtId="174" fontId="54" fillId="0" borderId="0" xfId="201" applyFont="1" applyFill="1" applyBorder="1" applyAlignment="1">
      <alignment wrapText="1"/>
    </xf>
    <xf numFmtId="0" fontId="54" fillId="0" borderId="0" xfId="59" applyNumberFormat="1" applyFont="1" applyFill="1" applyAlignment="1">
      <alignment horizontal="center"/>
    </xf>
    <xf numFmtId="0" fontId="54" fillId="0" borderId="0" xfId="59" applyNumberFormat="1" applyFont="1" applyAlignment="1">
      <alignment horizontal="center"/>
    </xf>
    <xf numFmtId="175" fontId="54" fillId="0" borderId="3" xfId="59" applyNumberFormat="1" applyFont="1" applyBorder="1"/>
    <xf numFmtId="175" fontId="54" fillId="0" borderId="3" xfId="59" applyNumberFormat="1" applyFont="1" applyFill="1" applyBorder="1"/>
    <xf numFmtId="276" fontId="54" fillId="0" borderId="0" xfId="59" applyNumberFormat="1" applyFont="1" applyFill="1" applyBorder="1" applyAlignment="1"/>
    <xf numFmtId="174" fontId="54" fillId="0" borderId="9" xfId="201" applyFont="1" applyFill="1" applyBorder="1" applyAlignment="1">
      <alignment horizontal="center"/>
    </xf>
    <xf numFmtId="174" fontId="54" fillId="0" borderId="0" xfId="0" applyFont="1" applyFill="1" applyAlignment="1">
      <alignment vertical="top" wrapText="1"/>
    </xf>
    <xf numFmtId="174" fontId="54" fillId="0" borderId="11" xfId="0" applyFont="1" applyFill="1" applyBorder="1" applyAlignment="1">
      <alignment horizontal="center"/>
    </xf>
    <xf numFmtId="174" fontId="54" fillId="0" borderId="22" xfId="0" applyFont="1" applyFill="1" applyBorder="1" applyAlignment="1">
      <alignment horizontal="center"/>
    </xf>
    <xf numFmtId="175" fontId="54" fillId="16" borderId="10" xfId="59" applyNumberFormat="1" applyFont="1" applyFill="1" applyBorder="1"/>
    <xf numFmtId="175" fontId="54" fillId="0" borderId="0" xfId="59" applyNumberFormat="1" applyFont="1"/>
    <xf numFmtId="175" fontId="54" fillId="16" borderId="12" xfId="59" applyNumberFormat="1" applyFont="1" applyFill="1" applyBorder="1"/>
    <xf numFmtId="175" fontId="54" fillId="0" borderId="11" xfId="59" applyNumberFormat="1" applyFont="1" applyBorder="1" applyAlignment="1">
      <alignment horizontal="center"/>
    </xf>
    <xf numFmtId="175" fontId="54" fillId="0" borderId="11" xfId="59" applyNumberFormat="1" applyFont="1" applyBorder="1"/>
    <xf numFmtId="175" fontId="54" fillId="16" borderId="11" xfId="59" applyNumberFormat="1" applyFont="1" applyFill="1" applyBorder="1"/>
    <xf numFmtId="175" fontId="54" fillId="0" borderId="15" xfId="0" applyNumberFormat="1" applyFont="1" applyBorder="1"/>
    <xf numFmtId="171" fontId="54" fillId="0" borderId="11" xfId="265" applyNumberFormat="1" applyFont="1" applyBorder="1"/>
    <xf numFmtId="174" fontId="54" fillId="16" borderId="11" xfId="0" applyFont="1" applyFill="1" applyBorder="1" applyAlignment="1">
      <alignment horizontal="center"/>
    </xf>
    <xf numFmtId="174" fontId="54" fillId="0" borderId="0" xfId="201" applyFont="1" applyFill="1" applyBorder="1" applyAlignment="1">
      <alignment vertical="top"/>
    </xf>
    <xf numFmtId="174" fontId="21" fillId="0" borderId="0" xfId="625" applyFont="1" applyFill="1" applyAlignment="1"/>
    <xf numFmtId="0" fontId="21" fillId="0" borderId="0" xfId="625" applyNumberFormat="1" applyFont="1" applyFill="1" applyProtection="1">
      <protection locked="0"/>
    </xf>
    <xf numFmtId="0" fontId="34" fillId="0" borderId="0" xfId="625" applyNumberFormat="1" applyFont="1" applyFill="1" applyAlignment="1" applyProtection="1">
      <alignment horizontal="center"/>
      <protection locked="0"/>
    </xf>
    <xf numFmtId="174" fontId="16" fillId="0" borderId="0" xfId="625" applyFont="1" applyFill="1" applyAlignment="1">
      <alignment horizontal="center"/>
    </xf>
    <xf numFmtId="0" fontId="21" fillId="0" borderId="0" xfId="625" applyNumberFormat="1" applyFont="1" applyFill="1" applyBorder="1" applyAlignment="1" applyProtection="1">
      <alignment horizontal="center"/>
      <protection locked="0"/>
    </xf>
    <xf numFmtId="0" fontId="21" fillId="0" borderId="0" xfId="0" applyNumberFormat="1" applyFont="1" applyFill="1"/>
    <xf numFmtId="1" fontId="21" fillId="0" borderId="0" xfId="625" applyNumberFormat="1" applyFont="1" applyFill="1" applyAlignment="1" applyProtection="1">
      <alignment horizontal="center"/>
      <protection locked="0"/>
    </xf>
    <xf numFmtId="174" fontId="21" fillId="0" borderId="0" xfId="625" applyFont="1" applyFill="1" applyAlignment="1" applyProtection="1">
      <protection locked="0"/>
    </xf>
    <xf numFmtId="170" fontId="21" fillId="0" borderId="0" xfId="625" applyNumberFormat="1" applyFont="1" applyFill="1" applyBorder="1" applyAlignment="1" applyProtection="1">
      <protection locked="0"/>
    </xf>
    <xf numFmtId="174" fontId="0" fillId="0" borderId="0" xfId="0" applyFill="1"/>
    <xf numFmtId="174" fontId="21" fillId="0" borderId="0" xfId="0" applyFont="1" applyFill="1"/>
    <xf numFmtId="174" fontId="44" fillId="0" borderId="0" xfId="625" applyFont="1" applyFill="1" applyAlignment="1"/>
    <xf numFmtId="0" fontId="117" fillId="0" borderId="0" xfId="0" applyNumberFormat="1" applyFont="1" applyFill="1" applyAlignment="1">
      <alignment horizontal="center"/>
    </xf>
    <xf numFmtId="0" fontId="61" fillId="0" borderId="0" xfId="625" applyNumberFormat="1" applyFont="1" applyFill="1" applyBorder="1" applyAlignment="1" applyProtection="1">
      <alignment horizontal="center"/>
      <protection locked="0"/>
    </xf>
    <xf numFmtId="0" fontId="87" fillId="0" borderId="0" xfId="625" applyNumberFormat="1" applyFont="1" applyFill="1" applyBorder="1" applyAlignment="1" applyProtection="1">
      <alignment horizontal="left"/>
      <protection locked="0"/>
    </xf>
    <xf numFmtId="0" fontId="54" fillId="0" borderId="0" xfId="625" applyNumberFormat="1" applyFont="1" applyFill="1" applyProtection="1">
      <protection locked="0"/>
    </xf>
    <xf numFmtId="0" fontId="54" fillId="0" borderId="0" xfId="625" applyNumberFormat="1" applyFont="1" applyFill="1" applyBorder="1" applyAlignment="1" applyProtection="1">
      <alignment horizontal="center"/>
      <protection locked="0"/>
    </xf>
    <xf numFmtId="174" fontId="54" fillId="0" borderId="0" xfId="625" applyFont="1" applyFill="1" applyAlignment="1"/>
    <xf numFmtId="0" fontId="54" fillId="0" borderId="0" xfId="0" applyNumberFormat="1" applyFont="1" applyFill="1"/>
    <xf numFmtId="1" fontId="54" fillId="0" borderId="0" xfId="625" applyNumberFormat="1" applyFont="1" applyFill="1" applyAlignment="1" applyProtection="1">
      <alignment horizontal="center"/>
      <protection locked="0"/>
    </xf>
    <xf numFmtId="174" fontId="54" fillId="0" borderId="0" xfId="625" applyFont="1" applyFill="1" applyAlignment="1" applyProtection="1">
      <alignment horizontal="center"/>
      <protection locked="0"/>
    </xf>
    <xf numFmtId="174" fontId="54" fillId="0" borderId="0" xfId="625" applyFont="1" applyFill="1" applyAlignment="1" applyProtection="1">
      <protection locked="0"/>
    </xf>
    <xf numFmtId="0" fontId="54" fillId="0" borderId="0" xfId="625" applyNumberFormat="1" applyFont="1" applyFill="1"/>
    <xf numFmtId="174" fontId="54" fillId="0" borderId="0" xfId="0" applyFont="1" applyFill="1" applyAlignment="1">
      <alignment horizontal="left"/>
    </xf>
    <xf numFmtId="277" fontId="54" fillId="0" borderId="0" xfId="625" applyNumberFormat="1" applyFont="1" applyFill="1" applyAlignment="1"/>
    <xf numFmtId="174" fontId="54" fillId="0" borderId="0" xfId="625" applyFont="1" applyFill="1" applyAlignment="1">
      <alignment horizontal="center"/>
    </xf>
    <xf numFmtId="0" fontId="54" fillId="0" borderId="0" xfId="625" applyNumberFormat="1" applyFont="1" applyFill="1" applyAlignment="1" applyProtection="1">
      <alignment horizontal="center"/>
      <protection locked="0"/>
    </xf>
    <xf numFmtId="175" fontId="54" fillId="0" borderId="0" xfId="625" applyNumberFormat="1" applyFont="1" applyFill="1"/>
    <xf numFmtId="174" fontId="61" fillId="0" borderId="0" xfId="625" applyFont="1" applyFill="1" applyAlignment="1">
      <alignment horizontal="center"/>
    </xf>
    <xf numFmtId="0" fontId="54" fillId="0" borderId="8" xfId="625" applyNumberFormat="1" applyFont="1" applyFill="1" applyBorder="1" applyAlignment="1" applyProtection="1">
      <alignment horizontal="left"/>
      <protection locked="0"/>
    </xf>
    <xf numFmtId="174" fontId="54" fillId="0" borderId="0" xfId="0" quotePrefix="1" applyFont="1" applyFill="1" applyAlignment="1"/>
    <xf numFmtId="0" fontId="54" fillId="0" borderId="0" xfId="0" applyNumberFormat="1" applyFont="1" applyAlignment="1">
      <alignment horizontal="center"/>
    </xf>
    <xf numFmtId="0" fontId="54" fillId="0" borderId="0" xfId="187" applyFont="1" applyFill="1" applyBorder="1" applyAlignment="1">
      <alignment horizontal="left"/>
    </xf>
    <xf numFmtId="0" fontId="61" fillId="0" borderId="0" xfId="211" quotePrefix="1" applyFont="1" applyAlignment="1">
      <alignment horizontal="center" wrapText="1"/>
    </xf>
    <xf numFmtId="175" fontId="54" fillId="0" borderId="0" xfId="211" applyNumberFormat="1" applyFont="1" applyFill="1"/>
    <xf numFmtId="175" fontId="54" fillId="0" borderId="14" xfId="59" applyNumberFormat="1" applyFont="1" applyBorder="1"/>
    <xf numFmtId="175" fontId="54" fillId="14" borderId="0" xfId="59" applyNumberFormat="1" applyFont="1" applyFill="1"/>
    <xf numFmtId="174" fontId="73" fillId="0" borderId="0" xfId="0" applyFont="1" applyAlignment="1">
      <alignment horizontal="left"/>
    </xf>
    <xf numFmtId="174" fontId="73" fillId="0" borderId="0" xfId="0" applyFont="1" applyFill="1" applyAlignment="1">
      <alignment horizontal="left"/>
    </xf>
    <xf numFmtId="174" fontId="21" fillId="0" borderId="0" xfId="0" applyFont="1"/>
    <xf numFmtId="174" fontId="0" fillId="0" borderId="0" xfId="0" applyFill="1" applyProtection="1">
      <protection locked="0"/>
    </xf>
    <xf numFmtId="174" fontId="0" fillId="0" borderId="0" xfId="0"/>
    <xf numFmtId="174" fontId="118" fillId="0" borderId="0" xfId="0" applyFont="1" applyFill="1" applyProtection="1">
      <protection locked="0"/>
    </xf>
    <xf numFmtId="174" fontId="119" fillId="0" borderId="0" xfId="0" applyFont="1" applyFill="1" applyProtection="1">
      <protection locked="0"/>
    </xf>
    <xf numFmtId="278" fontId="0" fillId="0" borderId="0" xfId="0" applyNumberFormat="1" applyFill="1"/>
    <xf numFmtId="176" fontId="34" fillId="0" borderId="0" xfId="93" applyNumberFormat="1" applyFont="1" applyFill="1"/>
    <xf numFmtId="174" fontId="120"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4" fillId="14" borderId="0" xfId="0" applyNumberFormat="1" applyFont="1" applyFill="1" applyAlignment="1" applyProtection="1">
      <alignment horizontal="center"/>
      <protection locked="0"/>
    </xf>
    <xf numFmtId="0" fontId="54" fillId="0" borderId="0" xfId="0" applyNumberFormat="1" applyFont="1" applyFill="1" applyAlignment="1" applyProtection="1">
      <alignment horizontal="center"/>
      <protection locked="0"/>
    </xf>
    <xf numFmtId="174" fontId="54" fillId="0" borderId="0" xfId="0" applyFont="1" applyFill="1" applyProtection="1">
      <protection locked="0"/>
    </xf>
    <xf numFmtId="174" fontId="54" fillId="0" borderId="31" xfId="0" applyFont="1" applyFill="1" applyBorder="1" applyAlignment="1" applyProtection="1">
      <alignment horizontal="center" wrapText="1"/>
      <protection locked="0"/>
    </xf>
    <xf numFmtId="174" fontId="54" fillId="0" borderId="32" xfId="0" applyFont="1" applyFill="1" applyBorder="1" applyAlignment="1" applyProtection="1">
      <alignment horizontal="center" wrapText="1"/>
      <protection locked="0"/>
    </xf>
    <xf numFmtId="174" fontId="54" fillId="0" borderId="32" xfId="0" applyFont="1" applyFill="1" applyBorder="1" applyProtection="1">
      <protection locked="0"/>
    </xf>
    <xf numFmtId="170" fontId="54" fillId="0" borderId="33" xfId="0" applyNumberFormat="1" applyFont="1" applyFill="1" applyBorder="1" applyAlignment="1" applyProtection="1">
      <alignment horizontal="center"/>
      <protection locked="0"/>
    </xf>
    <xf numFmtId="174" fontId="61" fillId="0" borderId="0" xfId="0" applyFont="1" applyFill="1" applyAlignment="1" applyProtection="1">
      <alignment horizontal="center"/>
      <protection locked="0"/>
    </xf>
    <xf numFmtId="174" fontId="54" fillId="0" borderId="0" xfId="0" applyFont="1" applyFill="1" applyAlignment="1" applyProtection="1">
      <alignment horizontal="center"/>
      <protection locked="0"/>
    </xf>
    <xf numFmtId="175" fontId="54" fillId="0" borderId="0" xfId="0" applyNumberFormat="1" applyFont="1" applyFill="1" applyProtection="1">
      <protection locked="0"/>
    </xf>
    <xf numFmtId="5" fontId="54" fillId="0" borderId="33" xfId="0" applyNumberFormat="1" applyFont="1" applyFill="1" applyBorder="1" applyAlignment="1" applyProtection="1">
      <alignment horizontal="center"/>
      <protection locked="0"/>
    </xf>
    <xf numFmtId="175" fontId="54" fillId="0" borderId="8" xfId="0" applyNumberFormat="1" applyFont="1" applyFill="1" applyBorder="1" applyProtection="1">
      <protection locked="0"/>
    </xf>
    <xf numFmtId="174" fontId="54" fillId="0" borderId="8" xfId="0" applyFont="1" applyFill="1" applyBorder="1" applyAlignment="1" applyProtection="1">
      <alignment horizontal="center"/>
      <protection locked="0"/>
    </xf>
    <xf numFmtId="174" fontId="54" fillId="0" borderId="8" xfId="0" applyFont="1" applyFill="1" applyBorder="1" applyProtection="1">
      <protection locked="0"/>
    </xf>
    <xf numFmtId="175" fontId="54" fillId="0" borderId="0" xfId="0" applyNumberFormat="1" applyFont="1" applyFill="1" applyAlignment="1" applyProtection="1">
      <alignment horizontal="left"/>
      <protection locked="0"/>
    </xf>
    <xf numFmtId="0" fontId="61" fillId="0" borderId="0" xfId="0" applyNumberFormat="1" applyFont="1" applyFill="1" applyAlignment="1" applyProtection="1">
      <alignment horizontal="left"/>
      <protection locked="0"/>
    </xf>
    <xf numFmtId="174" fontId="61" fillId="0" borderId="0" xfId="0" applyFont="1" applyFill="1" applyAlignment="1" applyProtection="1">
      <alignment horizontal="center" wrapText="1"/>
      <protection locked="0"/>
    </xf>
    <xf numFmtId="175" fontId="61" fillId="0" borderId="0" xfId="0" applyNumberFormat="1" applyFont="1" applyFill="1" applyAlignment="1" applyProtection="1">
      <alignment horizontal="center" wrapText="1"/>
      <protection locked="0"/>
    </xf>
    <xf numFmtId="175" fontId="61" fillId="0" borderId="0" xfId="0" applyNumberFormat="1" applyFont="1" applyFill="1" applyAlignment="1" applyProtection="1">
      <alignment horizontal="center"/>
      <protection locked="0"/>
    </xf>
    <xf numFmtId="278" fontId="54" fillId="0" borderId="0" xfId="265" applyNumberFormat="1" applyFont="1" applyFill="1" applyProtection="1">
      <protection locked="0"/>
    </xf>
    <xf numFmtId="164" fontId="54" fillId="0" borderId="0" xfId="265" applyNumberFormat="1" applyFont="1" applyFill="1" applyProtection="1">
      <protection locked="0"/>
    </xf>
    <xf numFmtId="175" fontId="54" fillId="0" borderId="0" xfId="0" applyNumberFormat="1" applyFont="1" applyFill="1" applyAlignment="1" applyProtection="1">
      <alignment horizontal="center"/>
      <protection locked="0"/>
    </xf>
    <xf numFmtId="174" fontId="87" fillId="0" borderId="0" xfId="0" applyFont="1" applyFill="1" applyAlignment="1" applyProtection="1">
      <alignment horizontal="center"/>
      <protection locked="0"/>
    </xf>
    <xf numFmtId="174" fontId="54" fillId="14" borderId="0" xfId="0" applyFont="1" applyFill="1" applyProtection="1">
      <protection locked="0"/>
    </xf>
    <xf numFmtId="175" fontId="54" fillId="0" borderId="0" xfId="59" applyNumberFormat="1" applyFont="1" applyFill="1" applyProtection="1">
      <protection locked="0"/>
    </xf>
    <xf numFmtId="164" fontId="54" fillId="0" borderId="0" xfId="0" applyNumberFormat="1" applyFont="1" applyFill="1" applyProtection="1">
      <protection locked="0"/>
    </xf>
    <xf numFmtId="175" fontId="61" fillId="0" borderId="0" xfId="59" applyNumberFormat="1" applyFont="1" applyFill="1" applyProtection="1">
      <protection locked="0"/>
    </xf>
    <xf numFmtId="175" fontId="61" fillId="0" borderId="0" xfId="59" applyNumberFormat="1" applyFont="1" applyFill="1" applyAlignment="1" applyProtection="1">
      <alignment horizontal="center"/>
      <protection locked="0"/>
    </xf>
    <xf numFmtId="174" fontId="87" fillId="0" borderId="0" xfId="0" applyFont="1" applyFill="1" applyProtection="1">
      <protection locked="0"/>
    </xf>
    <xf numFmtId="175" fontId="54" fillId="0" borderId="0" xfId="0" applyNumberFormat="1" applyFont="1" applyProtection="1">
      <protection locked="0"/>
    </xf>
    <xf numFmtId="175" fontId="54" fillId="0" borderId="0" xfId="0" applyNumberFormat="1" applyFont="1"/>
    <xf numFmtId="278" fontId="54" fillId="0" borderId="0" xfId="0" applyNumberFormat="1" applyFont="1" applyFill="1" applyProtection="1">
      <protection locked="0"/>
    </xf>
    <xf numFmtId="176" fontId="54" fillId="0" borderId="0" xfId="93" applyNumberFormat="1" applyFont="1" applyFill="1"/>
    <xf numFmtId="174" fontId="54" fillId="0" borderId="1" xfId="0" applyFont="1" applyBorder="1" applyAlignment="1">
      <alignment horizontal="center"/>
    </xf>
    <xf numFmtId="174" fontId="54" fillId="0" borderId="0" xfId="0" applyFont="1" applyFill="1" applyAlignment="1">
      <alignment horizontal="left" vertical="top"/>
    </xf>
    <xf numFmtId="1" fontId="54" fillId="0" borderId="16" xfId="59" applyNumberFormat="1" applyFont="1" applyFill="1" applyBorder="1" applyAlignment="1">
      <alignment horizontal="center"/>
    </xf>
    <xf numFmtId="174" fontId="89" fillId="0" borderId="7" xfId="201" applyFont="1" applyFill="1" applyBorder="1" applyAlignment="1"/>
    <xf numFmtId="0" fontId="54" fillId="0" borderId="7" xfId="201" applyNumberFormat="1" applyFont="1" applyFill="1" applyBorder="1" applyAlignment="1"/>
    <xf numFmtId="175" fontId="54" fillId="0" borderId="7" xfId="59" applyNumberFormat="1" applyFont="1" applyFill="1" applyBorder="1" applyAlignment="1">
      <alignment horizontal="center"/>
    </xf>
    <xf numFmtId="174" fontId="54" fillId="0" borderId="7" xfId="201" applyFont="1" applyFill="1" applyBorder="1" applyAlignment="1">
      <alignment horizontal="center"/>
    </xf>
    <xf numFmtId="3" fontId="54" fillId="0" borderId="7" xfId="201" applyNumberFormat="1" applyFont="1" applyFill="1" applyBorder="1" applyAlignment="1"/>
    <xf numFmtId="170" fontId="54" fillId="0" borderId="7" xfId="201" applyNumberFormat="1" applyFont="1" applyFill="1" applyBorder="1" applyAlignment="1"/>
    <xf numFmtId="175" fontId="54" fillId="0" borderId="9" xfId="59" applyNumberFormat="1" applyFont="1" applyFill="1" applyBorder="1" applyAlignment="1">
      <alignment horizontal="center"/>
    </xf>
    <xf numFmtId="174" fontId="73" fillId="0" borderId="0" xfId="0" applyFont="1"/>
    <xf numFmtId="174" fontId="54" fillId="0" borderId="17" xfId="201" applyFont="1" applyBorder="1" applyAlignment="1">
      <alignment horizontal="center"/>
    </xf>
    <xf numFmtId="174" fontId="54" fillId="0" borderId="15" xfId="201" applyFont="1" applyBorder="1" applyAlignment="1">
      <alignment horizontal="center"/>
    </xf>
    <xf numFmtId="183" fontId="44" fillId="0" borderId="0" xfId="59" applyNumberFormat="1" applyFont="1" applyFill="1" applyAlignment="1">
      <alignment horizontal="right"/>
    </xf>
    <xf numFmtId="175" fontId="44" fillId="0" borderId="0" xfId="59" applyNumberFormat="1" applyFont="1" applyAlignment="1">
      <alignment horizontal="center"/>
    </xf>
    <xf numFmtId="175" fontId="44" fillId="0" borderId="1" xfId="59" applyNumberFormat="1" applyFont="1" applyBorder="1" applyAlignment="1">
      <alignment horizontal="center"/>
    </xf>
    <xf numFmtId="0" fontId="54" fillId="0" borderId="1" xfId="0" applyNumberFormat="1" applyFont="1" applyBorder="1" applyAlignment="1">
      <alignment horizontal="center"/>
    </xf>
    <xf numFmtId="0" fontId="54" fillId="0" borderId="1" xfId="187" applyFont="1" applyFill="1" applyBorder="1" applyAlignment="1"/>
    <xf numFmtId="3" fontId="54" fillId="0" borderId="1" xfId="187" applyNumberFormat="1" applyFont="1" applyFill="1" applyBorder="1" applyAlignment="1">
      <alignment horizontal="center" wrapText="1"/>
    </xf>
    <xf numFmtId="0" fontId="54" fillId="0" borderId="3" xfId="187" applyFont="1" applyFill="1" applyBorder="1" applyAlignment="1"/>
    <xf numFmtId="175" fontId="54" fillId="0" borderId="3" xfId="59" applyNumberFormat="1" applyFont="1" applyFill="1" applyBorder="1" applyAlignment="1">
      <alignment horizontal="center"/>
    </xf>
    <xf numFmtId="174" fontId="84" fillId="0" borderId="3" xfId="0" applyFont="1" applyBorder="1" applyAlignment="1"/>
    <xf numFmtId="175" fontId="54" fillId="0" borderId="3" xfId="59" applyNumberFormat="1" applyFont="1" applyFill="1" applyBorder="1" applyAlignment="1">
      <alignment horizontal="center" wrapText="1"/>
    </xf>
    <xf numFmtId="174" fontId="44" fillId="0" borderId="0" xfId="0" applyFont="1" applyAlignment="1">
      <alignment horizontal="left"/>
    </xf>
    <xf numFmtId="0" fontId="50" fillId="0" borderId="0" xfId="554" applyFont="1" applyAlignment="1">
      <alignment horizontal="right"/>
    </xf>
    <xf numFmtId="0" fontId="121" fillId="0" borderId="0" xfId="555" applyFont="1" applyAlignment="1">
      <alignment horizontal="centerContinuous"/>
    </xf>
    <xf numFmtId="174" fontId="44" fillId="0" borderId="0" xfId="0" applyFont="1" applyAlignment="1">
      <alignment horizontal="centerContinuous"/>
    </xf>
    <xf numFmtId="174" fontId="44" fillId="0" borderId="0" xfId="0" applyFont="1" applyBorder="1" applyAlignment="1">
      <alignment horizontal="center"/>
    </xf>
    <xf numFmtId="174" fontId="44" fillId="0" borderId="0" xfId="0" applyFont="1" applyBorder="1" applyAlignment="1">
      <alignment horizontal="centerContinuous"/>
    </xf>
    <xf numFmtId="174" fontId="44" fillId="0" borderId="0" xfId="0" applyFont="1" applyAlignment="1">
      <alignment horizontal="center"/>
    </xf>
    <xf numFmtId="174" fontId="122" fillId="0" borderId="0" xfId="0" applyFont="1" applyAlignment="1">
      <alignment horizontal="center"/>
    </xf>
    <xf numFmtId="174" fontId="122" fillId="0" borderId="0" xfId="0" applyFont="1" applyAlignment="1"/>
    <xf numFmtId="37" fontId="44" fillId="0" borderId="0" xfId="0" applyNumberFormat="1" applyFont="1" applyAlignment="1">
      <alignment horizontal="center" vertical="top"/>
    </xf>
    <xf numFmtId="174" fontId="44" fillId="0" borderId="0" xfId="0" quotePrefix="1" applyFont="1" applyAlignment="1"/>
    <xf numFmtId="175" fontId="123" fillId="16" borderId="0" xfId="59" applyNumberFormat="1" applyFont="1" applyFill="1" applyAlignment="1"/>
    <xf numFmtId="175" fontId="44" fillId="0" borderId="0" xfId="59" applyNumberFormat="1" applyFont="1" applyFill="1" applyAlignment="1"/>
    <xf numFmtId="174" fontId="44" fillId="0" borderId="0" xfId="0" applyFont="1" applyAlignment="1">
      <alignment vertical="center"/>
    </xf>
    <xf numFmtId="175" fontId="44" fillId="16" borderId="0" xfId="59" applyNumberFormat="1" applyFont="1" applyFill="1" applyAlignment="1"/>
    <xf numFmtId="175" fontId="44" fillId="0" borderId="3" xfId="59" applyNumberFormat="1" applyFont="1" applyBorder="1" applyAlignment="1"/>
    <xf numFmtId="174" fontId="121" fillId="0" borderId="0" xfId="0" applyFont="1" applyFill="1" applyAlignment="1"/>
    <xf numFmtId="174" fontId="44" fillId="0" borderId="0" xfId="0" applyFont="1" applyFill="1" applyAlignment="1"/>
    <xf numFmtId="174" fontId="44" fillId="0" borderId="0" xfId="0" applyFont="1" applyFill="1" applyBorder="1" applyAlignment="1"/>
    <xf numFmtId="0" fontId="124" fillId="0" borderId="0" xfId="182" applyFont="1"/>
    <xf numFmtId="174" fontId="44" fillId="0" borderId="0" xfId="0" applyFont="1" applyBorder="1" applyAlignment="1"/>
    <xf numFmtId="174" fontId="125" fillId="0" borderId="0" xfId="0" applyFont="1" applyAlignment="1"/>
    <xf numFmtId="174" fontId="126" fillId="0" borderId="0" xfId="201" applyFont="1" applyAlignment="1">
      <alignment horizontal="center"/>
    </xf>
    <xf numFmtId="49" fontId="54" fillId="0" borderId="0" xfId="187" applyNumberFormat="1" applyFont="1" applyFill="1" applyBorder="1" applyAlignment="1">
      <alignment horizontal="center"/>
    </xf>
    <xf numFmtId="0" fontId="61" fillId="0" borderId="0" xfId="185" applyFont="1" applyFill="1" applyBorder="1" applyAlignment="1">
      <alignment horizontal="center"/>
    </xf>
    <xf numFmtId="174" fontId="127" fillId="0" borderId="0" xfId="0" applyFont="1" applyFill="1" applyAlignment="1"/>
    <xf numFmtId="174" fontId="54" fillId="0" borderId="0" xfId="201" applyFont="1" applyAlignment="1">
      <alignment horizontal="center"/>
    </xf>
    <xf numFmtId="0" fontId="61" fillId="0" borderId="1" xfId="185" applyFont="1" applyBorder="1" applyAlignment="1">
      <alignment horizontal="center"/>
    </xf>
    <xf numFmtId="175" fontId="54" fillId="0" borderId="3" xfId="59" applyNumberFormat="1" applyFont="1" applyBorder="1" applyAlignment="1"/>
    <xf numFmtId="0" fontId="54" fillId="0" borderId="0" xfId="0" applyNumberFormat="1" applyFont="1" applyAlignment="1">
      <alignment horizontal="center" vertical="top"/>
    </xf>
    <xf numFmtId="2" fontId="54" fillId="0" borderId="0" xfId="0" applyNumberFormat="1" applyFont="1" applyAlignment="1">
      <alignment wrapText="1"/>
    </xf>
    <xf numFmtId="0" fontId="121" fillId="0" borderId="0" xfId="555" applyFont="1" applyAlignment="1">
      <alignment horizontal="center"/>
    </xf>
    <xf numFmtId="10" fontId="44" fillId="16" borderId="0" xfId="0" applyNumberFormat="1" applyFont="1" applyFill="1" applyBorder="1" applyAlignment="1"/>
    <xf numFmtId="174" fontId="44" fillId="0" borderId="0" xfId="0" applyFont="1" applyAlignment="1">
      <alignment vertical="top"/>
    </xf>
    <xf numFmtId="174" fontId="44" fillId="0" borderId="1" xfId="0" applyFont="1" applyBorder="1" applyAlignment="1">
      <alignment horizontal="center"/>
    </xf>
    <xf numFmtId="174" fontId="44" fillId="0" borderId="0" xfId="0" applyFont="1" applyAlignment="1">
      <alignment horizontal="center" vertical="top"/>
    </xf>
    <xf numFmtId="0" fontId="54" fillId="0" borderId="0" xfId="187" applyFont="1" applyFill="1" applyAlignment="1">
      <alignment horizontal="left" wrapText="1"/>
    </xf>
    <xf numFmtId="0" fontId="54" fillId="0" borderId="0" xfId="187" applyFont="1" applyFill="1" applyBorder="1" applyAlignment="1">
      <alignment horizontal="left" wrapText="1"/>
    </xf>
    <xf numFmtId="174" fontId="54" fillId="0" borderId="1" xfId="0" applyFont="1" applyBorder="1" applyAlignment="1">
      <alignment horizontal="center"/>
    </xf>
    <xf numFmtId="0" fontId="54" fillId="0" borderId="0" xfId="187" applyFont="1" applyFill="1" applyAlignment="1">
      <alignment horizontal="center"/>
    </xf>
    <xf numFmtId="10" fontId="54" fillId="0" borderId="0" xfId="265" applyNumberFormat="1" applyFont="1" applyFill="1" applyAlignment="1">
      <alignment horizontal="center"/>
    </xf>
    <xf numFmtId="0" fontId="54" fillId="0" borderId="0" xfId="0" applyNumberFormat="1" applyFont="1" applyAlignment="1"/>
    <xf numFmtId="174" fontId="61" fillId="0" borderId="0" xfId="201" quotePrefix="1" applyFont="1" applyAlignment="1">
      <alignment horizontal="left"/>
    </xf>
    <xf numFmtId="174" fontId="54" fillId="0" borderId="0" xfId="201" applyFont="1" applyBorder="1" applyAlignment="1"/>
    <xf numFmtId="174" fontId="54" fillId="0" borderId="0" xfId="201" quotePrefix="1" applyFont="1" applyBorder="1" applyAlignment="1">
      <alignment horizontal="left"/>
    </xf>
    <xf numFmtId="176" fontId="54" fillId="0" borderId="0" xfId="105" applyNumberFormat="1" applyFont="1" applyFill="1" applyBorder="1" applyAlignment="1"/>
    <xf numFmtId="176" fontId="54" fillId="0" borderId="0" xfId="105" applyNumberFormat="1" applyFont="1" applyBorder="1" applyAlignment="1"/>
    <xf numFmtId="1" fontId="54" fillId="0" borderId="0" xfId="201" applyNumberFormat="1" applyFont="1" applyAlignment="1">
      <alignment horizontal="left"/>
    </xf>
    <xf numFmtId="174" fontId="54" fillId="0" borderId="0" xfId="201" quotePrefix="1" applyFont="1" applyAlignment="1">
      <alignment horizontal="left"/>
    </xf>
    <xf numFmtId="10" fontId="54" fillId="14" borderId="0" xfId="265" applyNumberFormat="1" applyFont="1" applyFill="1" applyAlignment="1"/>
    <xf numFmtId="43" fontId="54" fillId="0" borderId="0" xfId="59" applyFont="1" applyBorder="1" applyAlignment="1"/>
    <xf numFmtId="174" fontId="54" fillId="0" borderId="0" xfId="201" applyFont="1" applyAlignment="1">
      <alignment horizontal="left"/>
    </xf>
    <xf numFmtId="10" fontId="54" fillId="0" borderId="0" xfId="265" applyNumberFormat="1" applyFont="1" applyBorder="1" applyAlignment="1"/>
    <xf numFmtId="164" fontId="54" fillId="0" borderId="0" xfId="265" applyNumberFormat="1" applyFont="1" applyAlignment="1"/>
    <xf numFmtId="0" fontId="54" fillId="0" borderId="0" xfId="365" applyFont="1" applyAlignment="1"/>
    <xf numFmtId="0" fontId="54" fillId="0" borderId="0" xfId="365" applyFont="1" applyAlignment="1">
      <alignment horizontal="right"/>
    </xf>
    <xf numFmtId="0" fontId="54" fillId="0" borderId="0" xfId="365" applyFont="1"/>
    <xf numFmtId="0" fontId="54" fillId="0" borderId="0" xfId="365" applyFont="1" applyAlignment="1">
      <alignment horizontal="center" wrapText="1"/>
    </xf>
    <xf numFmtId="0" fontId="87" fillId="0" borderId="0" xfId="365" applyFont="1" applyAlignment="1"/>
    <xf numFmtId="0" fontId="54" fillId="0" borderId="0" xfId="365" quotePrefix="1" applyFont="1" applyAlignment="1">
      <alignment horizontal="left"/>
    </xf>
    <xf numFmtId="1" fontId="54" fillId="0" borderId="0" xfId="365" applyNumberFormat="1" applyFont="1" applyAlignment="1">
      <alignment horizontal="center"/>
    </xf>
    <xf numFmtId="0" fontId="54" fillId="0" borderId="0" xfId="365" applyFont="1" applyAlignment="1">
      <alignment horizontal="center"/>
    </xf>
    <xf numFmtId="9" fontId="54" fillId="0" borderId="0" xfId="365" applyNumberFormat="1" applyFont="1" applyAlignment="1">
      <alignment horizontal="center"/>
    </xf>
    <xf numFmtId="10" fontId="54" fillId="0" borderId="0" xfId="365" applyNumberFormat="1" applyFont="1" applyAlignment="1">
      <alignment horizontal="center"/>
    </xf>
    <xf numFmtId="3" fontId="54" fillId="0" borderId="0" xfId="365" applyNumberFormat="1" applyFont="1"/>
    <xf numFmtId="10" fontId="54" fillId="0" borderId="0" xfId="365" applyNumberFormat="1" applyFont="1"/>
    <xf numFmtId="3" fontId="54" fillId="0" borderId="0" xfId="365" applyNumberFormat="1" applyFont="1" applyAlignment="1">
      <alignment horizontal="center"/>
    </xf>
    <xf numFmtId="0" fontId="54" fillId="0" borderId="0" xfId="365" quotePrefix="1" applyFont="1" applyAlignment="1"/>
    <xf numFmtId="275" fontId="54" fillId="0" borderId="0" xfId="365" applyNumberFormat="1" applyFont="1" applyAlignment="1">
      <alignment horizontal="left"/>
    </xf>
    <xf numFmtId="10" fontId="54" fillId="0" borderId="0" xfId="365" applyNumberFormat="1" applyFont="1" applyAlignment="1">
      <alignment horizontal="right"/>
    </xf>
    <xf numFmtId="0" fontId="73" fillId="0" borderId="0" xfId="365" applyFont="1" applyAlignment="1"/>
    <xf numFmtId="1" fontId="73" fillId="0" borderId="0" xfId="365" applyNumberFormat="1" applyFont="1" applyAlignment="1">
      <alignment horizontal="center"/>
    </xf>
    <xf numFmtId="10" fontId="73" fillId="0" borderId="0" xfId="365" applyNumberFormat="1" applyFont="1" applyAlignment="1">
      <alignment horizontal="center"/>
    </xf>
    <xf numFmtId="9" fontId="73" fillId="0" borderId="0" xfId="365" applyNumberFormat="1" applyFont="1" applyAlignment="1">
      <alignment horizontal="center"/>
    </xf>
    <xf numFmtId="0" fontId="73" fillId="0" borderId="0" xfId="365" applyFont="1" applyAlignment="1">
      <alignment horizontal="center"/>
    </xf>
    <xf numFmtId="49" fontId="54" fillId="0" borderId="0" xfId="365" applyNumberFormat="1" applyFont="1" applyAlignment="1"/>
    <xf numFmtId="1" fontId="54" fillId="0" borderId="0" xfId="365" applyNumberFormat="1" applyFont="1" applyAlignment="1"/>
    <xf numFmtId="9" fontId="54" fillId="0" borderId="0" xfId="365" applyNumberFormat="1" applyFont="1" applyAlignment="1"/>
    <xf numFmtId="2" fontId="128" fillId="0" borderId="0" xfId="0" applyNumberFormat="1" applyFont="1" applyFill="1" applyBorder="1" applyAlignment="1">
      <alignment horizontal="center"/>
    </xf>
    <xf numFmtId="0" fontId="54" fillId="0" borderId="1" xfId="365" applyFont="1" applyBorder="1" applyAlignment="1">
      <alignment horizontal="center"/>
    </xf>
    <xf numFmtId="0" fontId="54" fillId="0" borderId="0" xfId="365" applyFont="1" applyAlignment="1">
      <alignment horizontal="center" vertical="top"/>
    </xf>
    <xf numFmtId="2" fontId="54" fillId="0" borderId="0" xfId="0" applyNumberFormat="1" applyFont="1" applyAlignment="1">
      <alignment horizontal="center" wrapText="1"/>
    </xf>
    <xf numFmtId="2" fontId="54" fillId="0" borderId="0" xfId="0" applyNumberFormat="1" applyFont="1" applyAlignment="1">
      <alignment horizontal="left"/>
    </xf>
    <xf numFmtId="10" fontId="54" fillId="0" borderId="0" xfId="365" applyNumberFormat="1" applyFont="1" applyAlignment="1"/>
    <xf numFmtId="174" fontId="44" fillId="16" borderId="0" xfId="0" quotePrefix="1" applyFont="1" applyFill="1" applyAlignment="1">
      <alignment horizontal="center"/>
    </xf>
    <xf numFmtId="1" fontId="54" fillId="0" borderId="0" xfId="201" applyNumberFormat="1" applyFont="1" applyAlignment="1">
      <alignment horizontal="center"/>
    </xf>
    <xf numFmtId="0" fontId="44" fillId="0" borderId="0" xfId="187" applyFont="1" applyFill="1"/>
    <xf numFmtId="170" fontId="54" fillId="0" borderId="0" xfId="0" applyNumberFormat="1" applyFont="1"/>
    <xf numFmtId="175" fontId="44" fillId="0" borderId="0" xfId="79" applyNumberFormat="1" applyFont="1" applyFill="1" applyBorder="1" applyAlignment="1">
      <alignment wrapText="1"/>
    </xf>
    <xf numFmtId="0" fontId="54" fillId="0" borderId="0" xfId="187" applyFont="1" applyAlignment="1"/>
    <xf numFmtId="174" fontId="54" fillId="0" borderId="0" xfId="0" applyFont="1" applyBorder="1" applyAlignment="1">
      <alignment horizontal="centerContinuous"/>
    </xf>
    <xf numFmtId="0" fontId="61" fillId="0" borderId="0" xfId="187" applyFont="1" applyAlignment="1"/>
    <xf numFmtId="0" fontId="73" fillId="0" borderId="0" xfId="187" applyFont="1" applyFill="1"/>
    <xf numFmtId="175" fontId="54" fillId="0" borderId="0" xfId="79" applyNumberFormat="1" applyFont="1" applyFill="1" applyAlignment="1">
      <alignment horizontal="right"/>
    </xf>
    <xf numFmtId="175" fontId="54" fillId="14" borderId="0" xfId="79" applyNumberFormat="1" applyFont="1" applyFill="1" applyAlignment="1"/>
    <xf numFmtId="175" fontId="54" fillId="16" borderId="0" xfId="79" applyNumberFormat="1" applyFont="1" applyFill="1" applyAlignment="1"/>
    <xf numFmtId="175" fontId="54" fillId="0" borderId="3" xfId="79" applyNumberFormat="1" applyFont="1" applyFill="1" applyBorder="1" applyAlignment="1"/>
    <xf numFmtId="0" fontId="61" fillId="0" borderId="0" xfId="187" applyFont="1" applyFill="1"/>
    <xf numFmtId="175" fontId="54" fillId="16" borderId="0" xfId="79" applyNumberFormat="1" applyFont="1" applyFill="1" applyBorder="1" applyAlignment="1"/>
    <xf numFmtId="175" fontId="54" fillId="0" borderId="0" xfId="79" applyNumberFormat="1" applyFont="1" applyFill="1" applyBorder="1" applyAlignment="1"/>
    <xf numFmtId="0" fontId="44" fillId="0" borderId="0" xfId="187" applyFont="1"/>
    <xf numFmtId="175" fontId="54" fillId="0" borderId="0" xfId="187" applyNumberFormat="1" applyFont="1" applyFill="1"/>
    <xf numFmtId="0" fontId="85" fillId="0" borderId="0" xfId="187" applyFont="1"/>
    <xf numFmtId="0" fontId="54" fillId="0" borderId="0" xfId="187" applyFont="1" applyFill="1" applyAlignment="1">
      <alignment horizontal="center" vertical="top"/>
    </xf>
    <xf numFmtId="175" fontId="54" fillId="0" borderId="0" xfId="79" applyNumberFormat="1" applyFont="1" applyFill="1" applyAlignment="1"/>
    <xf numFmtId="175" fontId="44" fillId="0" borderId="0" xfId="79" applyNumberFormat="1" applyFont="1" applyAlignment="1"/>
    <xf numFmtId="175" fontId="54" fillId="0" borderId="0" xfId="79" applyNumberFormat="1" applyFont="1" applyBorder="1" applyAlignment="1"/>
    <xf numFmtId="175" fontId="54" fillId="0" borderId="0" xfId="187" applyNumberFormat="1" applyFont="1"/>
    <xf numFmtId="175" fontId="54" fillId="0" borderId="1" xfId="79" applyNumberFormat="1" applyFont="1" applyFill="1" applyBorder="1" applyAlignment="1">
      <alignment horizontal="center"/>
    </xf>
    <xf numFmtId="175" fontId="54" fillId="0" borderId="3" xfId="187" applyNumberFormat="1" applyFont="1" applyBorder="1"/>
    <xf numFmtId="0" fontId="61" fillId="0" borderId="0" xfId="187" applyFont="1"/>
    <xf numFmtId="170" fontId="54" fillId="16" borderId="33" xfId="0" applyNumberFormat="1" applyFont="1" applyFill="1" applyBorder="1" applyAlignment="1" applyProtection="1">
      <alignment horizontal="center"/>
      <protection locked="0"/>
    </xf>
    <xf numFmtId="171" fontId="54" fillId="0" borderId="0" xfId="265" applyNumberFormat="1" applyFont="1" applyFill="1" applyAlignment="1">
      <alignment horizontal="right"/>
    </xf>
    <xf numFmtId="171" fontId="54" fillId="0" borderId="8" xfId="265" applyNumberFormat="1" applyFont="1" applyFill="1" applyBorder="1" applyAlignment="1">
      <alignment horizontal="right"/>
    </xf>
    <xf numFmtId="0" fontId="54" fillId="16" borderId="0" xfId="0" applyNumberFormat="1" applyFont="1" applyFill="1" applyAlignment="1" applyProtection="1">
      <alignment horizontal="center"/>
      <protection locked="0"/>
    </xf>
    <xf numFmtId="175" fontId="54" fillId="0" borderId="0" xfId="86" applyNumberFormat="1" applyFont="1" applyFill="1" applyBorder="1" applyAlignment="1">
      <alignment horizontal="right"/>
    </xf>
    <xf numFmtId="175" fontId="54" fillId="16" borderId="0" xfId="59" applyNumberFormat="1" applyFont="1" applyFill="1" applyBorder="1" applyAlignment="1"/>
    <xf numFmtId="10" fontId="54" fillId="0" borderId="0" xfId="187" applyNumberFormat="1" applyFont="1" applyFill="1"/>
    <xf numFmtId="10" fontId="54" fillId="16" borderId="0" xfId="187" applyNumberFormat="1" applyFont="1" applyFill="1"/>
    <xf numFmtId="174" fontId="61" fillId="0" borderId="0" xfId="201" applyFont="1" applyFill="1" applyAlignment="1">
      <alignment horizontal="center" wrapText="1"/>
    </xf>
    <xf numFmtId="0" fontId="61" fillId="0" borderId="0" xfId="185" applyFont="1" applyFill="1" applyAlignment="1">
      <alignment horizontal="center"/>
    </xf>
    <xf numFmtId="174" fontId="61" fillId="0" borderId="1" xfId="201" applyFont="1" applyFill="1" applyBorder="1" applyAlignment="1">
      <alignment horizontal="center" wrapText="1"/>
    </xf>
    <xf numFmtId="0" fontId="54" fillId="0" borderId="0" xfId="365" applyFont="1" applyAlignment="1">
      <alignment horizontal="left"/>
    </xf>
    <xf numFmtId="0" fontId="61" fillId="0" borderId="0" xfId="206" applyFont="1" applyFill="1" applyBorder="1" applyAlignment="1">
      <alignment horizontal="center" wrapText="1"/>
    </xf>
    <xf numFmtId="0" fontId="54" fillId="0" borderId="0" xfId="0" applyNumberFormat="1" applyFont="1" applyAlignment="1">
      <alignment horizontal="center" wrapText="1"/>
    </xf>
    <xf numFmtId="174" fontId="54" fillId="0" borderId="0" xfId="0" applyFont="1" applyAlignment="1">
      <alignment vertical="top"/>
    </xf>
    <xf numFmtId="174" fontId="54" fillId="0" borderId="0" xfId="0" applyFont="1" applyFill="1" applyAlignment="1">
      <alignment vertical="top"/>
    </xf>
    <xf numFmtId="10" fontId="54" fillId="0" borderId="0" xfId="265" applyNumberFormat="1" applyFont="1" applyFill="1" applyBorder="1"/>
    <xf numFmtId="0" fontId="54" fillId="0" borderId="1" xfId="187" applyFont="1" applyBorder="1" applyAlignment="1">
      <alignment horizontal="center" wrapText="1"/>
    </xf>
    <xf numFmtId="174" fontId="54" fillId="0" borderId="0" xfId="0" applyFont="1" applyFill="1" applyAlignment="1">
      <alignment vertical="top" wrapText="1"/>
    </xf>
    <xf numFmtId="0" fontId="54" fillId="0" borderId="0" xfId="188" applyNumberFormat="1" applyFont="1" applyFill="1" applyAlignment="1">
      <alignment vertical="top" wrapText="1"/>
    </xf>
    <xf numFmtId="10" fontId="54" fillId="14" borderId="0" xfId="265" applyNumberFormat="1" applyFont="1" applyFill="1" applyAlignment="1"/>
    <xf numFmtId="174" fontId="44" fillId="0" borderId="0" xfId="0" applyFont="1" applyAlignment="1">
      <alignment vertical="top" wrapText="1"/>
    </xf>
    <xf numFmtId="0" fontId="54" fillId="0" borderId="0" xfId="187" applyFont="1" applyFill="1" applyBorder="1" applyAlignment="1">
      <alignment horizontal="center" vertical="top"/>
    </xf>
    <xf numFmtId="174" fontId="54" fillId="0" borderId="0" xfId="201" applyFont="1" applyFill="1" applyAlignment="1">
      <alignment wrapText="1"/>
    </xf>
    <xf numFmtId="0" fontId="54" fillId="0" borderId="0" xfId="210" applyNumberFormat="1" applyFont="1" applyFill="1" applyAlignment="1" applyProtection="1">
      <alignment horizontal="center" vertical="top" wrapText="1"/>
      <protection locked="0"/>
    </xf>
    <xf numFmtId="0" fontId="54" fillId="0" borderId="0" xfId="188" applyFont="1" applyFill="1" applyAlignment="1">
      <alignment horizontal="center" vertical="top" wrapText="1"/>
    </xf>
    <xf numFmtId="0" fontId="54" fillId="0" borderId="0" xfId="210" applyNumberFormat="1" applyFont="1" applyFill="1" applyBorder="1" applyAlignment="1" applyProtection="1">
      <alignment horizontal="center" vertical="top" wrapText="1"/>
      <protection locked="0"/>
    </xf>
    <xf numFmtId="174" fontId="54" fillId="0" borderId="0" xfId="210" applyFont="1" applyFill="1" applyAlignment="1">
      <alignment horizontal="center" vertical="top" wrapText="1"/>
    </xf>
    <xf numFmtId="174" fontId="54" fillId="0" borderId="0" xfId="0" applyFont="1" applyAlignment="1">
      <alignment horizontal="center"/>
    </xf>
    <xf numFmtId="0" fontId="54" fillId="0" borderId="0" xfId="59" applyNumberFormat="1" applyFont="1" applyAlignment="1">
      <alignment horizontal="center" vertical="top"/>
    </xf>
    <xf numFmtId="43" fontId="54" fillId="0" borderId="0" xfId="59" applyFont="1" applyAlignment="1">
      <alignment horizontal="left"/>
    </xf>
    <xf numFmtId="43" fontId="54" fillId="0" borderId="10" xfId="59" applyFont="1" applyFill="1" applyBorder="1" applyAlignment="1">
      <alignment horizontal="center"/>
    </xf>
    <xf numFmtId="43" fontId="54" fillId="0" borderId="0" xfId="59" applyFont="1" applyFill="1" applyProtection="1">
      <protection locked="0"/>
    </xf>
    <xf numFmtId="43" fontId="61" fillId="0" borderId="0" xfId="59" applyFont="1" applyFill="1" applyProtection="1">
      <protection locked="0"/>
    </xf>
    <xf numFmtId="43" fontId="54" fillId="0" borderId="1" xfId="59" applyFont="1" applyFill="1" applyBorder="1" applyProtection="1">
      <protection locked="0"/>
    </xf>
    <xf numFmtId="174" fontId="54" fillId="0" borderId="0" xfId="0" applyFont="1" applyAlignment="1">
      <alignment horizontal="center" vertical="top"/>
    </xf>
    <xf numFmtId="174" fontId="44" fillId="0" borderId="0" xfId="0" applyFont="1" applyFill="1" applyAlignment="1">
      <alignment vertical="top"/>
    </xf>
    <xf numFmtId="43" fontId="54" fillId="16" borderId="0" xfId="59" applyFont="1" applyFill="1"/>
    <xf numFmtId="43" fontId="54" fillId="0" borderId="3" xfId="59" applyFont="1" applyFill="1" applyBorder="1"/>
    <xf numFmtId="0" fontId="54" fillId="0" borderId="0" xfId="59" applyNumberFormat="1" applyFont="1" applyFill="1"/>
    <xf numFmtId="0" fontId="54" fillId="0" borderId="0" xfId="59" applyNumberFormat="1" applyFont="1" applyFill="1" applyAlignment="1">
      <alignment horizontal="right"/>
    </xf>
    <xf numFmtId="43" fontId="54" fillId="0" borderId="0" xfId="59" applyFont="1" applyFill="1" applyBorder="1"/>
    <xf numFmtId="43" fontId="54" fillId="0" borderId="1" xfId="59" applyFont="1" applyFill="1" applyBorder="1"/>
    <xf numFmtId="175" fontId="54" fillId="0" borderId="1" xfId="59" applyNumberFormat="1" applyFont="1" applyFill="1" applyBorder="1"/>
    <xf numFmtId="175" fontId="0" fillId="0" borderId="0" xfId="59" applyNumberFormat="1" applyFont="1" applyAlignment="1"/>
    <xf numFmtId="175" fontId="61" fillId="0" borderId="0" xfId="59" applyNumberFormat="1" applyFont="1" applyFill="1" applyBorder="1"/>
    <xf numFmtId="175" fontId="54" fillId="0" borderId="1" xfId="59" applyNumberFormat="1" applyFont="1" applyBorder="1" applyAlignment="1">
      <alignment horizontal="center" wrapText="1"/>
    </xf>
    <xf numFmtId="175" fontId="61" fillId="0" borderId="0" xfId="59" applyNumberFormat="1" applyFont="1" applyBorder="1" applyAlignment="1">
      <alignment horizontal="center"/>
    </xf>
    <xf numFmtId="0" fontId="54" fillId="14" borderId="0" xfId="59" applyNumberFormat="1" applyFont="1" applyFill="1" applyBorder="1" applyAlignment="1">
      <alignment horizontal="center"/>
    </xf>
    <xf numFmtId="41" fontId="54" fillId="16" borderId="0" xfId="211" applyNumberFormat="1" applyFont="1" applyFill="1"/>
    <xf numFmtId="10" fontId="54" fillId="16" borderId="0" xfId="59" applyNumberFormat="1" applyFont="1" applyFill="1" applyAlignment="1"/>
    <xf numFmtId="175" fontId="54" fillId="16" borderId="0" xfId="86" applyNumberFormat="1" applyFont="1" applyFill="1" applyBorder="1" applyAlignment="1">
      <alignment horizontal="right"/>
    </xf>
    <xf numFmtId="175" fontId="54" fillId="14" borderId="0" xfId="59" applyNumberFormat="1" applyFont="1" applyFill="1" applyBorder="1"/>
    <xf numFmtId="175" fontId="54" fillId="16" borderId="0" xfId="59" applyNumberFormat="1" applyFont="1" applyFill="1" applyAlignment="1" applyProtection="1">
      <protection locked="0"/>
    </xf>
    <xf numFmtId="175" fontId="54" fillId="16" borderId="8" xfId="59" applyNumberFormat="1" applyFont="1" applyFill="1" applyBorder="1" applyAlignment="1"/>
    <xf numFmtId="0" fontId="54" fillId="0" borderId="0" xfId="210" applyNumberFormat="1" applyFont="1" applyFill="1" applyAlignment="1" applyProtection="1">
      <alignment vertical="top" wrapText="1"/>
      <protection locked="0"/>
    </xf>
    <xf numFmtId="0" fontId="54" fillId="0" borderId="0" xfId="210" applyNumberFormat="1" applyFont="1" applyFill="1" applyAlignment="1" applyProtection="1">
      <alignment horizontal="center" vertical="top" wrapText="1"/>
      <protection locked="0"/>
    </xf>
    <xf numFmtId="174" fontId="54" fillId="0" borderId="0" xfId="0" applyFont="1" applyFill="1" applyAlignment="1">
      <alignment vertical="top" wrapText="1"/>
    </xf>
    <xf numFmtId="174" fontId="54" fillId="0" borderId="0" xfId="210" applyFont="1" applyAlignment="1">
      <alignment horizontal="center"/>
    </xf>
    <xf numFmtId="49" fontId="54" fillId="0" borderId="0" xfId="210" applyNumberFormat="1" applyFont="1" applyAlignment="1" applyProtection="1">
      <alignment horizontal="center"/>
      <protection locked="0"/>
    </xf>
    <xf numFmtId="0" fontId="92" fillId="0" borderId="0" xfId="210" applyNumberFormat="1" applyFont="1" applyFill="1" applyAlignment="1" applyProtection="1">
      <alignment vertical="top" wrapText="1"/>
      <protection locked="0"/>
    </xf>
    <xf numFmtId="174" fontId="54" fillId="0" borderId="0" xfId="0" applyFont="1" applyFill="1" applyAlignment="1">
      <alignment horizontal="left" vertical="top" wrapText="1"/>
    </xf>
    <xf numFmtId="0" fontId="54" fillId="0" borderId="0" xfId="210" quotePrefix="1" applyNumberFormat="1" applyFont="1" applyFill="1" applyAlignment="1">
      <alignment vertical="top" wrapText="1"/>
    </xf>
    <xf numFmtId="0" fontId="54" fillId="0" borderId="0" xfId="210" applyNumberFormat="1" applyFont="1" applyFill="1" applyAlignment="1">
      <alignment vertical="top" wrapText="1"/>
    </xf>
    <xf numFmtId="0" fontId="54" fillId="0" borderId="0" xfId="206" applyFont="1" applyFill="1" applyAlignment="1">
      <alignment vertical="top" wrapText="1"/>
    </xf>
    <xf numFmtId="174" fontId="54" fillId="0" borderId="0" xfId="201" applyFont="1" applyFill="1" applyBorder="1" applyAlignment="1">
      <alignment horizontal="left" vertical="top" wrapText="1"/>
    </xf>
    <xf numFmtId="174" fontId="54" fillId="0" borderId="0" xfId="0" applyFont="1" applyFill="1" applyAlignment="1">
      <alignment horizontal="left" wrapText="1"/>
    </xf>
    <xf numFmtId="49" fontId="54" fillId="0" borderId="0" xfId="201" applyNumberFormat="1" applyFont="1" applyFill="1" applyBorder="1" applyAlignment="1">
      <alignment horizontal="left" vertical="top" wrapText="1"/>
    </xf>
    <xf numFmtId="0" fontId="54" fillId="0" borderId="0" xfId="187" applyFont="1" applyFill="1" applyBorder="1" applyAlignment="1">
      <alignment horizontal="left" wrapText="1"/>
    </xf>
    <xf numFmtId="0" fontId="44" fillId="0" borderId="0" xfId="210" applyNumberFormat="1" applyFont="1" applyFill="1" applyAlignment="1">
      <alignment horizontal="center"/>
    </xf>
    <xf numFmtId="174" fontId="54" fillId="0" borderId="0" xfId="0" applyNumberFormat="1" applyFont="1" applyFill="1" applyBorder="1" applyAlignment="1" applyProtection="1">
      <alignment horizontal="left" vertical="top" wrapText="1"/>
    </xf>
    <xf numFmtId="174" fontId="54" fillId="0" borderId="22" xfId="0" applyFont="1" applyBorder="1" applyAlignment="1">
      <alignment horizontal="center" wrapText="1"/>
    </xf>
    <xf numFmtId="174" fontId="54" fillId="0" borderId="15" xfId="0" applyFont="1" applyBorder="1" applyAlignment="1">
      <alignment horizontal="center" wrapText="1"/>
    </xf>
    <xf numFmtId="174" fontId="54" fillId="0" borderId="17" xfId="0" applyFont="1" applyBorder="1" applyAlignment="1">
      <alignment horizontal="center"/>
    </xf>
    <xf numFmtId="174" fontId="54" fillId="0" borderId="1" xfId="0" applyFont="1" applyBorder="1" applyAlignment="1">
      <alignment horizontal="center"/>
    </xf>
    <xf numFmtId="174" fontId="54" fillId="0" borderId="21" xfId="0" applyFont="1" applyBorder="1" applyAlignment="1">
      <alignment horizontal="center"/>
    </xf>
    <xf numFmtId="174" fontId="54" fillId="0" borderId="19" xfId="0" applyFont="1" applyFill="1" applyBorder="1" applyAlignment="1">
      <alignment horizontal="center"/>
    </xf>
    <xf numFmtId="174" fontId="54" fillId="0" borderId="20" xfId="0" applyFont="1" applyFill="1" applyBorder="1" applyAlignment="1">
      <alignment horizontal="center"/>
    </xf>
    <xf numFmtId="0" fontId="54" fillId="0" borderId="0" xfId="201" applyNumberFormat="1" applyFont="1" applyFill="1" applyBorder="1" applyAlignment="1" applyProtection="1">
      <alignment horizontal="center"/>
      <protection locked="0"/>
    </xf>
    <xf numFmtId="0" fontId="54" fillId="0" borderId="0" xfId="211" applyFont="1" applyAlignment="1">
      <alignment horizontal="center"/>
    </xf>
    <xf numFmtId="0" fontId="54" fillId="0" borderId="0" xfId="210" applyNumberFormat="1" applyFont="1" applyFill="1" applyAlignment="1">
      <alignment horizontal="center"/>
    </xf>
    <xf numFmtId="0" fontId="54" fillId="0" borderId="0" xfId="188" applyNumberFormat="1" applyFont="1" applyFill="1" applyAlignment="1">
      <alignment horizontal="left" vertical="top" wrapText="1"/>
    </xf>
    <xf numFmtId="174" fontId="54" fillId="0" borderId="0" xfId="0" applyFont="1" applyAlignment="1">
      <alignment horizontal="left" vertical="top" wrapText="1"/>
    </xf>
    <xf numFmtId="174" fontId="61" fillId="0" borderId="0" xfId="0" applyFont="1" applyAlignment="1">
      <alignment horizontal="center"/>
    </xf>
    <xf numFmtId="0" fontId="61" fillId="0" borderId="0" xfId="211" applyFont="1" applyAlignment="1">
      <alignment horizontal="center"/>
    </xf>
    <xf numFmtId="0" fontId="61" fillId="0" borderId="0" xfId="211" applyFont="1" applyAlignment="1">
      <alignment horizontal="center" wrapText="1"/>
    </xf>
    <xf numFmtId="174" fontId="54" fillId="0" borderId="0" xfId="0" applyFont="1" applyFill="1" applyAlignment="1">
      <alignment horizontal="left" vertical="top"/>
    </xf>
    <xf numFmtId="174" fontId="54" fillId="0" borderId="0" xfId="0" applyFont="1" applyAlignment="1">
      <alignment horizontal="center"/>
    </xf>
    <xf numFmtId="174" fontId="54" fillId="0" borderId="0" xfId="201" quotePrefix="1" applyFont="1" applyBorder="1" applyAlignment="1">
      <alignment horizontal="left" wrapText="1"/>
    </xf>
    <xf numFmtId="174" fontId="54" fillId="0" borderId="0" xfId="201" applyFont="1" applyFill="1" applyAlignment="1">
      <alignment horizontal="left" wrapText="1"/>
    </xf>
    <xf numFmtId="174" fontId="54" fillId="0" borderId="0" xfId="201" applyFont="1" applyAlignment="1">
      <alignment horizontal="center"/>
    </xf>
    <xf numFmtId="0" fontId="54" fillId="0" borderId="0" xfId="187" applyFont="1" applyFill="1" applyAlignment="1">
      <alignment horizontal="left" vertical="top" wrapText="1"/>
    </xf>
    <xf numFmtId="0" fontId="54" fillId="0" borderId="0" xfId="187" applyFont="1" applyFill="1" applyAlignment="1">
      <alignment horizontal="center"/>
    </xf>
    <xf numFmtId="0" fontId="54" fillId="0" borderId="0" xfId="187" applyFont="1" applyFill="1" applyAlignment="1">
      <alignment horizontal="left" wrapText="1"/>
    </xf>
    <xf numFmtId="0" fontId="85" fillId="0" borderId="0" xfId="187" applyFont="1" applyFill="1" applyBorder="1" applyAlignment="1">
      <alignment horizontal="center"/>
    </xf>
    <xf numFmtId="0" fontId="54" fillId="0" borderId="0" xfId="187" applyFont="1" applyFill="1" applyBorder="1" applyAlignment="1">
      <alignment horizontal="left"/>
    </xf>
    <xf numFmtId="2" fontId="54" fillId="0" borderId="0" xfId="0" applyNumberFormat="1" applyFont="1" applyAlignment="1">
      <alignment horizontal="left" vertical="top" wrapText="1"/>
    </xf>
    <xf numFmtId="0" fontId="61" fillId="0" borderId="0" xfId="365" applyFont="1" applyAlignment="1">
      <alignment horizontal="center"/>
    </xf>
    <xf numFmtId="0" fontId="54" fillId="0" borderId="0" xfId="0" applyNumberFormat="1" applyFont="1" applyAlignment="1">
      <alignment horizontal="center"/>
    </xf>
    <xf numFmtId="10" fontId="54" fillId="0" borderId="0" xfId="265" applyNumberFormat="1" applyFont="1" applyFill="1" applyAlignment="1">
      <alignment horizontal="center"/>
    </xf>
    <xf numFmtId="174" fontId="44" fillId="0" borderId="0" xfId="0" applyFont="1" applyAlignment="1">
      <alignment horizontal="left" vertical="top" wrapText="1"/>
    </xf>
  </cellXfs>
  <cellStyles count="1061">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3" xfId="814"/>
    <cellStyle name="Comma 3 2 2 2 3 2" xfId="1030"/>
    <cellStyle name="Comma 3 2 2 2 4" xfId="886"/>
    <cellStyle name="Comma 3 2 2 3" xfId="627"/>
    <cellStyle name="Comma 3 2 2 3 2" xfId="736"/>
    <cellStyle name="Comma 3 2 2 3 2 2" xfId="964"/>
    <cellStyle name="Comma 3 2 2 3 3" xfId="820"/>
    <cellStyle name="Comma 3 2 2 3 3 2" xfId="1036"/>
    <cellStyle name="Comma 3 2 2 3 4" xfId="892"/>
    <cellStyle name="Comma 3 2 2 4" xfId="665"/>
    <cellStyle name="Comma 3 2 2 4 2" xfId="767"/>
    <cellStyle name="Comma 3 2 2 4 2 2" xfId="983"/>
    <cellStyle name="Comma 3 2 2 4 3" xfId="839"/>
    <cellStyle name="Comma 3 2 2 4 3 2" xfId="1055"/>
    <cellStyle name="Comma 3 2 2 4 4" xfId="911"/>
    <cellStyle name="Comma 3 2 2 5" xfId="729"/>
    <cellStyle name="Comma 3 2 2 5 2" xfId="957"/>
    <cellStyle name="Comma 3 2 2 6" xfId="813"/>
    <cellStyle name="Comma 3 2 2 6 2" xfId="1029"/>
    <cellStyle name="Comma 3 2 2 7" xfId="885"/>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3" xfId="815"/>
    <cellStyle name="Comma 4 3 2 3 2" xfId="1031"/>
    <cellStyle name="Comma 4 3 2 4" xfId="887"/>
    <cellStyle name="Comma 4 3 3" xfId="628"/>
    <cellStyle name="Comma 4 3 3 2" xfId="737"/>
    <cellStyle name="Comma 4 3 3 2 2" xfId="965"/>
    <cellStyle name="Comma 4 3 3 3" xfId="821"/>
    <cellStyle name="Comma 4 3 3 3 2" xfId="1037"/>
    <cellStyle name="Comma 4 3 3 4" xfId="893"/>
    <cellStyle name="Comma 4 3 4" xfId="668"/>
    <cellStyle name="Comma 4 3 4 2" xfId="768"/>
    <cellStyle name="Comma 4 3 4 2 2" xfId="984"/>
    <cellStyle name="Comma 4 3 4 3" xfId="840"/>
    <cellStyle name="Comma 4 3 4 3 2" xfId="1056"/>
    <cellStyle name="Comma 4 3 4 4" xfId="912"/>
    <cellStyle name="Comma 4 3 5" xfId="728"/>
    <cellStyle name="Comma 4 3 5 2" xfId="956"/>
    <cellStyle name="Comma 4 3 6" xfId="812"/>
    <cellStyle name="Comma 4 3 6 2" xfId="1028"/>
    <cellStyle name="Comma 4 3 7" xfId="884"/>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2" xfId="367"/>
    <cellStyle name="Normal 10 2 2" xfId="702"/>
    <cellStyle name="Normal 10 2 2 2" xfId="930"/>
    <cellStyle name="Normal 10 2 3" xfId="786"/>
    <cellStyle name="Normal 10 2 3 2" xfId="1002"/>
    <cellStyle name="Normal 10 2 4" xfId="858"/>
    <cellStyle name="Normal 10 3" xfId="399"/>
    <cellStyle name="Normal 10 3 2" xfId="715"/>
    <cellStyle name="Normal 10 3 2 2" xfId="943"/>
    <cellStyle name="Normal 10 3 3" xfId="799"/>
    <cellStyle name="Normal 10 3 3 2" xfId="1015"/>
    <cellStyle name="Normal 10 3 4" xfId="871"/>
    <cellStyle name="Normal 10 4" xfId="615"/>
    <cellStyle name="Normal 10 4 2" xfId="732"/>
    <cellStyle name="Normal 10 4 2 2" xfId="960"/>
    <cellStyle name="Normal 10 4 3" xfId="816"/>
    <cellStyle name="Normal 10 4 3 2" xfId="1032"/>
    <cellStyle name="Normal 10 4 4" xfId="888"/>
    <cellStyle name="Normal 10 5" xfId="630"/>
    <cellStyle name="Normal 10 5 2" xfId="738"/>
    <cellStyle name="Normal 10 5 2 2" xfId="966"/>
    <cellStyle name="Normal 10 5 3" xfId="822"/>
    <cellStyle name="Normal 10 5 3 2" xfId="1038"/>
    <cellStyle name="Normal 10 5 4" xfId="894"/>
    <cellStyle name="Normal 10 6" xfId="649"/>
    <cellStyle name="Normal 10 6 2" xfId="754"/>
    <cellStyle name="Normal 10 6 2 2" xfId="970"/>
    <cellStyle name="Normal 10 6 3" xfId="826"/>
    <cellStyle name="Normal 10 6 3 2" xfId="1042"/>
    <cellStyle name="Normal 10 6 4" xfId="898"/>
    <cellStyle name="Normal 10 7" xfId="674"/>
    <cellStyle name="Normal 10 7 2" xfId="769"/>
    <cellStyle name="Normal 10 7 2 2" xfId="985"/>
    <cellStyle name="Normal 10 7 3" xfId="841"/>
    <cellStyle name="Normal 10 7 3 2" xfId="1057"/>
    <cellStyle name="Normal 10 7 4" xfId="913"/>
    <cellStyle name="Normal 10 8" xfId="688"/>
    <cellStyle name="Normal 10 8 2" xfId="917"/>
    <cellStyle name="Normal 10 9" xfId="773"/>
    <cellStyle name="Normal 10 9 2" xfId="989"/>
    <cellStyle name="Normal 11" xfId="183"/>
    <cellStyle name="Normal 11 2" xfId="616"/>
    <cellStyle name="Normal 11 2 2" xfId="733"/>
    <cellStyle name="Normal 11 2 2 2" xfId="961"/>
    <cellStyle name="Normal 11 2 3" xfId="817"/>
    <cellStyle name="Normal 11 2 3 2" xfId="1033"/>
    <cellStyle name="Normal 11 2 4" xfId="889"/>
    <cellStyle name="Normal 11 3" xfId="631"/>
    <cellStyle name="Normal 11 3 2" xfId="739"/>
    <cellStyle name="Normal 11 3 2 2" xfId="967"/>
    <cellStyle name="Normal 11 3 3" xfId="823"/>
    <cellStyle name="Normal 11 3 3 2" xfId="1039"/>
    <cellStyle name="Normal 11 3 4" xfId="895"/>
    <cellStyle name="Normal 11 4" xfId="675"/>
    <cellStyle name="Normal 11 4 2" xfId="770"/>
    <cellStyle name="Normal 11 4 2 2" xfId="986"/>
    <cellStyle name="Normal 11 4 3" xfId="842"/>
    <cellStyle name="Normal 11 4 3 2" xfId="1058"/>
    <cellStyle name="Normal 11 4 4" xfId="914"/>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3" xfId="818"/>
    <cellStyle name="Normal 2 2 3 3 2" xfId="1034"/>
    <cellStyle name="Normal 2 2 3 4" xfId="890"/>
    <cellStyle name="Normal 2 2 4" xfId="632"/>
    <cellStyle name="Normal 2 2 4 2" xfId="740"/>
    <cellStyle name="Normal 2 2 4 2 2" xfId="968"/>
    <cellStyle name="Normal 2 2 4 3" xfId="824"/>
    <cellStyle name="Normal 2 2 4 3 2" xfId="1040"/>
    <cellStyle name="Normal 2 2 4 4" xfId="896"/>
    <cellStyle name="Normal 2 2 5" xfId="676"/>
    <cellStyle name="Normal 2 2 5 2" xfId="771"/>
    <cellStyle name="Normal 2 2 5 2 2" xfId="987"/>
    <cellStyle name="Normal 2 2 5 3" xfId="843"/>
    <cellStyle name="Normal 2 2 5 3 2" xfId="1059"/>
    <cellStyle name="Normal 2 2 5 4" xfId="915"/>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1" xfId="846"/>
    <cellStyle name="Normal 6 2" xfId="194"/>
    <cellStyle name="Normal 6 2 2" xfId="195"/>
    <cellStyle name="Normal 6 2 2 2" xfId="196"/>
    <cellStyle name="Normal 6 2 2 2 2" xfId="371"/>
    <cellStyle name="Normal 6 2 2 2 2 2" xfId="706"/>
    <cellStyle name="Normal 6 2 2 2 2 2 2" xfId="934"/>
    <cellStyle name="Normal 6 2 2 2 2 3" xfId="790"/>
    <cellStyle name="Normal 6 2 2 2 2 3 2" xfId="1006"/>
    <cellStyle name="Normal 6 2 2 2 2 4" xfId="862"/>
    <cellStyle name="Normal 6 2 2 2 3" xfId="413"/>
    <cellStyle name="Normal 6 2 2 2 3 2" xfId="719"/>
    <cellStyle name="Normal 6 2 2 2 3 2 2" xfId="947"/>
    <cellStyle name="Normal 6 2 2 2 3 3" xfId="803"/>
    <cellStyle name="Normal 6 2 2 2 3 3 2" xfId="1019"/>
    <cellStyle name="Normal 6 2 2 2 3 4" xfId="875"/>
    <cellStyle name="Normal 6 2 2 2 4" xfId="653"/>
    <cellStyle name="Normal 6 2 2 2 4 2" xfId="758"/>
    <cellStyle name="Normal 6 2 2 2 4 2 2" xfId="974"/>
    <cellStyle name="Normal 6 2 2 2 4 3" xfId="830"/>
    <cellStyle name="Normal 6 2 2 2 4 3 2" xfId="1046"/>
    <cellStyle name="Normal 6 2 2 2 4 4" xfId="902"/>
    <cellStyle name="Normal 6 2 2 2 5" xfId="692"/>
    <cellStyle name="Normal 6 2 2 2 5 2" xfId="921"/>
    <cellStyle name="Normal 6 2 2 2 6" xfId="777"/>
    <cellStyle name="Normal 6 2 2 2 6 2" xfId="993"/>
    <cellStyle name="Normal 6 2 2 2 7" xfId="849"/>
    <cellStyle name="Normal 6 2 2 3" xfId="370"/>
    <cellStyle name="Normal 6 2 2 3 2" xfId="705"/>
    <cellStyle name="Normal 6 2 2 3 2 2" xfId="933"/>
    <cellStyle name="Normal 6 2 2 3 3" xfId="789"/>
    <cellStyle name="Normal 6 2 2 3 3 2" xfId="1005"/>
    <cellStyle name="Normal 6 2 2 3 4" xfId="861"/>
    <cellStyle name="Normal 6 2 2 4" xfId="412"/>
    <cellStyle name="Normal 6 2 2 4 2" xfId="718"/>
    <cellStyle name="Normal 6 2 2 4 2 2" xfId="946"/>
    <cellStyle name="Normal 6 2 2 4 3" xfId="802"/>
    <cellStyle name="Normal 6 2 2 4 3 2" xfId="1018"/>
    <cellStyle name="Normal 6 2 2 4 4" xfId="874"/>
    <cellStyle name="Normal 6 2 2 5" xfId="652"/>
    <cellStyle name="Normal 6 2 2 5 2" xfId="757"/>
    <cellStyle name="Normal 6 2 2 5 2 2" xfId="973"/>
    <cellStyle name="Normal 6 2 2 5 3" xfId="829"/>
    <cellStyle name="Normal 6 2 2 5 3 2" xfId="1045"/>
    <cellStyle name="Normal 6 2 2 5 4" xfId="901"/>
    <cellStyle name="Normal 6 2 2 6" xfId="691"/>
    <cellStyle name="Normal 6 2 2 6 2" xfId="920"/>
    <cellStyle name="Normal 6 2 2 7" xfId="776"/>
    <cellStyle name="Normal 6 2 2 7 2" xfId="992"/>
    <cellStyle name="Normal 6 2 2 8" xfId="848"/>
    <cellStyle name="Normal 6 2 3" xfId="197"/>
    <cellStyle name="Normal 6 2 3 2" xfId="372"/>
    <cellStyle name="Normal 6 2 3 2 2" xfId="707"/>
    <cellStyle name="Normal 6 2 3 2 2 2" xfId="935"/>
    <cellStyle name="Normal 6 2 3 2 3" xfId="791"/>
    <cellStyle name="Normal 6 2 3 2 3 2" xfId="1007"/>
    <cellStyle name="Normal 6 2 3 2 4" xfId="863"/>
    <cellStyle name="Normal 6 2 3 3" xfId="414"/>
    <cellStyle name="Normal 6 2 3 3 2" xfId="720"/>
    <cellStyle name="Normal 6 2 3 3 2 2" xfId="948"/>
    <cellStyle name="Normal 6 2 3 3 3" xfId="804"/>
    <cellStyle name="Normal 6 2 3 3 3 2" xfId="1020"/>
    <cellStyle name="Normal 6 2 3 3 4" xfId="876"/>
    <cellStyle name="Normal 6 2 3 4" xfId="654"/>
    <cellStyle name="Normal 6 2 3 4 2" xfId="759"/>
    <cellStyle name="Normal 6 2 3 4 2 2" xfId="975"/>
    <cellStyle name="Normal 6 2 3 4 3" xfId="831"/>
    <cellStyle name="Normal 6 2 3 4 3 2" xfId="1047"/>
    <cellStyle name="Normal 6 2 3 4 4" xfId="903"/>
    <cellStyle name="Normal 6 2 3 5" xfId="693"/>
    <cellStyle name="Normal 6 2 3 5 2" xfId="922"/>
    <cellStyle name="Normal 6 2 3 6" xfId="778"/>
    <cellStyle name="Normal 6 2 3 6 2" xfId="994"/>
    <cellStyle name="Normal 6 2 3 7" xfId="850"/>
    <cellStyle name="Normal 6 2 4" xfId="369"/>
    <cellStyle name="Normal 6 2 4 2" xfId="704"/>
    <cellStyle name="Normal 6 2 4 2 2" xfId="932"/>
    <cellStyle name="Normal 6 2 4 3" xfId="788"/>
    <cellStyle name="Normal 6 2 4 3 2" xfId="1004"/>
    <cellStyle name="Normal 6 2 4 4" xfId="860"/>
    <cellStyle name="Normal 6 2 5" xfId="411"/>
    <cellStyle name="Normal 6 2 5 2" xfId="717"/>
    <cellStyle name="Normal 6 2 5 2 2" xfId="945"/>
    <cellStyle name="Normal 6 2 5 3" xfId="801"/>
    <cellStyle name="Normal 6 2 5 3 2" xfId="1017"/>
    <cellStyle name="Normal 6 2 5 4" xfId="873"/>
    <cellStyle name="Normal 6 2 6" xfId="651"/>
    <cellStyle name="Normal 6 2 6 2" xfId="756"/>
    <cellStyle name="Normal 6 2 6 2 2" xfId="972"/>
    <cellStyle name="Normal 6 2 6 3" xfId="828"/>
    <cellStyle name="Normal 6 2 6 3 2" xfId="1044"/>
    <cellStyle name="Normal 6 2 6 4" xfId="900"/>
    <cellStyle name="Normal 6 2 7" xfId="690"/>
    <cellStyle name="Normal 6 2 7 2" xfId="919"/>
    <cellStyle name="Normal 6 2 8" xfId="775"/>
    <cellStyle name="Normal 6 2 8 2" xfId="991"/>
    <cellStyle name="Normal 6 2 9" xfId="847"/>
    <cellStyle name="Normal 6 3" xfId="198"/>
    <cellStyle name="Normal 6 3 2" xfId="199"/>
    <cellStyle name="Normal 6 3 2 2" xfId="374"/>
    <cellStyle name="Normal 6 3 2 2 2" xfId="709"/>
    <cellStyle name="Normal 6 3 2 2 2 2" xfId="937"/>
    <cellStyle name="Normal 6 3 2 2 3" xfId="793"/>
    <cellStyle name="Normal 6 3 2 2 3 2" xfId="1009"/>
    <cellStyle name="Normal 6 3 2 2 4" xfId="865"/>
    <cellStyle name="Normal 6 3 2 3" xfId="416"/>
    <cellStyle name="Normal 6 3 2 3 2" xfId="722"/>
    <cellStyle name="Normal 6 3 2 3 2 2" xfId="950"/>
    <cellStyle name="Normal 6 3 2 3 3" xfId="806"/>
    <cellStyle name="Normal 6 3 2 3 3 2" xfId="1022"/>
    <cellStyle name="Normal 6 3 2 3 4" xfId="878"/>
    <cellStyle name="Normal 6 3 2 4" xfId="656"/>
    <cellStyle name="Normal 6 3 2 4 2" xfId="761"/>
    <cellStyle name="Normal 6 3 2 4 2 2" xfId="977"/>
    <cellStyle name="Normal 6 3 2 4 3" xfId="833"/>
    <cellStyle name="Normal 6 3 2 4 3 2" xfId="1049"/>
    <cellStyle name="Normal 6 3 2 4 4" xfId="905"/>
    <cellStyle name="Normal 6 3 2 5" xfId="695"/>
    <cellStyle name="Normal 6 3 2 5 2" xfId="924"/>
    <cellStyle name="Normal 6 3 2 6" xfId="780"/>
    <cellStyle name="Normal 6 3 2 6 2" xfId="996"/>
    <cellStyle name="Normal 6 3 2 7" xfId="852"/>
    <cellStyle name="Normal 6 3 3" xfId="373"/>
    <cellStyle name="Normal 6 3 3 2" xfId="708"/>
    <cellStyle name="Normal 6 3 3 2 2" xfId="936"/>
    <cellStyle name="Normal 6 3 3 3" xfId="792"/>
    <cellStyle name="Normal 6 3 3 3 2" xfId="1008"/>
    <cellStyle name="Normal 6 3 3 4" xfId="864"/>
    <cellStyle name="Normal 6 3 4" xfId="415"/>
    <cellStyle name="Normal 6 3 4 2" xfId="721"/>
    <cellStyle name="Normal 6 3 4 2 2" xfId="949"/>
    <cellStyle name="Normal 6 3 4 3" xfId="805"/>
    <cellStyle name="Normal 6 3 4 3 2" xfId="1021"/>
    <cellStyle name="Normal 6 3 4 4" xfId="877"/>
    <cellStyle name="Normal 6 3 5" xfId="655"/>
    <cellStyle name="Normal 6 3 5 2" xfId="760"/>
    <cellStyle name="Normal 6 3 5 2 2" xfId="976"/>
    <cellStyle name="Normal 6 3 5 3" xfId="832"/>
    <cellStyle name="Normal 6 3 5 3 2" xfId="1048"/>
    <cellStyle name="Normal 6 3 5 4" xfId="904"/>
    <cellStyle name="Normal 6 3 6" xfId="694"/>
    <cellStyle name="Normal 6 3 6 2" xfId="923"/>
    <cellStyle name="Normal 6 3 7" xfId="779"/>
    <cellStyle name="Normal 6 3 7 2" xfId="995"/>
    <cellStyle name="Normal 6 3 8" xfId="851"/>
    <cellStyle name="Normal 6 4" xfId="200"/>
    <cellStyle name="Normal 6 4 2" xfId="375"/>
    <cellStyle name="Normal 6 4 2 2" xfId="710"/>
    <cellStyle name="Normal 6 4 2 2 2" xfId="938"/>
    <cellStyle name="Normal 6 4 2 3" xfId="794"/>
    <cellStyle name="Normal 6 4 2 3 2" xfId="1010"/>
    <cellStyle name="Normal 6 4 2 4" xfId="866"/>
    <cellStyle name="Normal 6 4 3" xfId="417"/>
    <cellStyle name="Normal 6 4 3 2" xfId="723"/>
    <cellStyle name="Normal 6 4 3 2 2" xfId="951"/>
    <cellStyle name="Normal 6 4 3 3" xfId="807"/>
    <cellStyle name="Normal 6 4 3 3 2" xfId="1023"/>
    <cellStyle name="Normal 6 4 3 4" xfId="879"/>
    <cellStyle name="Normal 6 4 4" xfId="657"/>
    <cellStyle name="Normal 6 4 4 2" xfId="762"/>
    <cellStyle name="Normal 6 4 4 2 2" xfId="978"/>
    <cellStyle name="Normal 6 4 4 3" xfId="834"/>
    <cellStyle name="Normal 6 4 4 3 2" xfId="1050"/>
    <cellStyle name="Normal 6 4 4 4" xfId="906"/>
    <cellStyle name="Normal 6 4 5" xfId="696"/>
    <cellStyle name="Normal 6 4 5 2" xfId="925"/>
    <cellStyle name="Normal 6 4 6" xfId="781"/>
    <cellStyle name="Normal 6 4 6 2" xfId="997"/>
    <cellStyle name="Normal 6 4 7" xfId="853"/>
    <cellStyle name="Normal 6 5" xfId="368"/>
    <cellStyle name="Normal 6 5 2" xfId="703"/>
    <cellStyle name="Normal 6 5 2 2" xfId="931"/>
    <cellStyle name="Normal 6 5 3" xfId="787"/>
    <cellStyle name="Normal 6 5 3 2" xfId="1003"/>
    <cellStyle name="Normal 6 5 4" xfId="859"/>
    <cellStyle name="Normal 6 6" xfId="410"/>
    <cellStyle name="Normal 6 6 2" xfId="716"/>
    <cellStyle name="Normal 6 6 2 2" xfId="944"/>
    <cellStyle name="Normal 6 6 3" xfId="800"/>
    <cellStyle name="Normal 6 6 3 2" xfId="1016"/>
    <cellStyle name="Normal 6 6 4" xfId="872"/>
    <cellStyle name="Normal 6 7" xfId="622"/>
    <cellStyle name="Normal 6 8" xfId="650"/>
    <cellStyle name="Normal 6 8 2" xfId="755"/>
    <cellStyle name="Normal 6 8 2 2" xfId="971"/>
    <cellStyle name="Normal 6 8 3" xfId="827"/>
    <cellStyle name="Normal 6 8 3 2" xfId="1043"/>
    <cellStyle name="Normal 6 8 4" xfId="899"/>
    <cellStyle name="Normal 6 9" xfId="689"/>
    <cellStyle name="Normal 6 9 2" xfId="918"/>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3" xfId="835"/>
    <cellStyle name="Normal 8 13 3 2" xfId="1051"/>
    <cellStyle name="Normal 8 13 4" xfId="907"/>
    <cellStyle name="Normal 8 14" xfId="697"/>
    <cellStyle name="Normal 8 14 2" xfId="926"/>
    <cellStyle name="Normal 8 15" xfId="782"/>
    <cellStyle name="Normal 8 15 2" xfId="998"/>
    <cellStyle name="Normal 8 16" xfId="854"/>
    <cellStyle name="Normal 8 2" xfId="203"/>
    <cellStyle name="Normal 8 2 10" xfId="855"/>
    <cellStyle name="Normal 8 2 2" xfId="377"/>
    <cellStyle name="Normal 8 2 2 2" xfId="439"/>
    <cellStyle name="Normal 8 2 2 3" xfId="712"/>
    <cellStyle name="Normal 8 2 2 3 2" xfId="940"/>
    <cellStyle name="Normal 8 2 2 4" xfId="796"/>
    <cellStyle name="Normal 8 2 2 4 2" xfId="1012"/>
    <cellStyle name="Normal 8 2 2 5" xfId="868"/>
    <cellStyle name="Normal 8 2 3" xfId="420"/>
    <cellStyle name="Normal 8 2 3 2" xfId="438"/>
    <cellStyle name="Normal 8 2 3 3" xfId="725"/>
    <cellStyle name="Normal 8 2 3 3 2" xfId="953"/>
    <cellStyle name="Normal 8 2 3 4" xfId="809"/>
    <cellStyle name="Normal 8 2 3 4 2" xfId="1025"/>
    <cellStyle name="Normal 8 2 3 5" xfId="881"/>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3" xfId="836"/>
    <cellStyle name="Normal 8 2 7 3 2" xfId="1052"/>
    <cellStyle name="Normal 8 2 7 4" xfId="908"/>
    <cellStyle name="Normal 8 2 8" xfId="698"/>
    <cellStyle name="Normal 8 2 8 2" xfId="927"/>
    <cellStyle name="Normal 8 2 9" xfId="783"/>
    <cellStyle name="Normal 8 2 9 2" xfId="999"/>
    <cellStyle name="Normal 8 3" xfId="376"/>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8" xfId="795"/>
    <cellStyle name="Normal 8 3 8 2" xfId="1011"/>
    <cellStyle name="Normal 8 3 9" xfId="867"/>
    <cellStyle name="Normal 8 4" xfId="419"/>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8" xfId="808"/>
    <cellStyle name="Normal 8 4 8 2" xfId="1024"/>
    <cellStyle name="Normal 8 4 9" xfId="880"/>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1" xfId="856"/>
    <cellStyle name="Normal 9 2" xfId="205"/>
    <cellStyle name="Normal 9 2 2" xfId="379"/>
    <cellStyle name="Normal 9 2 2 2" xfId="714"/>
    <cellStyle name="Normal 9 2 2 2 2" xfId="942"/>
    <cellStyle name="Normal 9 2 2 3" xfId="798"/>
    <cellStyle name="Normal 9 2 2 3 2" xfId="1014"/>
    <cellStyle name="Normal 9 2 2 4" xfId="870"/>
    <cellStyle name="Normal 9 2 3" xfId="422"/>
    <cellStyle name="Normal 9 2 3 2" xfId="727"/>
    <cellStyle name="Normal 9 2 3 2 2" xfId="955"/>
    <cellStyle name="Normal 9 2 3 3" xfId="811"/>
    <cellStyle name="Normal 9 2 3 3 2" xfId="1027"/>
    <cellStyle name="Normal 9 2 3 4" xfId="883"/>
    <cellStyle name="Normal 9 2 4" xfId="661"/>
    <cellStyle name="Normal 9 2 4 2" xfId="766"/>
    <cellStyle name="Normal 9 2 4 2 2" xfId="982"/>
    <cellStyle name="Normal 9 2 4 3" xfId="838"/>
    <cellStyle name="Normal 9 2 4 3 2" xfId="1054"/>
    <cellStyle name="Normal 9 2 4 4" xfId="910"/>
    <cellStyle name="Normal 9 2 5" xfId="700"/>
    <cellStyle name="Normal 9 2 5 2" xfId="929"/>
    <cellStyle name="Normal 9 2 6" xfId="785"/>
    <cellStyle name="Normal 9 2 6 2" xfId="1001"/>
    <cellStyle name="Normal 9 2 7" xfId="857"/>
    <cellStyle name="Normal 9 3" xfId="378"/>
    <cellStyle name="Normal 9 3 2" xfId="713"/>
    <cellStyle name="Normal 9 3 2 2" xfId="941"/>
    <cellStyle name="Normal 9 3 3" xfId="797"/>
    <cellStyle name="Normal 9 3 3 2" xfId="1013"/>
    <cellStyle name="Normal 9 3 4" xfId="869"/>
    <cellStyle name="Normal 9 4" xfId="421"/>
    <cellStyle name="Normal 9 4 2" xfId="726"/>
    <cellStyle name="Normal 9 4 2 2" xfId="954"/>
    <cellStyle name="Normal 9 4 3" xfId="810"/>
    <cellStyle name="Normal 9 4 3 2" xfId="1026"/>
    <cellStyle name="Normal 9 4 4" xfId="882"/>
    <cellStyle name="Normal 9 5" xfId="624"/>
    <cellStyle name="Normal 9 5 2" xfId="735"/>
    <cellStyle name="Normal 9 5 2 2" xfId="963"/>
    <cellStyle name="Normal 9 5 3" xfId="819"/>
    <cellStyle name="Normal 9 5 3 2" xfId="1035"/>
    <cellStyle name="Normal 9 5 4" xfId="891"/>
    <cellStyle name="Normal 9 6" xfId="633"/>
    <cellStyle name="Normal 9 6 2" xfId="741"/>
    <cellStyle name="Normal 9 6 2 2" xfId="969"/>
    <cellStyle name="Normal 9 6 3" xfId="825"/>
    <cellStyle name="Normal 9 6 3 2" xfId="1041"/>
    <cellStyle name="Normal 9 6 4" xfId="897"/>
    <cellStyle name="Normal 9 7" xfId="660"/>
    <cellStyle name="Normal 9 7 2" xfId="765"/>
    <cellStyle name="Normal 9 7 2 2" xfId="981"/>
    <cellStyle name="Normal 9 7 3" xfId="837"/>
    <cellStyle name="Normal 9 7 3 2" xfId="1053"/>
    <cellStyle name="Normal 9 7 4" xfId="909"/>
    <cellStyle name="Normal 9 8" xfId="678"/>
    <cellStyle name="Normal 9 8 2" xfId="772"/>
    <cellStyle name="Normal 9 8 2 2" xfId="988"/>
    <cellStyle name="Normal 9 8 3" xfId="844"/>
    <cellStyle name="Normal 9 8 3 2" xfId="1060"/>
    <cellStyle name="Normal 9 8 4" xfId="916"/>
    <cellStyle name="Normal 9 9" xfId="699"/>
    <cellStyle name="Normal 9 9 2" xfId="92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373380</xdr:colOff>
          <xdr:row>4</xdr:row>
          <xdr:rowOff>7620</xdr:rowOff>
        </xdr:from>
        <xdr:to>
          <xdr:col>2</xdr:col>
          <xdr:colOff>1021080</xdr:colOff>
          <xdr:row>4</xdr:row>
          <xdr:rowOff>7620</xdr:rowOff>
        </xdr:to>
        <xdr:sp macro="" textlink="">
          <xdr:nvSpPr>
            <xdr:cNvPr id="98305" name="Object 1" hidden="1">
              <a:extLst>
                <a:ext uri="{63B3BB69-23CF-44E3-9099-C40C66FF867C}">
                  <a14:compatExt spid="_x0000_s9830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365760</xdr:colOff>
          <xdr:row>3</xdr:row>
          <xdr:rowOff>152400</xdr:rowOff>
        </xdr:from>
        <xdr:to>
          <xdr:col>2</xdr:col>
          <xdr:colOff>998220</xdr:colOff>
          <xdr:row>3</xdr:row>
          <xdr:rowOff>152400</xdr:rowOff>
        </xdr:to>
        <xdr:sp macro="" textlink="">
          <xdr:nvSpPr>
            <xdr:cNvPr id="96257" name="Object 1" hidden="1">
              <a:extLst>
                <a:ext uri="{63B3BB69-23CF-44E3-9099-C40C66FF867C}">
                  <a14:compatExt spid="_x0000_s9625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tabSelected="1" zoomScaleNormal="100" zoomScaleSheetLayoutView="100" workbookViewId="0">
      <selection activeCell="C2" sqref="C2"/>
    </sheetView>
  </sheetViews>
  <sheetFormatPr defaultColWidth="8.90625" defaultRowHeight="13.2"/>
  <cols>
    <col min="1" max="1" width="6.81640625" style="13" customWidth="1"/>
    <col min="2" max="2" width="43.54296875" style="13" customWidth="1"/>
    <col min="3" max="3" width="36.08984375" style="13" customWidth="1"/>
    <col min="4" max="4" width="16.36328125" style="13" customWidth="1"/>
    <col min="5" max="5" width="6.81640625" style="13" customWidth="1"/>
    <col min="6" max="6" width="7.36328125" style="13" customWidth="1"/>
    <col min="7" max="7" width="9.453125" style="13" customWidth="1"/>
    <col min="8" max="8" width="4.90625" style="13" customWidth="1"/>
    <col min="9" max="9" width="13.54296875" style="13" customWidth="1"/>
    <col min="10" max="10" width="2.6328125" style="13" customWidth="1"/>
    <col min="11" max="11" width="9.90625" style="13" customWidth="1"/>
    <col min="12" max="12" width="14.453125" style="13" bestFit="1" customWidth="1"/>
    <col min="13" max="13" width="14.6328125" style="13" bestFit="1" customWidth="1"/>
    <col min="14" max="16384" width="8.90625" style="13"/>
  </cols>
  <sheetData>
    <row r="1" spans="1:11">
      <c r="A1" s="105"/>
      <c r="B1" s="105"/>
      <c r="C1" s="105"/>
      <c r="D1" s="105"/>
      <c r="E1" s="105"/>
      <c r="F1" s="105"/>
      <c r="G1" s="105"/>
      <c r="H1" s="105"/>
      <c r="I1" s="105"/>
      <c r="J1" s="105"/>
      <c r="K1" s="106" t="s">
        <v>712</v>
      </c>
    </row>
    <row r="2" spans="1:11">
      <c r="A2" s="105"/>
      <c r="B2" s="105"/>
      <c r="C2" s="105"/>
      <c r="D2" s="105"/>
      <c r="E2" s="105"/>
      <c r="F2" s="105"/>
      <c r="G2" s="105"/>
      <c r="H2" s="105"/>
      <c r="I2" s="105"/>
      <c r="J2" s="105"/>
      <c r="K2" s="105"/>
    </row>
    <row r="3" spans="1:11">
      <c r="A3" s="33"/>
      <c r="B3" s="25" t="s">
        <v>1</v>
      </c>
      <c r="C3" s="207"/>
      <c r="D3" s="107" t="s">
        <v>816</v>
      </c>
      <c r="E3" s="25"/>
      <c r="F3" s="25"/>
      <c r="G3" s="108"/>
      <c r="H3" s="109"/>
      <c r="I3" s="110"/>
      <c r="J3" s="111"/>
      <c r="K3" s="18" t="s">
        <v>859</v>
      </c>
    </row>
    <row r="4" spans="1:11">
      <c r="A4" s="33"/>
      <c r="C4" s="26"/>
      <c r="D4" s="29" t="s">
        <v>101</v>
      </c>
      <c r="E4" s="26"/>
      <c r="F4" s="26"/>
      <c r="G4" s="26"/>
      <c r="H4" s="112"/>
      <c r="I4" s="112"/>
      <c r="J4" s="113"/>
      <c r="K4" s="113"/>
    </row>
    <row r="5" spans="1:11" ht="13.8">
      <c r="A5" s="33"/>
      <c r="B5" s="114"/>
      <c r="C5" s="121"/>
      <c r="D5" s="271" t="s">
        <v>412</v>
      </c>
      <c r="E5" s="121"/>
      <c r="F5" s="121"/>
      <c r="G5" s="121"/>
      <c r="H5" s="113"/>
      <c r="I5" s="113"/>
      <c r="J5" s="113"/>
      <c r="K5" s="113"/>
    </row>
    <row r="6" spans="1:11" ht="13.8">
      <c r="B6" s="114"/>
      <c r="J6" s="115"/>
      <c r="K6" s="115"/>
    </row>
    <row r="7" spans="1:11">
      <c r="A7" s="107"/>
      <c r="C7" s="113"/>
      <c r="D7" s="116"/>
      <c r="E7" s="113"/>
      <c r="F7" s="113"/>
      <c r="G7" s="113"/>
      <c r="H7" s="113"/>
      <c r="I7" s="113"/>
      <c r="J7" s="113"/>
      <c r="K7" s="113"/>
    </row>
    <row r="8" spans="1:11">
      <c r="A8" s="107"/>
      <c r="B8" s="117" t="s">
        <v>3</v>
      </c>
      <c r="C8" s="117" t="s">
        <v>4</v>
      </c>
      <c r="D8" s="117" t="s">
        <v>5</v>
      </c>
      <c r="E8" s="26" t="s">
        <v>2</v>
      </c>
      <c r="F8" s="26"/>
      <c r="G8" s="116" t="s">
        <v>6</v>
      </c>
      <c r="H8" s="26"/>
      <c r="I8" s="116" t="s">
        <v>7</v>
      </c>
      <c r="J8" s="113"/>
      <c r="K8" s="113"/>
    </row>
    <row r="9" spans="1:11">
      <c r="A9" s="107" t="s">
        <v>8</v>
      </c>
      <c r="B9" s="113"/>
      <c r="C9" s="113"/>
      <c r="D9" s="118"/>
      <c r="E9" s="113"/>
      <c r="F9" s="113"/>
      <c r="G9" s="113"/>
      <c r="H9" s="113"/>
      <c r="I9" s="107" t="s">
        <v>9</v>
      </c>
      <c r="J9" s="113"/>
      <c r="K9" s="113"/>
    </row>
    <row r="10" spans="1:11" ht="13.8" thickBot="1">
      <c r="A10" s="30" t="s">
        <v>10</v>
      </c>
      <c r="B10" s="113"/>
      <c r="C10" s="146" t="s">
        <v>205</v>
      </c>
      <c r="D10" s="113"/>
      <c r="E10" s="113"/>
      <c r="F10" s="113"/>
      <c r="G10" s="113"/>
      <c r="H10" s="113"/>
      <c r="I10" s="30" t="s">
        <v>11</v>
      </c>
      <c r="J10" s="113"/>
      <c r="K10" s="113"/>
    </row>
    <row r="11" spans="1:11">
      <c r="A11" s="107">
        <v>1</v>
      </c>
      <c r="B11" s="113" t="s">
        <v>574</v>
      </c>
      <c r="C11" s="113" t="s">
        <v>628</v>
      </c>
      <c r="D11" s="119"/>
      <c r="E11" s="113"/>
      <c r="F11" s="113"/>
      <c r="G11" s="113"/>
      <c r="H11" s="113"/>
      <c r="I11" s="120">
        <f>+I170</f>
        <v>1085038.4502810221</v>
      </c>
      <c r="J11" s="113"/>
      <c r="K11" s="121"/>
    </row>
    <row r="12" spans="1:11">
      <c r="A12" s="107"/>
      <c r="B12" s="113"/>
      <c r="C12" s="113"/>
      <c r="D12" s="113"/>
      <c r="E12" s="113"/>
      <c r="F12" s="113"/>
      <c r="G12" s="113"/>
      <c r="H12" s="113"/>
      <c r="I12" s="119"/>
      <c r="J12" s="113"/>
      <c r="K12" s="113"/>
    </row>
    <row r="13" spans="1:11" ht="13.8" thickBot="1">
      <c r="A13" s="107" t="s">
        <v>2</v>
      </c>
      <c r="B13" s="28" t="s">
        <v>12</v>
      </c>
      <c r="C13" s="34" t="s">
        <v>544</v>
      </c>
      <c r="D13" s="30" t="s">
        <v>13</v>
      </c>
      <c r="E13" s="26"/>
      <c r="F13" s="122" t="s">
        <v>14</v>
      </c>
      <c r="G13" s="122"/>
      <c r="H13" s="113"/>
      <c r="I13" s="119"/>
      <c r="J13" s="113"/>
      <c r="K13" s="113"/>
    </row>
    <row r="14" spans="1:11">
      <c r="A14" s="107">
        <f>+A11+1</f>
        <v>2</v>
      </c>
      <c r="B14" s="28" t="s">
        <v>106</v>
      </c>
      <c r="C14" s="34" t="str">
        <f>"(page 4, line "&amp;A209&amp;")"</f>
        <v>(page 4, line 20)</v>
      </c>
      <c r="D14" s="161">
        <f>I209</f>
        <v>0</v>
      </c>
      <c r="E14" s="26"/>
      <c r="F14" s="26" t="s">
        <v>15</v>
      </c>
      <c r="G14" s="170">
        <f>$I$188</f>
        <v>1</v>
      </c>
      <c r="H14" s="41"/>
      <c r="I14" s="15">
        <f>+G14*D14</f>
        <v>0</v>
      </c>
      <c r="J14" s="113"/>
      <c r="K14" s="113"/>
    </row>
    <row r="15" spans="1:11">
      <c r="A15" s="107">
        <f>+A14+1</f>
        <v>3</v>
      </c>
      <c r="B15" s="28" t="s">
        <v>107</v>
      </c>
      <c r="C15" s="527" t="str">
        <f>"(page 4, line "&amp;A211&amp;")"</f>
        <v>(page 4, line 21)</v>
      </c>
      <c r="D15" s="161">
        <f>+I211</f>
        <v>0</v>
      </c>
      <c r="E15" s="26"/>
      <c r="F15" s="26" t="s">
        <v>15</v>
      </c>
      <c r="G15" s="170">
        <f>$I$188</f>
        <v>1</v>
      </c>
      <c r="H15" s="41"/>
      <c r="I15" s="15">
        <f>+G15*D15</f>
        <v>0</v>
      </c>
      <c r="J15" s="113"/>
      <c r="K15" s="113"/>
    </row>
    <row r="16" spans="1:11">
      <c r="A16" s="498">
        <f>+A15+1</f>
        <v>4</v>
      </c>
      <c r="B16" s="123" t="s">
        <v>261</v>
      </c>
      <c r="C16" s="335" t="s">
        <v>557</v>
      </c>
      <c r="D16" s="332">
        <v>0</v>
      </c>
      <c r="E16" s="26"/>
      <c r="F16" s="26" t="s">
        <v>15</v>
      </c>
      <c r="G16" s="170">
        <f>$I$188</f>
        <v>1</v>
      </c>
      <c r="H16" s="41"/>
      <c r="I16" s="15">
        <f>+G16*D16</f>
        <v>0</v>
      </c>
      <c r="J16" s="113"/>
      <c r="K16" s="113"/>
    </row>
    <row r="17" spans="1:13" ht="13.8" thickBot="1">
      <c r="A17" s="107">
        <f>+A16+1</f>
        <v>5</v>
      </c>
      <c r="B17" s="123" t="s">
        <v>108</v>
      </c>
      <c r="C17" s="124"/>
      <c r="D17" s="332">
        <v>0</v>
      </c>
      <c r="E17" s="26"/>
      <c r="F17" s="26" t="s">
        <v>15</v>
      </c>
      <c r="G17" s="170">
        <f>$I$188</f>
        <v>1</v>
      </c>
      <c r="H17" s="41"/>
      <c r="I17" s="39">
        <f>+G17*D17</f>
        <v>0</v>
      </c>
      <c r="J17" s="113"/>
      <c r="K17" s="113"/>
    </row>
    <row r="18" spans="1:13">
      <c r="A18" s="498">
        <f>+A17+1</f>
        <v>6</v>
      </c>
      <c r="B18" s="28" t="s">
        <v>224</v>
      </c>
      <c r="C18" s="113" t="s">
        <v>558</v>
      </c>
      <c r="D18" s="499">
        <f>SUM(D14:D17)</f>
        <v>0</v>
      </c>
      <c r="E18" s="26"/>
      <c r="F18" s="26"/>
      <c r="G18" s="42"/>
      <c r="H18" s="41"/>
      <c r="I18" s="499">
        <f>SUM(I14:I17)</f>
        <v>0</v>
      </c>
      <c r="J18" s="113"/>
      <c r="K18" s="113"/>
    </row>
    <row r="19" spans="1:13">
      <c r="A19" s="107"/>
      <c r="B19" s="33"/>
      <c r="C19" s="113"/>
      <c r="D19" s="488" t="s">
        <v>2</v>
      </c>
      <c r="E19" s="113"/>
      <c r="F19" s="113"/>
      <c r="G19" s="125"/>
      <c r="H19" s="113"/>
      <c r="I19" s="33"/>
      <c r="J19" s="113"/>
      <c r="K19" s="113"/>
    </row>
    <row r="20" spans="1:13" s="328" customFormat="1">
      <c r="A20" s="498">
        <f>+A18+1</f>
        <v>7</v>
      </c>
      <c r="B20" s="123" t="s">
        <v>794</v>
      </c>
      <c r="C20" s="124" t="s">
        <v>531</v>
      </c>
      <c r="D20" s="161">
        <f>+'11-Corrections'!F30</f>
        <v>0</v>
      </c>
      <c r="E20" s="26"/>
      <c r="F20" s="26" t="s">
        <v>77</v>
      </c>
      <c r="G20" s="170">
        <v>1</v>
      </c>
      <c r="H20" s="26"/>
      <c r="I20" s="423">
        <f>+G20*D20</f>
        <v>0</v>
      </c>
      <c r="J20" s="113"/>
      <c r="K20" s="113"/>
      <c r="M20" s="126"/>
    </row>
    <row r="21" spans="1:13">
      <c r="A21" s="127">
        <f>+A20+1</f>
        <v>8</v>
      </c>
      <c r="B21" s="128" t="s">
        <v>102</v>
      </c>
      <c r="C21" s="308" t="s">
        <v>649</v>
      </c>
      <c r="D21" s="161">
        <f>+'3-Project True-up'!I29+'3-Project True-up'!J29</f>
        <v>0</v>
      </c>
      <c r="E21" s="129"/>
      <c r="F21" s="130" t="s">
        <v>77</v>
      </c>
      <c r="G21" s="515">
        <v>1</v>
      </c>
      <c r="H21" s="129"/>
      <c r="I21" s="15">
        <f>+G21*D21</f>
        <v>0</v>
      </c>
      <c r="K21" s="131"/>
    </row>
    <row r="22" spans="1:13">
      <c r="A22" s="127"/>
      <c r="B22" s="128"/>
      <c r="C22" s="129"/>
      <c r="D22" s="489"/>
      <c r="E22" s="132"/>
      <c r="F22" s="132"/>
      <c r="G22" s="132"/>
      <c r="H22" s="132"/>
      <c r="I22" s="133"/>
      <c r="K22" s="131"/>
    </row>
    <row r="23" spans="1:13" ht="13.8" thickBot="1">
      <c r="A23" s="127">
        <f>+A21+1</f>
        <v>9</v>
      </c>
      <c r="B23" s="128" t="s">
        <v>431</v>
      </c>
      <c r="C23" s="113" t="s">
        <v>559</v>
      </c>
      <c r="D23" s="132"/>
      <c r="E23" s="133"/>
      <c r="F23" s="133"/>
      <c r="G23" s="133"/>
      <c r="H23" s="133"/>
      <c r="I23" s="134">
        <f>+I11-I18+I20+I21</f>
        <v>1085038.4502810221</v>
      </c>
      <c r="K23" s="131"/>
    </row>
    <row r="24" spans="1:13" ht="13.8" thickTop="1">
      <c r="A24" s="135"/>
      <c r="B24" s="123"/>
      <c r="C24" s="131"/>
      <c r="D24" s="131"/>
      <c r="E24" s="131"/>
      <c r="F24" s="136"/>
      <c r="G24" s="137"/>
      <c r="H24" s="131"/>
      <c r="I24" s="123"/>
      <c r="J24" s="131"/>
      <c r="K24" s="131"/>
    </row>
    <row r="25" spans="1:13" s="328" customFormat="1">
      <c r="A25" s="135"/>
      <c r="B25" s="138"/>
      <c r="C25" s="131"/>
      <c r="D25" s="131"/>
      <c r="E25" s="131"/>
      <c r="F25" s="136"/>
      <c r="G25" s="137"/>
      <c r="H25" s="131"/>
      <c r="I25" s="123"/>
      <c r="J25" s="131"/>
      <c r="K25" s="131"/>
    </row>
    <row r="26" spans="1:13" s="328" customFormat="1">
      <c r="A26" s="498"/>
      <c r="B26" s="28"/>
      <c r="C26" s="113"/>
      <c r="D26" s="139"/>
      <c r="E26" s="140"/>
      <c r="F26" s="140"/>
      <c r="G26" s="140"/>
      <c r="H26" s="140"/>
      <c r="I26" s="140"/>
      <c r="J26" s="140"/>
      <c r="K26" s="113"/>
    </row>
    <row r="27" spans="1:13" s="599" customFormat="1" ht="16.2" thickBot="1">
      <c r="A27" s="648"/>
      <c r="B27" s="666" t="s">
        <v>636</v>
      </c>
      <c r="C27" s="638"/>
      <c r="D27" s="641"/>
      <c r="E27" s="638"/>
      <c r="G27" s="638"/>
      <c r="H27" s="638"/>
      <c r="I27" s="640"/>
      <c r="J27" s="595"/>
      <c r="K27" s="594"/>
    </row>
    <row r="28" spans="1:13" s="599" customFormat="1" ht="15">
      <c r="A28" s="665" t="s">
        <v>605</v>
      </c>
      <c r="B28" s="651" t="s">
        <v>676</v>
      </c>
      <c r="C28" s="596" t="s">
        <v>205</v>
      </c>
      <c r="D28" s="641"/>
      <c r="E28" s="638"/>
      <c r="G28" s="638"/>
      <c r="H28" s="638"/>
      <c r="I28" s="637"/>
      <c r="J28" s="595"/>
      <c r="K28" s="594"/>
    </row>
    <row r="29" spans="1:13" s="599" customFormat="1" ht="26.4">
      <c r="A29" s="556">
        <v>10</v>
      </c>
      <c r="B29" s="590" t="s">
        <v>669</v>
      </c>
      <c r="C29" s="569" t="s">
        <v>668</v>
      </c>
      <c r="D29" s="620">
        <f>+I23</f>
        <v>1085038.4502810221</v>
      </c>
      <c r="E29" s="592"/>
      <c r="F29" s="592"/>
      <c r="G29" s="592"/>
      <c r="H29" s="592"/>
      <c r="J29" s="595"/>
      <c r="K29" s="594"/>
    </row>
    <row r="30" spans="1:13" s="599" customFormat="1" ht="26.4">
      <c r="A30" s="556">
        <f t="shared" ref="A30:A33" si="0">+A29+1</f>
        <v>11</v>
      </c>
      <c r="B30" s="590" t="s">
        <v>667</v>
      </c>
      <c r="C30" s="570" t="s">
        <v>670</v>
      </c>
      <c r="D30" s="628">
        <f>+'1-Project Rev Req'!U61</f>
        <v>1085038.4502810221</v>
      </c>
      <c r="E30" s="592"/>
      <c r="F30" s="592"/>
      <c r="G30" s="592"/>
      <c r="H30" s="592"/>
      <c r="J30" s="595"/>
      <c r="K30" s="594"/>
    </row>
    <row r="31" spans="1:13" s="599" customFormat="1">
      <c r="A31" s="556">
        <f t="shared" si="0"/>
        <v>12</v>
      </c>
      <c r="B31" s="593" t="s">
        <v>634</v>
      </c>
      <c r="C31" s="569" t="str">
        <f>"( Line "&amp;A29&amp;" - line "&amp;A30&amp;")"</f>
        <v>( Line 10 - line 11)</v>
      </c>
      <c r="D31" s="620">
        <f>+D29-D30</f>
        <v>0</v>
      </c>
      <c r="E31" s="592"/>
      <c r="F31" s="592"/>
      <c r="G31" s="592"/>
      <c r="H31" s="592"/>
      <c r="J31" s="595"/>
      <c r="K31" s="594"/>
    </row>
    <row r="32" spans="1:13" s="599" customFormat="1" ht="15.75" customHeight="1">
      <c r="A32" s="556">
        <f t="shared" si="0"/>
        <v>13</v>
      </c>
      <c r="B32" s="590" t="s">
        <v>648</v>
      </c>
      <c r="C32" s="570" t="s">
        <v>671</v>
      </c>
      <c r="D32" s="628">
        <f>+'1-Project Rev Req'!P65</f>
        <v>0</v>
      </c>
      <c r="E32" s="592"/>
      <c r="F32" s="592"/>
      <c r="G32" s="592"/>
      <c r="H32" s="592"/>
      <c r="J32" s="595"/>
      <c r="K32" s="594"/>
    </row>
    <row r="33" spans="1:21" s="599" customFormat="1">
      <c r="A33" s="556">
        <f t="shared" si="0"/>
        <v>14</v>
      </c>
      <c r="B33" s="593" t="s">
        <v>635</v>
      </c>
      <c r="C33" s="569" t="str">
        <f>"( Line "&amp;A31&amp;" + line "&amp;A32&amp;")"</f>
        <v>( Line 12 + line 13)</v>
      </c>
      <c r="D33" s="620">
        <f>+D31+D32</f>
        <v>0</v>
      </c>
      <c r="E33" s="592"/>
      <c r="F33" s="592"/>
      <c r="G33" s="592"/>
      <c r="H33" s="592"/>
      <c r="J33" s="595"/>
      <c r="K33" s="594"/>
    </row>
    <row r="34" spans="1:21" s="599" customFormat="1" ht="15">
      <c r="A34" s="591"/>
      <c r="B34" s="639"/>
      <c r="C34" s="642"/>
      <c r="D34" s="645"/>
      <c r="E34" s="637"/>
      <c r="G34" s="643"/>
      <c r="H34" s="644"/>
      <c r="J34" s="595"/>
      <c r="K34" s="594"/>
    </row>
    <row r="35" spans="1:21" s="599" customFormat="1">
      <c r="A35" s="650" t="s">
        <v>606</v>
      </c>
      <c r="B35" s="651" t="s">
        <v>607</v>
      </c>
      <c r="C35" s="652"/>
      <c r="D35" s="654"/>
      <c r="E35" s="652"/>
      <c r="G35" s="652"/>
      <c r="H35" s="652"/>
      <c r="J35" s="595"/>
      <c r="K35" s="594"/>
    </row>
    <row r="36" spans="1:21" s="599" customFormat="1">
      <c r="A36" s="591">
        <f>+A33+1</f>
        <v>15</v>
      </c>
      <c r="B36" s="655" t="s">
        <v>860</v>
      </c>
      <c r="D36" s="907">
        <v>22488.07</v>
      </c>
      <c r="E36" s="656"/>
      <c r="G36" s="657"/>
      <c r="H36" s="658"/>
      <c r="J36" s="595"/>
      <c r="K36" s="594"/>
    </row>
    <row r="37" spans="1:21" s="599" customFormat="1">
      <c r="A37" s="591">
        <f>+A36+1</f>
        <v>16</v>
      </c>
      <c r="B37" s="649" t="s">
        <v>675</v>
      </c>
      <c r="D37" s="659"/>
      <c r="E37" s="600"/>
      <c r="G37" s="601"/>
      <c r="H37" s="600"/>
      <c r="J37" s="595"/>
      <c r="K37" s="594"/>
    </row>
    <row r="38" spans="1:21" s="599" customFormat="1">
      <c r="A38" s="591">
        <f t="shared" ref="A38:A44" si="1">+A37+1</f>
        <v>17</v>
      </c>
      <c r="B38" s="655" t="str">
        <f>"Annual Point-to-Point Rate in $/MW - Year"</f>
        <v>Annual Point-to-Point Rate in $/MW - Year</v>
      </c>
      <c r="C38" s="569" t="str">
        <f>"( Line "&amp;A33&amp;" / line "&amp;A36&amp;")"</f>
        <v>( Line 14 / line 15)</v>
      </c>
      <c r="D38" s="661">
        <f>IFERROR(ROUND(+D33/D36,4),0)</f>
        <v>0</v>
      </c>
      <c r="E38" s="600"/>
      <c r="G38" s="660"/>
      <c r="H38" s="600"/>
      <c r="J38" s="595"/>
      <c r="K38" s="594"/>
    </row>
    <row r="39" spans="1:21" s="599" customFormat="1">
      <c r="A39" s="591">
        <f t="shared" si="1"/>
        <v>18</v>
      </c>
      <c r="B39" s="655" t="str">
        <f>"Monthly Point-to-Point Rate in $/MW - Month"</f>
        <v>Monthly Point-to-Point Rate in $/MW - Month</v>
      </c>
      <c r="C39" s="667" t="str">
        <f>"( Line "&amp;$A$38&amp;" / 12)"</f>
        <v>( Line 17 / 12)</v>
      </c>
      <c r="D39" s="661">
        <f>ROUND(+D$38/12,4)</f>
        <v>0</v>
      </c>
      <c r="E39" s="600"/>
      <c r="G39" s="660"/>
      <c r="H39" s="600"/>
      <c r="J39" s="595"/>
      <c r="K39" s="594"/>
    </row>
    <row r="40" spans="1:21" s="599" customFormat="1">
      <c r="A40" s="591">
        <f t="shared" si="1"/>
        <v>19</v>
      </c>
      <c r="B40" s="655" t="str">
        <f>"Weekly Point-to-Point Rate in $/MW - Weekly"</f>
        <v>Weekly Point-to-Point Rate in $/MW - Weekly</v>
      </c>
      <c r="C40" s="667" t="str">
        <f>"( Line "&amp;$A$38&amp;" / 52)"</f>
        <v>( Line 17 / 52)</v>
      </c>
      <c r="D40" s="661">
        <f>ROUND(+D38/52,4)</f>
        <v>0</v>
      </c>
      <c r="E40" s="600"/>
      <c r="G40" s="660"/>
      <c r="H40" s="600"/>
      <c r="J40" s="595"/>
      <c r="K40" s="594"/>
    </row>
    <row r="41" spans="1:21" s="599" customFormat="1">
      <c r="A41" s="591">
        <f t="shared" si="1"/>
        <v>20</v>
      </c>
      <c r="B41" s="655" t="str">
        <f>"Daily On-Peak Point-to-Point Rate in $/MW - Day"</f>
        <v>Daily On-Peak Point-to-Point Rate in $/MW - Day</v>
      </c>
      <c r="C41" s="667" t="str">
        <f>"( Line "&amp;$A$38&amp;" / 260)"</f>
        <v>( Line 17 / 260)</v>
      </c>
      <c r="D41" s="661">
        <f>ROUND(+D38/260,4)</f>
        <v>0</v>
      </c>
      <c r="E41" s="600"/>
      <c r="G41" s="660"/>
      <c r="H41" s="600"/>
      <c r="J41" s="595"/>
      <c r="K41" s="594"/>
    </row>
    <row r="42" spans="1:21" s="599" customFormat="1">
      <c r="A42" s="591">
        <f t="shared" si="1"/>
        <v>21</v>
      </c>
      <c r="B42" s="655" t="str">
        <f>"Daily Off-Peak Point-to-Point Rate in $/MW - Day"</f>
        <v>Daily Off-Peak Point-to-Point Rate in $/MW - Day</v>
      </c>
      <c r="C42" s="667" t="str">
        <f>"( Line "&amp;$A$38&amp;" / 365)"</f>
        <v>( Line 17 / 365)</v>
      </c>
      <c r="D42" s="661">
        <f>+D38/365</f>
        <v>0</v>
      </c>
      <c r="E42" s="600"/>
      <c r="G42" s="660"/>
      <c r="H42" s="600"/>
      <c r="J42" s="595"/>
      <c r="K42" s="594"/>
    </row>
    <row r="43" spans="1:21" s="599" customFormat="1">
      <c r="A43" s="591">
        <f t="shared" si="1"/>
        <v>22</v>
      </c>
      <c r="B43" s="655" t="str">
        <f>"Hourly On-Peak Point-to-Point Rate in $/MW - Hour"</f>
        <v>Hourly On-Peak Point-to-Point Rate in $/MW - Hour</v>
      </c>
      <c r="C43" s="667" t="str">
        <f>"( Line "&amp;$A$38&amp;" / 4160)"</f>
        <v>( Line 17 / 4160)</v>
      </c>
      <c r="D43" s="661">
        <f>ROUND(+D38/4160,4)</f>
        <v>0</v>
      </c>
      <c r="E43" s="600"/>
      <c r="G43" s="660"/>
      <c r="H43" s="600"/>
      <c r="J43" s="595"/>
      <c r="K43" s="594"/>
    </row>
    <row r="44" spans="1:21" s="599" customFormat="1">
      <c r="A44" s="591">
        <f t="shared" si="1"/>
        <v>23</v>
      </c>
      <c r="B44" s="655" t="str">
        <f>"Hourly Off-Peak Point-to-Point Rate in $/MW - Hour"</f>
        <v>Hourly Off-Peak Point-to-Point Rate in $/MW - Hour</v>
      </c>
      <c r="C44" s="667" t="str">
        <f>"( Line "&amp;$A$38&amp;" / 8760)"</f>
        <v>( Line 17 / 8760)</v>
      </c>
      <c r="D44" s="661">
        <f>ROUND(+D38/8760,4)</f>
        <v>0</v>
      </c>
      <c r="E44" s="600"/>
      <c r="G44" s="660"/>
      <c r="H44" s="600"/>
      <c r="J44" s="595"/>
      <c r="K44" s="594"/>
    </row>
    <row r="45" spans="1:21" s="599" customFormat="1">
      <c r="A45" s="591"/>
      <c r="B45" s="571"/>
      <c r="C45" s="594"/>
      <c r="D45" s="595"/>
      <c r="E45" s="595"/>
      <c r="F45" s="595"/>
      <c r="G45" s="595"/>
      <c r="H45" s="595"/>
      <c r="J45" s="595"/>
      <c r="K45" s="594"/>
    </row>
    <row r="46" spans="1:21" s="637" customFormat="1" ht="15">
      <c r="A46" s="591"/>
      <c r="B46" s="654"/>
      <c r="C46" s="654"/>
      <c r="D46" s="654"/>
      <c r="E46" s="654"/>
      <c r="F46" s="654"/>
      <c r="G46" s="662"/>
      <c r="H46" s="658"/>
      <c r="J46" s="644"/>
      <c r="K46" s="646"/>
      <c r="L46" s="646"/>
      <c r="M46" s="646"/>
      <c r="N46" s="646"/>
      <c r="O46" s="646"/>
      <c r="P46" s="646"/>
      <c r="Q46" s="646"/>
      <c r="R46" s="646"/>
      <c r="S46" s="646"/>
      <c r="T46" s="646"/>
      <c r="U46" s="646"/>
    </row>
    <row r="47" spans="1:21" s="637" customFormat="1" ht="15">
      <c r="A47" s="650" t="s">
        <v>608</v>
      </c>
      <c r="B47" s="651" t="s">
        <v>609</v>
      </c>
      <c r="C47" s="653"/>
      <c r="D47" s="654"/>
      <c r="E47" s="653"/>
      <c r="F47" s="652"/>
      <c r="G47" s="663"/>
      <c r="H47" s="652"/>
      <c r="J47" s="638"/>
      <c r="K47" s="616"/>
      <c r="L47" s="616"/>
      <c r="M47" s="616"/>
      <c r="N47" s="616"/>
      <c r="O47" s="616"/>
      <c r="P47" s="616"/>
      <c r="Q47" s="616"/>
      <c r="R47" s="616"/>
      <c r="S47" s="616"/>
      <c r="T47" s="616"/>
    </row>
    <row r="48" spans="1:21" s="637" customFormat="1" ht="15">
      <c r="A48" s="591">
        <f>+A44+1</f>
        <v>24</v>
      </c>
      <c r="B48" s="600" t="s">
        <v>650</v>
      </c>
      <c r="C48" s="570" t="s">
        <v>673</v>
      </c>
      <c r="D48" s="664">
        <f>+'1-Project Rev Req'!U61-'1-Project Rev Req'!P61</f>
        <v>1085038.4502810221</v>
      </c>
      <c r="E48" s="565"/>
      <c r="F48" s="565"/>
      <c r="G48" s="565"/>
      <c r="H48" s="565"/>
      <c r="J48" s="647"/>
      <c r="K48" s="616"/>
      <c r="L48" s="616"/>
      <c r="M48" s="616"/>
      <c r="N48" s="616"/>
      <c r="O48" s="616"/>
      <c r="P48" s="616"/>
      <c r="Q48" s="616"/>
      <c r="R48" s="616"/>
      <c r="S48" s="616"/>
      <c r="T48" s="616"/>
    </row>
    <row r="49" spans="1:20" s="637" customFormat="1" ht="15">
      <c r="A49" s="591">
        <f>+A48+1</f>
        <v>25</v>
      </c>
      <c r="B49" s="654" t="s">
        <v>811</v>
      </c>
      <c r="C49" s="570" t="s">
        <v>672</v>
      </c>
      <c r="D49" s="664">
        <f>+'1-Project Rev Req'!P61</f>
        <v>0</v>
      </c>
      <c r="E49" s="565"/>
      <c r="F49" s="565"/>
      <c r="G49" s="565"/>
      <c r="H49" s="565"/>
      <c r="J49" s="647"/>
      <c r="K49" s="616"/>
      <c r="L49" s="616"/>
      <c r="M49" s="616"/>
      <c r="N49" s="616"/>
      <c r="O49" s="616"/>
      <c r="P49" s="616"/>
      <c r="Q49" s="616"/>
      <c r="R49" s="616"/>
      <c r="S49" s="616"/>
      <c r="T49" s="616"/>
    </row>
    <row r="50" spans="1:20" s="637" customFormat="1" ht="15">
      <c r="A50" s="591">
        <f>+A49+1</f>
        <v>26</v>
      </c>
      <c r="B50" s="557" t="s">
        <v>674</v>
      </c>
      <c r="C50" s="569" t="str">
        <f>"( Line "&amp;A48&amp;" + line "&amp;A49&amp;")"</f>
        <v>( Line 24 + line 25)</v>
      </c>
      <c r="D50" s="558">
        <f>+D48+D49</f>
        <v>1085038.4502810221</v>
      </c>
      <c r="E50" s="565"/>
      <c r="F50" s="565"/>
      <c r="G50" s="565"/>
      <c r="H50" s="565"/>
      <c r="J50" s="647"/>
      <c r="K50" s="616"/>
      <c r="L50" s="616"/>
      <c r="M50" s="616"/>
      <c r="N50" s="616"/>
      <c r="O50" s="616"/>
      <c r="P50" s="616"/>
      <c r="Q50" s="616"/>
      <c r="R50" s="616"/>
      <c r="S50" s="616"/>
      <c r="T50" s="616"/>
    </row>
    <row r="51" spans="1:20">
      <c r="A51" s="107"/>
      <c r="B51" s="28"/>
      <c r="C51" s="113"/>
      <c r="D51" s="139"/>
      <c r="E51" s="140"/>
      <c r="F51" s="140"/>
      <c r="G51" s="140"/>
      <c r="H51" s="140"/>
      <c r="I51" s="140"/>
      <c r="J51" s="140"/>
      <c r="K51" s="113"/>
    </row>
    <row r="52" spans="1:20">
      <c r="A52" s="107"/>
      <c r="B52" s="28"/>
      <c r="C52" s="113"/>
      <c r="D52" s="139"/>
      <c r="E52" s="140"/>
      <c r="F52" s="140"/>
      <c r="G52" s="140"/>
      <c r="H52" s="140"/>
      <c r="I52" s="140"/>
      <c r="J52" s="140"/>
      <c r="K52" s="113"/>
    </row>
    <row r="53" spans="1:20">
      <c r="A53" s="33"/>
      <c r="B53" s="28"/>
      <c r="C53" s="113"/>
      <c r="D53" s="113"/>
      <c r="E53" s="113"/>
      <c r="F53" s="113"/>
      <c r="G53" s="113"/>
      <c r="H53" s="113"/>
      <c r="I53" s="141"/>
      <c r="J53" s="113"/>
      <c r="K53" s="142" t="s">
        <v>711</v>
      </c>
    </row>
    <row r="54" spans="1:20">
      <c r="A54" s="33"/>
      <c r="B54" s="113"/>
      <c r="C54" s="113"/>
      <c r="D54" s="113"/>
      <c r="E54" s="113"/>
      <c r="F54" s="113"/>
      <c r="G54" s="113"/>
      <c r="H54" s="113"/>
      <c r="I54" s="113"/>
      <c r="J54" s="113"/>
      <c r="K54" s="113"/>
    </row>
    <row r="55" spans="1:20">
      <c r="A55" s="33"/>
      <c r="B55" s="28" t="s">
        <v>1</v>
      </c>
      <c r="C55" s="28"/>
      <c r="D55" s="107" t="s">
        <v>816</v>
      </c>
      <c r="E55" s="28"/>
      <c r="F55" s="28"/>
      <c r="G55" s="28"/>
      <c r="H55" s="28"/>
      <c r="I55" s="105"/>
      <c r="J55" s="28"/>
      <c r="K55" s="142" t="str">
        <f>K3</f>
        <v>Projected 12 months ended 12/31/17</v>
      </c>
    </row>
    <row r="56" spans="1:20">
      <c r="A56" s="33"/>
      <c r="B56" s="143"/>
      <c r="C56" s="26"/>
      <c r="D56" s="29" t="s">
        <v>101</v>
      </c>
      <c r="E56" s="26"/>
      <c r="F56" s="26"/>
      <c r="G56" s="26"/>
      <c r="H56" s="26"/>
      <c r="I56" s="26"/>
      <c r="J56" s="26"/>
      <c r="K56" s="26"/>
    </row>
    <row r="57" spans="1:20">
      <c r="A57" s="33"/>
      <c r="B57" s="28"/>
      <c r="C57" s="26"/>
      <c r="D57" s="29" t="str">
        <f>+D5</f>
        <v>Transource West Virginia, LLC</v>
      </c>
      <c r="E57" s="26"/>
      <c r="F57" s="26"/>
      <c r="G57" s="26" t="s">
        <v>2</v>
      </c>
      <c r="H57" s="26"/>
      <c r="I57" s="26"/>
      <c r="J57" s="26"/>
      <c r="K57" s="26"/>
    </row>
    <row r="58" spans="1:20">
      <c r="A58" s="912"/>
      <c r="B58" s="912"/>
      <c r="C58" s="912"/>
      <c r="D58" s="912"/>
      <c r="E58" s="912"/>
      <c r="F58" s="912"/>
      <c r="G58" s="912"/>
      <c r="H58" s="912"/>
      <c r="I58" s="912"/>
      <c r="J58" s="912"/>
      <c r="K58" s="912"/>
    </row>
    <row r="59" spans="1:20">
      <c r="A59" s="33"/>
      <c r="B59" s="117" t="s">
        <v>3</v>
      </c>
      <c r="C59" s="117" t="s">
        <v>4</v>
      </c>
      <c r="D59" s="117" t="s">
        <v>5</v>
      </c>
      <c r="E59" s="26" t="s">
        <v>2</v>
      </c>
      <c r="F59" s="26"/>
      <c r="G59" s="116" t="s">
        <v>6</v>
      </c>
      <c r="H59" s="26"/>
      <c r="I59" s="116" t="s">
        <v>7</v>
      </c>
      <c r="J59" s="26"/>
      <c r="K59" s="117"/>
    </row>
    <row r="60" spans="1:20">
      <c r="A60" s="33"/>
      <c r="B60" s="28"/>
      <c r="C60" s="144"/>
      <c r="D60" s="26"/>
      <c r="E60" s="26"/>
      <c r="F60" s="26"/>
      <c r="G60" s="107"/>
      <c r="H60" s="26"/>
      <c r="I60" s="145" t="s">
        <v>16</v>
      </c>
      <c r="J60" s="26"/>
      <c r="K60" s="117"/>
    </row>
    <row r="61" spans="1:20">
      <c r="A61" s="107" t="s">
        <v>8</v>
      </c>
      <c r="B61" s="28"/>
      <c r="C61" s="146" t="s">
        <v>205</v>
      </c>
      <c r="D61" s="145" t="s">
        <v>18</v>
      </c>
      <c r="E61" s="147"/>
      <c r="F61" s="145" t="s">
        <v>19</v>
      </c>
      <c r="G61" s="33"/>
      <c r="H61" s="147"/>
      <c r="I61" s="107" t="s">
        <v>20</v>
      </c>
      <c r="J61" s="26"/>
      <c r="K61" s="117"/>
    </row>
    <row r="62" spans="1:20" ht="13.8" thickBot="1">
      <c r="A62" s="334" t="s">
        <v>10</v>
      </c>
      <c r="B62" s="148" t="s">
        <v>356</v>
      </c>
      <c r="C62" s="26"/>
      <c r="D62" s="26"/>
      <c r="E62" s="26"/>
      <c r="F62" s="26"/>
      <c r="G62" s="26"/>
      <c r="H62" s="26"/>
      <c r="I62" s="26"/>
      <c r="J62" s="26"/>
      <c r="K62" s="26"/>
    </row>
    <row r="63" spans="1:20">
      <c r="A63" s="306"/>
      <c r="B63" s="28" t="s">
        <v>593</v>
      </c>
      <c r="C63" s="26" t="s">
        <v>405</v>
      </c>
      <c r="D63" s="26"/>
      <c r="E63" s="26"/>
      <c r="F63" s="26"/>
      <c r="G63" s="26"/>
      <c r="H63" s="26"/>
      <c r="I63" s="26"/>
      <c r="J63" s="26"/>
      <c r="K63" s="26"/>
    </row>
    <row r="64" spans="1:20">
      <c r="A64" s="306">
        <v>1</v>
      </c>
      <c r="B64" s="28" t="s">
        <v>262</v>
      </c>
      <c r="C64" s="41" t="s">
        <v>266</v>
      </c>
      <c r="D64" s="332">
        <v>0</v>
      </c>
      <c r="E64" s="26"/>
      <c r="F64" s="26" t="s">
        <v>21</v>
      </c>
      <c r="G64" s="171">
        <v>0</v>
      </c>
      <c r="H64" s="26"/>
      <c r="I64" s="15">
        <f>+G64*D64</f>
        <v>0</v>
      </c>
      <c r="J64" s="26"/>
      <c r="K64" s="26"/>
    </row>
    <row r="65" spans="1:11">
      <c r="A65" s="306">
        <f>+A64+1</f>
        <v>2</v>
      </c>
      <c r="B65" s="28" t="s">
        <v>22</v>
      </c>
      <c r="C65" s="41" t="s">
        <v>264</v>
      </c>
      <c r="D65" s="161">
        <f>'4- Rate Base'!C23</f>
        <v>0</v>
      </c>
      <c r="E65" s="26"/>
      <c r="F65" s="26" t="s">
        <v>15</v>
      </c>
      <c r="G65" s="170">
        <f>$I$188</f>
        <v>1</v>
      </c>
      <c r="H65" s="41"/>
      <c r="I65" s="15">
        <f>+G65*D65</f>
        <v>0</v>
      </c>
      <c r="J65" s="26"/>
      <c r="K65" s="26"/>
    </row>
    <row r="66" spans="1:11">
      <c r="A66" s="306">
        <f t="shared" ref="A66:A102" si="2">+A65+1</f>
        <v>3</v>
      </c>
      <c r="B66" s="28" t="s">
        <v>263</v>
      </c>
      <c r="C66" s="41" t="s">
        <v>267</v>
      </c>
      <c r="D66" s="332">
        <v>0</v>
      </c>
      <c r="E66" s="26"/>
      <c r="F66" s="26" t="s">
        <v>21</v>
      </c>
      <c r="G66" s="171">
        <v>0</v>
      </c>
      <c r="H66" s="41"/>
      <c r="I66" s="15">
        <f>+G66*D66</f>
        <v>0</v>
      </c>
      <c r="J66" s="26"/>
      <c r="K66" s="26"/>
    </row>
    <row r="67" spans="1:11" ht="13.8" thickBot="1">
      <c r="A67" s="306">
        <f t="shared" si="2"/>
        <v>4</v>
      </c>
      <c r="B67" s="28" t="s">
        <v>88</v>
      </c>
      <c r="C67" s="41" t="s">
        <v>265</v>
      </c>
      <c r="D67" s="151">
        <f>'4- Rate Base'!D23</f>
        <v>0</v>
      </c>
      <c r="E67" s="26"/>
      <c r="F67" s="26" t="s">
        <v>23</v>
      </c>
      <c r="G67" s="170">
        <f>$I$196</f>
        <v>1</v>
      </c>
      <c r="H67" s="41"/>
      <c r="I67" s="151">
        <f>+G67*D67</f>
        <v>0</v>
      </c>
      <c r="J67" s="26"/>
      <c r="K67" s="26"/>
    </row>
    <row r="68" spans="1:11">
      <c r="A68" s="306">
        <f t="shared" si="2"/>
        <v>5</v>
      </c>
      <c r="B68" s="25" t="s">
        <v>220</v>
      </c>
      <c r="C68" s="26" t="s">
        <v>552</v>
      </c>
      <c r="D68" s="423">
        <f>SUM(D64:D67)</f>
        <v>0</v>
      </c>
      <c r="E68" s="26"/>
      <c r="F68" s="26" t="s">
        <v>24</v>
      </c>
      <c r="G68" s="337">
        <f>IF(I68&gt;0,I68/D68,1)</f>
        <v>1</v>
      </c>
      <c r="H68" s="41"/>
      <c r="I68" s="423">
        <f>SUM(I64:I67)</f>
        <v>0</v>
      </c>
      <c r="J68" s="26"/>
      <c r="K68" s="153"/>
    </row>
    <row r="69" spans="1:11">
      <c r="A69" s="306"/>
      <c r="B69" s="28"/>
      <c r="C69" s="26"/>
      <c r="D69" s="15"/>
      <c r="E69" s="26"/>
      <c r="F69" s="26"/>
      <c r="G69" s="338"/>
      <c r="H69" s="26"/>
      <c r="I69" s="15"/>
      <c r="J69" s="26"/>
      <c r="K69" s="153"/>
    </row>
    <row r="70" spans="1:11">
      <c r="A70" s="306">
        <f>+A68+1</f>
        <v>6</v>
      </c>
      <c r="B70" s="28" t="s">
        <v>592</v>
      </c>
      <c r="C70" s="26" t="s">
        <v>405</v>
      </c>
      <c r="D70" s="15"/>
      <c r="E70" s="26"/>
      <c r="F70" s="26"/>
      <c r="G70" s="170"/>
      <c r="H70" s="26"/>
      <c r="I70" s="15"/>
      <c r="J70" s="26"/>
      <c r="K70" s="26"/>
    </row>
    <row r="71" spans="1:11">
      <c r="A71" s="306">
        <f t="shared" si="2"/>
        <v>7</v>
      </c>
      <c r="B71" s="28" t="s">
        <v>262</v>
      </c>
      <c r="C71" s="26" t="s">
        <v>268</v>
      </c>
      <c r="D71" s="149">
        <v>0</v>
      </c>
      <c r="E71" s="26"/>
      <c r="F71" s="26" t="s">
        <v>21</v>
      </c>
      <c r="G71" s="170">
        <v>0</v>
      </c>
      <c r="H71" s="26"/>
      <c r="I71" s="15">
        <f>+G71*D71</f>
        <v>0</v>
      </c>
      <c r="J71" s="26"/>
      <c r="K71" s="26"/>
    </row>
    <row r="72" spans="1:11">
      <c r="A72" s="306">
        <f t="shared" si="2"/>
        <v>8</v>
      </c>
      <c r="B72" s="28" t="s">
        <v>22</v>
      </c>
      <c r="C72" s="26" t="s">
        <v>270</v>
      </c>
      <c r="D72" s="161">
        <f>'4- Rate Base'!I23</f>
        <v>0</v>
      </c>
      <c r="E72" s="26"/>
      <c r="F72" s="26" t="s">
        <v>15</v>
      </c>
      <c r="G72" s="170">
        <f>$I$188</f>
        <v>1</v>
      </c>
      <c r="H72" s="41"/>
      <c r="I72" s="15">
        <f>+G72*D72</f>
        <v>0</v>
      </c>
      <c r="J72" s="26"/>
      <c r="K72" s="26"/>
    </row>
    <row r="73" spans="1:11">
      <c r="A73" s="306">
        <f t="shared" si="2"/>
        <v>9</v>
      </c>
      <c r="B73" s="28" t="s">
        <v>263</v>
      </c>
      <c r="C73" s="26" t="s">
        <v>269</v>
      </c>
      <c r="D73" s="332">
        <v>0</v>
      </c>
      <c r="E73" s="26"/>
      <c r="F73" s="26" t="s">
        <v>21</v>
      </c>
      <c r="G73" s="170">
        <f>+G66</f>
        <v>0</v>
      </c>
      <c r="H73" s="41"/>
      <c r="I73" s="161">
        <f>+G73*D73</f>
        <v>0</v>
      </c>
      <c r="J73" s="26"/>
      <c r="K73" s="26"/>
    </row>
    <row r="74" spans="1:11" ht="13.8" thickBot="1">
      <c r="A74" s="306">
        <f t="shared" si="2"/>
        <v>10</v>
      </c>
      <c r="B74" s="28" t="s">
        <v>88</v>
      </c>
      <c r="C74" s="26" t="s">
        <v>271</v>
      </c>
      <c r="D74" s="151">
        <f>'4- Rate Base'!J23</f>
        <v>0</v>
      </c>
      <c r="E74" s="26"/>
      <c r="F74" s="26" t="s">
        <v>23</v>
      </c>
      <c r="G74" s="170">
        <f>$I$196</f>
        <v>1</v>
      </c>
      <c r="H74" s="41"/>
      <c r="I74" s="151">
        <f>+G74*D74</f>
        <v>0</v>
      </c>
      <c r="J74" s="26"/>
      <c r="K74" s="26"/>
    </row>
    <row r="75" spans="1:11">
      <c r="A75" s="306">
        <f t="shared" si="2"/>
        <v>11</v>
      </c>
      <c r="B75" s="28" t="s">
        <v>221</v>
      </c>
      <c r="C75" s="26" t="s">
        <v>235</v>
      </c>
      <c r="D75" s="423">
        <f>SUM(D71:D74)</f>
        <v>0</v>
      </c>
      <c r="E75" s="26"/>
      <c r="F75" s="26"/>
      <c r="G75" s="24"/>
      <c r="H75" s="41"/>
      <c r="I75" s="423">
        <f>SUM(I71:I74)</f>
        <v>0</v>
      </c>
      <c r="J75" s="26"/>
      <c r="K75" s="26"/>
    </row>
    <row r="76" spans="1:11">
      <c r="A76" s="306"/>
      <c r="B76" s="33"/>
      <c r="C76" s="26" t="s">
        <v>2</v>
      </c>
      <c r="D76" s="15"/>
      <c r="E76" s="26"/>
      <c r="F76" s="26"/>
      <c r="G76" s="152"/>
      <c r="H76" s="26"/>
      <c r="I76" s="15"/>
      <c r="J76" s="26"/>
      <c r="K76" s="153"/>
    </row>
    <row r="77" spans="1:11">
      <c r="A77" s="306">
        <f>+A75+1</f>
        <v>12</v>
      </c>
      <c r="B77" s="28" t="s">
        <v>25</v>
      </c>
      <c r="C77" s="26"/>
      <c r="D77" s="15"/>
      <c r="E77" s="26"/>
      <c r="F77" s="26"/>
      <c r="G77" s="24"/>
      <c r="H77" s="26"/>
      <c r="I77" s="15"/>
      <c r="J77" s="26"/>
      <c r="K77" s="26"/>
    </row>
    <row r="78" spans="1:11">
      <c r="A78" s="306">
        <f t="shared" si="2"/>
        <v>13</v>
      </c>
      <c r="B78" s="28" t="s">
        <v>262</v>
      </c>
      <c r="C78" s="26" t="str">
        <f>"(line "&amp;A64&amp;" - line "&amp;A71&amp;")"</f>
        <v>(line 1 - line 7)</v>
      </c>
      <c r="D78" s="15">
        <f>D64-D71</f>
        <v>0</v>
      </c>
      <c r="E78" s="41"/>
      <c r="F78" s="41"/>
      <c r="G78" s="152"/>
      <c r="H78" s="41"/>
      <c r="I78" s="15">
        <f>I64-I71</f>
        <v>0</v>
      </c>
      <c r="J78" s="26"/>
      <c r="K78" s="153"/>
    </row>
    <row r="79" spans="1:11">
      <c r="A79" s="306">
        <f t="shared" si="2"/>
        <v>14</v>
      </c>
      <c r="B79" s="28" t="s">
        <v>22</v>
      </c>
      <c r="C79" s="26" t="str">
        <f>"(line "&amp;A65&amp;" - line "&amp;A72&amp;")"</f>
        <v>(line 2 - line 8)</v>
      </c>
      <c r="D79" s="15">
        <f>D65-D72</f>
        <v>0</v>
      </c>
      <c r="E79" s="41"/>
      <c r="F79" s="41"/>
      <c r="G79" s="24"/>
      <c r="H79" s="41"/>
      <c r="I79" s="15">
        <f>I65-I72</f>
        <v>0</v>
      </c>
      <c r="J79" s="26"/>
      <c r="K79" s="153"/>
    </row>
    <row r="80" spans="1:11">
      <c r="A80" s="306">
        <f t="shared" si="2"/>
        <v>15</v>
      </c>
      <c r="B80" s="28" t="s">
        <v>263</v>
      </c>
      <c r="C80" s="26" t="str">
        <f>"(line "&amp;A66&amp;" - line "&amp;A73&amp;")"</f>
        <v>(line 3 - line 9)</v>
      </c>
      <c r="D80" s="15">
        <f>D66-D73</f>
        <v>0</v>
      </c>
      <c r="E80" s="41"/>
      <c r="F80" s="41"/>
      <c r="G80" s="152"/>
      <c r="H80" s="41"/>
      <c r="I80" s="161">
        <f>I66-I73</f>
        <v>0</v>
      </c>
      <c r="J80" s="26"/>
      <c r="K80" s="153"/>
    </row>
    <row r="81" spans="1:11" ht="13.8" thickBot="1">
      <c r="A81" s="306">
        <f t="shared" si="2"/>
        <v>16</v>
      </c>
      <c r="B81" s="28" t="s">
        <v>88</v>
      </c>
      <c r="C81" s="26" t="str">
        <f>"(line "&amp;A67&amp;" - line "&amp;A74&amp;")"</f>
        <v>(line 4 - line 10)</v>
      </c>
      <c r="D81" s="151">
        <f>D67-D74</f>
        <v>0</v>
      </c>
      <c r="E81" s="41"/>
      <c r="F81" s="41"/>
      <c r="G81" s="152"/>
      <c r="H81" s="41"/>
      <c r="I81" s="151">
        <f>I67-I74</f>
        <v>0</v>
      </c>
      <c r="J81" s="26"/>
      <c r="K81" s="153"/>
    </row>
    <row r="82" spans="1:11">
      <c r="A82" s="306">
        <f t="shared" si="2"/>
        <v>17</v>
      </c>
      <c r="B82" s="28" t="s">
        <v>223</v>
      </c>
      <c r="C82" s="26" t="str">
        <f>"( Sum of line "&amp;A68&amp;" - line "&amp;A75&amp;")"</f>
        <v>( Sum of line 5 - line 11)</v>
      </c>
      <c r="D82" s="423">
        <f>SUM(D78:D81)</f>
        <v>0</v>
      </c>
      <c r="E82" s="41"/>
      <c r="F82" s="41" t="s">
        <v>26</v>
      </c>
      <c r="G82" s="337">
        <f>IF(I82&gt;0,I82/D82,1)</f>
        <v>1</v>
      </c>
      <c r="H82" s="41"/>
      <c r="I82" s="423">
        <f>SUM(I78:I81)</f>
        <v>0</v>
      </c>
      <c r="J82" s="26"/>
      <c r="K82" s="26"/>
    </row>
    <row r="83" spans="1:11">
      <c r="A83" s="306"/>
      <c r="B83" s="33"/>
      <c r="C83" s="26"/>
      <c r="D83" s="15"/>
      <c r="E83" s="26"/>
      <c r="F83" s="33"/>
      <c r="G83" s="500"/>
      <c r="H83" s="26"/>
      <c r="I83" s="15"/>
      <c r="J83" s="26"/>
      <c r="K83" s="153"/>
    </row>
    <row r="84" spans="1:11">
      <c r="A84" s="306">
        <f>+A82+1</f>
        <v>18</v>
      </c>
      <c r="B84" s="25" t="s">
        <v>272</v>
      </c>
      <c r="C84" s="26"/>
      <c r="D84" s="15"/>
      <c r="E84" s="26"/>
      <c r="F84" s="26"/>
      <c r="G84" s="500"/>
      <c r="H84" s="26"/>
      <c r="I84" s="15"/>
      <c r="J84" s="26"/>
      <c r="K84" s="26"/>
    </row>
    <row r="85" spans="1:11">
      <c r="A85" s="306">
        <f t="shared" si="2"/>
        <v>19</v>
      </c>
      <c r="B85" s="28" t="s">
        <v>89</v>
      </c>
      <c r="C85" s="26" t="s">
        <v>561</v>
      </c>
      <c r="D85" s="161">
        <f>-'4- Rate Base'!E42</f>
        <v>0</v>
      </c>
      <c r="E85" s="34"/>
      <c r="F85" s="34" t="s">
        <v>21</v>
      </c>
      <c r="G85" s="501" t="s">
        <v>110</v>
      </c>
      <c r="H85" s="41"/>
      <c r="I85" s="15">
        <v>0</v>
      </c>
      <c r="J85" s="26"/>
      <c r="K85" s="153"/>
    </row>
    <row r="86" spans="1:11">
      <c r="A86" s="306">
        <f t="shared" si="2"/>
        <v>20</v>
      </c>
      <c r="B86" s="28" t="s">
        <v>90</v>
      </c>
      <c r="C86" s="26" t="s">
        <v>562</v>
      </c>
      <c r="D86" s="46">
        <f>-'4- Rate Base'!F42</f>
        <v>0</v>
      </c>
      <c r="E86" s="26"/>
      <c r="F86" s="26" t="s">
        <v>27</v>
      </c>
      <c r="G86" s="170">
        <f>+$G$82</f>
        <v>1</v>
      </c>
      <c r="H86" s="41"/>
      <c r="I86" s="15">
        <f>D86*G86</f>
        <v>0</v>
      </c>
      <c r="J86" s="26"/>
      <c r="K86" s="153"/>
    </row>
    <row r="87" spans="1:11">
      <c r="A87" s="306">
        <f t="shared" si="2"/>
        <v>21</v>
      </c>
      <c r="B87" s="28" t="s">
        <v>91</v>
      </c>
      <c r="C87" s="26" t="s">
        <v>563</v>
      </c>
      <c r="D87" s="46">
        <f>-'4- Rate Base'!G42</f>
        <v>-153033.16806936174</v>
      </c>
      <c r="E87" s="26"/>
      <c r="F87" s="26" t="s">
        <v>27</v>
      </c>
      <c r="G87" s="170">
        <f>+$G$82</f>
        <v>1</v>
      </c>
      <c r="H87" s="41"/>
      <c r="I87" s="15">
        <f>D87*G87</f>
        <v>-153033.16806936174</v>
      </c>
      <c r="J87" s="26"/>
      <c r="K87" s="153"/>
    </row>
    <row r="88" spans="1:11">
      <c r="A88" s="306">
        <f t="shared" si="2"/>
        <v>22</v>
      </c>
      <c r="B88" s="28" t="s">
        <v>96</v>
      </c>
      <c r="C88" s="26" t="s">
        <v>564</v>
      </c>
      <c r="D88" s="46">
        <f>+'4- Rate Base'!H42</f>
        <v>46098.036013489844</v>
      </c>
      <c r="E88" s="26"/>
      <c r="F88" s="26" t="s">
        <v>27</v>
      </c>
      <c r="G88" s="170">
        <f>+$G$82</f>
        <v>1</v>
      </c>
      <c r="H88" s="41"/>
      <c r="I88" s="15">
        <f>D88*G88</f>
        <v>46098.036013489844</v>
      </c>
      <c r="J88" s="26"/>
      <c r="K88" s="153"/>
    </row>
    <row r="89" spans="1:11">
      <c r="A89" s="306">
        <f t="shared" si="2"/>
        <v>23</v>
      </c>
      <c r="B89" s="33" t="s">
        <v>92</v>
      </c>
      <c r="C89" s="33" t="s">
        <v>565</v>
      </c>
      <c r="D89" s="46">
        <f>-'4- Rate Base'!I42</f>
        <v>0</v>
      </c>
      <c r="E89" s="26"/>
      <c r="F89" s="26" t="s">
        <v>27</v>
      </c>
      <c r="G89" s="170">
        <f>+$G$82</f>
        <v>1</v>
      </c>
      <c r="H89" s="41"/>
      <c r="I89" s="39">
        <f>D89*G89</f>
        <v>0</v>
      </c>
      <c r="J89" s="26"/>
      <c r="K89" s="153"/>
    </row>
    <row r="90" spans="1:11" s="221" customFormat="1">
      <c r="A90" s="306">
        <f t="shared" si="2"/>
        <v>24</v>
      </c>
      <c r="B90" s="31" t="s">
        <v>408</v>
      </c>
      <c r="C90" s="31" t="s">
        <v>687</v>
      </c>
      <c r="D90" s="46">
        <f>+'4- Rate Base'!I73</f>
        <v>0</v>
      </c>
      <c r="E90" s="34"/>
      <c r="F90" s="34" t="s">
        <v>77</v>
      </c>
      <c r="G90" s="171">
        <f>G91</f>
        <v>1</v>
      </c>
      <c r="H90" s="162"/>
      <c r="I90" s="46">
        <f>+G90*D90</f>
        <v>0</v>
      </c>
      <c r="J90" s="34"/>
      <c r="K90" s="307"/>
    </row>
    <row r="91" spans="1:11">
      <c r="A91" s="306">
        <f t="shared" si="2"/>
        <v>25</v>
      </c>
      <c r="B91" s="132" t="s">
        <v>87</v>
      </c>
      <c r="C91" s="158" t="s">
        <v>206</v>
      </c>
      <c r="D91" s="46">
        <f>'4- Rate Base'!E23</f>
        <v>5274948.307692308</v>
      </c>
      <c r="E91" s="155"/>
      <c r="F91" s="156" t="str">
        <f>+F92</f>
        <v>DA</v>
      </c>
      <c r="G91" s="172">
        <v>1</v>
      </c>
      <c r="H91" s="155"/>
      <c r="I91" s="39">
        <f>+G91*D91</f>
        <v>5274948.307692308</v>
      </c>
      <c r="K91" s="153"/>
    </row>
    <row r="92" spans="1:11">
      <c r="A92" s="306">
        <f t="shared" si="2"/>
        <v>26</v>
      </c>
      <c r="B92" s="157" t="s">
        <v>104</v>
      </c>
      <c r="C92" s="158" t="s">
        <v>567</v>
      </c>
      <c r="D92" s="46">
        <f>+'4- Rate Base'!C42</f>
        <v>239359.93000000014</v>
      </c>
      <c r="E92" s="156"/>
      <c r="F92" s="156" t="str">
        <f>+F93</f>
        <v>DA</v>
      </c>
      <c r="G92" s="172">
        <v>1</v>
      </c>
      <c r="H92" s="156"/>
      <c r="I92" s="39">
        <f>+G92*D92</f>
        <v>239359.93000000014</v>
      </c>
      <c r="K92" s="153"/>
    </row>
    <row r="93" spans="1:11" ht="13.8" thickBot="1">
      <c r="A93" s="306">
        <f t="shared" si="2"/>
        <v>27</v>
      </c>
      <c r="B93" s="157" t="s">
        <v>105</v>
      </c>
      <c r="C93" s="158" t="s">
        <v>568</v>
      </c>
      <c r="D93" s="173">
        <f>+'4- Rate Base'!D42</f>
        <v>0</v>
      </c>
      <c r="E93" s="155"/>
      <c r="F93" s="155" t="s">
        <v>77</v>
      </c>
      <c r="G93" s="336">
        <v>1</v>
      </c>
      <c r="H93" s="155"/>
      <c r="I93" s="151">
        <f>+G93*D93</f>
        <v>0</v>
      </c>
      <c r="K93" s="153"/>
    </row>
    <row r="94" spans="1:11">
      <c r="A94" s="306">
        <f t="shared" si="2"/>
        <v>28</v>
      </c>
      <c r="B94" s="28" t="s">
        <v>222</v>
      </c>
      <c r="C94" s="26" t="str">
        <f>"( Sum of line "&amp;A85&amp;" - line "&amp;A93&amp;")"</f>
        <v>( Sum of line 19 - line 27)</v>
      </c>
      <c r="D94" s="15">
        <f>SUM(D85:D93)</f>
        <v>5407373.1056364356</v>
      </c>
      <c r="E94" s="26"/>
      <c r="F94" s="26"/>
      <c r="G94" s="502"/>
      <c r="H94" s="41"/>
      <c r="I94" s="15">
        <f>SUM(I85:I93)</f>
        <v>5407373.1056364356</v>
      </c>
      <c r="J94" s="26"/>
      <c r="K94" s="26"/>
    </row>
    <row r="95" spans="1:11">
      <c r="A95" s="306"/>
      <c r="B95" s="33"/>
      <c r="C95" s="26"/>
      <c r="D95" s="15"/>
      <c r="E95" s="26"/>
      <c r="F95" s="26"/>
      <c r="G95" s="336"/>
      <c r="H95" s="26"/>
      <c r="I95" s="15"/>
      <c r="J95" s="26"/>
      <c r="K95" s="153"/>
    </row>
    <row r="96" spans="1:11">
      <c r="A96" s="306">
        <f>+A94+1</f>
        <v>29</v>
      </c>
      <c r="B96" s="25" t="s">
        <v>752</v>
      </c>
      <c r="C96" s="160" t="s">
        <v>569</v>
      </c>
      <c r="D96" s="161">
        <f>+'4- Rate Base'!F23</f>
        <v>0</v>
      </c>
      <c r="E96" s="26"/>
      <c r="F96" s="26" t="s">
        <v>15</v>
      </c>
      <c r="G96" s="170">
        <f>$I$188</f>
        <v>1</v>
      </c>
      <c r="H96" s="41"/>
      <c r="I96" s="15">
        <f>+G96*D96</f>
        <v>0</v>
      </c>
      <c r="J96" s="26"/>
      <c r="K96" s="26"/>
    </row>
    <row r="97" spans="1:11">
      <c r="A97" s="306"/>
      <c r="B97" s="28"/>
      <c r="C97" s="26"/>
      <c r="D97" s="15"/>
      <c r="E97" s="26"/>
      <c r="F97" s="26"/>
      <c r="G97" s="336"/>
      <c r="H97" s="41"/>
      <c r="I97" s="15"/>
      <c r="J97" s="26"/>
      <c r="K97" s="26"/>
    </row>
    <row r="98" spans="1:11">
      <c r="A98" s="306">
        <f>+A96+1</f>
        <v>30</v>
      </c>
      <c r="B98" s="28" t="s">
        <v>591</v>
      </c>
      <c r="C98" s="26" t="s">
        <v>590</v>
      </c>
      <c r="D98" s="15"/>
      <c r="E98" s="26"/>
      <c r="F98" s="26"/>
      <c r="G98" s="336"/>
      <c r="H98" s="41"/>
      <c r="I98" s="15"/>
      <c r="J98" s="26"/>
      <c r="K98" s="26"/>
    </row>
    <row r="99" spans="1:11">
      <c r="A99" s="306">
        <f t="shared" si="2"/>
        <v>31</v>
      </c>
      <c r="B99" s="28" t="s">
        <v>709</v>
      </c>
      <c r="C99" s="33" t="s">
        <v>627</v>
      </c>
      <c r="D99" s="161">
        <f>(D133-D130)/8</f>
        <v>27532.855682199188</v>
      </c>
      <c r="E99" s="34"/>
      <c r="F99" s="34"/>
      <c r="G99" s="336"/>
      <c r="H99" s="162"/>
      <c r="I99" s="161">
        <f>(I133-I130)/8</f>
        <v>27532.855682199188</v>
      </c>
      <c r="J99" s="113"/>
      <c r="K99" s="153"/>
    </row>
    <row r="100" spans="1:11">
      <c r="A100" s="306">
        <f t="shared" si="2"/>
        <v>32</v>
      </c>
      <c r="B100" s="28" t="s">
        <v>168</v>
      </c>
      <c r="C100" s="160" t="s">
        <v>571</v>
      </c>
      <c r="D100" s="161">
        <f>+'4- Rate Base'!G23</f>
        <v>0</v>
      </c>
      <c r="E100" s="26"/>
      <c r="F100" s="26" t="s">
        <v>15</v>
      </c>
      <c r="G100" s="170">
        <f>$I$188</f>
        <v>1</v>
      </c>
      <c r="H100" s="41"/>
      <c r="I100" s="15">
        <f>+G100*D100</f>
        <v>0</v>
      </c>
      <c r="J100" s="26" t="s">
        <v>2</v>
      </c>
      <c r="K100" s="153"/>
    </row>
    <row r="101" spans="1:11" ht="13.8" thickBot="1">
      <c r="A101" s="107">
        <f t="shared" si="2"/>
        <v>33</v>
      </c>
      <c r="B101" s="28" t="s">
        <v>93</v>
      </c>
      <c r="C101" s="41" t="s">
        <v>273</v>
      </c>
      <c r="D101" s="173">
        <f>+'4- Rate Base'!H23</f>
        <v>0</v>
      </c>
      <c r="E101" s="26"/>
      <c r="F101" s="26" t="s">
        <v>28</v>
      </c>
      <c r="G101" s="336">
        <f>+$G$68</f>
        <v>1</v>
      </c>
      <c r="H101" s="41"/>
      <c r="I101" s="151">
        <f>+G101*D101</f>
        <v>0</v>
      </c>
      <c r="J101" s="26"/>
      <c r="K101" s="153"/>
    </row>
    <row r="102" spans="1:11">
      <c r="A102" s="107">
        <f t="shared" si="2"/>
        <v>34</v>
      </c>
      <c r="B102" s="28" t="s">
        <v>225</v>
      </c>
      <c r="C102" s="26" t="str">
        <f>"( Sum of line "&amp;A99&amp;" - line "&amp;A101&amp;")"</f>
        <v>( Sum of line 31 - line 33)</v>
      </c>
      <c r="D102" s="15">
        <f>SUM(D99:D101)</f>
        <v>27532.855682199188</v>
      </c>
      <c r="E102" s="113"/>
      <c r="F102" s="113"/>
      <c r="G102" s="159"/>
      <c r="H102" s="163"/>
      <c r="I102" s="15">
        <f>I99+I100+I101</f>
        <v>27532.855682199188</v>
      </c>
      <c r="J102" s="113"/>
      <c r="K102" s="113"/>
    </row>
    <row r="103" spans="1:11" ht="13.8" thickBot="1">
      <c r="A103" s="107"/>
      <c r="B103" s="33"/>
      <c r="C103" s="26"/>
      <c r="D103" s="151"/>
      <c r="E103" s="26"/>
      <c r="F103" s="26"/>
      <c r="G103" s="26"/>
      <c r="H103" s="26"/>
      <c r="I103" s="151"/>
      <c r="J103" s="26"/>
      <c r="K103" s="26"/>
    </row>
    <row r="104" spans="1:11" ht="13.8" thickBot="1">
      <c r="A104" s="107">
        <f>+A102+1</f>
        <v>35</v>
      </c>
      <c r="B104" s="28" t="s">
        <v>226</v>
      </c>
      <c r="C104" s="26" t="str">
        <f>"( Sum of line "&amp;A82&amp;", "&amp;A94&amp;", "&amp;A96&amp;", "&amp;A102&amp;")"</f>
        <v>( Sum of line 17, 28, 29, 34)</v>
      </c>
      <c r="D104" s="164">
        <f>+D102+D96+D94+D82</f>
        <v>5434905.9613186345</v>
      </c>
      <c r="E104" s="41"/>
      <c r="F104" s="41"/>
      <c r="G104" s="165"/>
      <c r="H104" s="41"/>
      <c r="I104" s="164">
        <f>+I102+I96+I94+I82</f>
        <v>5434905.9613186345</v>
      </c>
      <c r="J104" s="26"/>
      <c r="K104" s="153"/>
    </row>
    <row r="105" spans="1:11" ht="13.8" thickTop="1">
      <c r="A105" s="107"/>
      <c r="B105" s="28"/>
      <c r="C105" s="26"/>
      <c r="D105" s="166"/>
      <c r="E105" s="41"/>
      <c r="F105" s="41"/>
      <c r="G105" s="165"/>
      <c r="H105" s="41"/>
      <c r="I105" s="166"/>
      <c r="J105" s="26"/>
      <c r="K105" s="153"/>
    </row>
    <row r="106" spans="1:11">
      <c r="A106" s="107"/>
      <c r="B106" s="28"/>
      <c r="C106" s="26"/>
      <c r="D106" s="166"/>
      <c r="E106" s="41"/>
      <c r="F106" s="41"/>
      <c r="G106" s="165"/>
      <c r="H106" s="41"/>
      <c r="I106" s="166"/>
      <c r="J106" s="26"/>
      <c r="K106" s="153"/>
    </row>
    <row r="107" spans="1:11">
      <c r="A107" s="107"/>
      <c r="B107" s="28"/>
      <c r="C107" s="26"/>
      <c r="D107" s="26"/>
      <c r="E107" s="26"/>
      <c r="F107" s="26"/>
      <c r="G107" s="26"/>
      <c r="H107" s="26"/>
      <c r="I107" s="26"/>
      <c r="J107" s="26"/>
      <c r="K107" s="167" t="s">
        <v>710</v>
      </c>
    </row>
    <row r="108" spans="1:11">
      <c r="A108" s="107"/>
      <c r="B108" s="28"/>
      <c r="C108" s="26"/>
      <c r="D108" s="26"/>
      <c r="E108" s="26"/>
      <c r="F108" s="26"/>
      <c r="G108" s="26"/>
      <c r="H108" s="26"/>
      <c r="I108" s="26"/>
      <c r="J108" s="26"/>
      <c r="K108" s="167"/>
    </row>
    <row r="109" spans="1:11">
      <c r="A109" s="107"/>
      <c r="B109" s="28" t="s">
        <v>1</v>
      </c>
      <c r="C109" s="26"/>
      <c r="D109" s="107" t="s">
        <v>816</v>
      </c>
      <c r="E109" s="26"/>
      <c r="F109" s="26"/>
      <c r="G109" s="26"/>
      <c r="H109" s="26"/>
      <c r="I109" s="105"/>
      <c r="J109" s="26"/>
      <c r="K109" s="167" t="str">
        <f>K3</f>
        <v>Projected 12 months ended 12/31/17</v>
      </c>
    </row>
    <row r="110" spans="1:11">
      <c r="A110" s="107"/>
      <c r="B110" s="28"/>
      <c r="C110" s="26"/>
      <c r="D110" s="29" t="s">
        <v>101</v>
      </c>
      <c r="E110" s="26"/>
      <c r="F110" s="26"/>
      <c r="G110" s="26"/>
      <c r="H110" s="26"/>
      <c r="I110" s="26"/>
      <c r="J110" s="26"/>
      <c r="K110" s="26"/>
    </row>
    <row r="111" spans="1:11">
      <c r="A111" s="107"/>
      <c r="B111" s="33"/>
      <c r="C111" s="26"/>
      <c r="D111" s="29" t="str">
        <f>+D57</f>
        <v>Transource West Virginia, LLC</v>
      </c>
      <c r="E111" s="26"/>
      <c r="F111" s="26"/>
      <c r="G111" s="26"/>
      <c r="H111" s="26"/>
      <c r="I111" s="26"/>
      <c r="J111" s="26"/>
      <c r="K111" s="26"/>
    </row>
    <row r="112" spans="1:11">
      <c r="A112" s="913"/>
      <c r="B112" s="913"/>
      <c r="C112" s="913"/>
      <c r="D112" s="913"/>
      <c r="E112" s="913"/>
      <c r="F112" s="913"/>
      <c r="G112" s="913"/>
      <c r="H112" s="913"/>
      <c r="I112" s="913"/>
      <c r="J112" s="913"/>
      <c r="K112" s="913"/>
    </row>
    <row r="113" spans="1:11">
      <c r="A113" s="107"/>
      <c r="B113" s="117" t="s">
        <v>3</v>
      </c>
      <c r="C113" s="117" t="s">
        <v>4</v>
      </c>
      <c r="D113" s="117" t="s">
        <v>5</v>
      </c>
      <c r="E113" s="26" t="s">
        <v>2</v>
      </c>
      <c r="F113" s="26"/>
      <c r="G113" s="116" t="s">
        <v>6</v>
      </c>
      <c r="H113" s="26"/>
      <c r="I113" s="116" t="s">
        <v>7</v>
      </c>
      <c r="J113" s="26"/>
      <c r="K113" s="26"/>
    </row>
    <row r="114" spans="1:11">
      <c r="A114" s="107" t="s">
        <v>8</v>
      </c>
      <c r="B114" s="28"/>
      <c r="C114" s="144"/>
      <c r="D114" s="26"/>
      <c r="E114" s="26"/>
      <c r="F114" s="26"/>
      <c r="G114" s="107"/>
      <c r="H114" s="26"/>
      <c r="I114" s="145" t="s">
        <v>16</v>
      </c>
      <c r="J114" s="26"/>
      <c r="K114" s="145"/>
    </row>
    <row r="115" spans="1:11" ht="13.8" thickBot="1">
      <c r="A115" s="30" t="s">
        <v>10</v>
      </c>
      <c r="B115" s="28"/>
      <c r="C115" s="146" t="s">
        <v>205</v>
      </c>
      <c r="D115" s="145" t="s">
        <v>18</v>
      </c>
      <c r="E115" s="147"/>
      <c r="F115" s="145" t="s">
        <v>19</v>
      </c>
      <c r="G115" s="33"/>
      <c r="H115" s="147"/>
      <c r="I115" s="107" t="s">
        <v>20</v>
      </c>
      <c r="J115" s="26"/>
      <c r="K115" s="145"/>
    </row>
    <row r="116" spans="1:11">
      <c r="A116" s="107"/>
      <c r="B116" s="28" t="s">
        <v>0</v>
      </c>
      <c r="C116" s="26"/>
      <c r="D116" s="26"/>
      <c r="E116" s="26"/>
      <c r="F116" s="26"/>
      <c r="G116" s="26"/>
      <c r="H116" s="26"/>
      <c r="I116" s="26"/>
      <c r="J116" s="26"/>
      <c r="K116" s="26"/>
    </row>
    <row r="117" spans="1:11">
      <c r="A117" s="107">
        <v>1</v>
      </c>
      <c r="B117" s="28" t="s">
        <v>29</v>
      </c>
      <c r="C117" s="26" t="s">
        <v>469</v>
      </c>
      <c r="D117" s="332">
        <v>228826.6338124442</v>
      </c>
      <c r="E117" s="26"/>
      <c r="F117" s="26" t="s">
        <v>15</v>
      </c>
      <c r="G117" s="170">
        <f>$I$188</f>
        <v>1</v>
      </c>
      <c r="H117" s="41"/>
      <c r="I117" s="15">
        <f t="shared" ref="I117:I128" si="3">+G117*D117</f>
        <v>228826.6338124442</v>
      </c>
      <c r="J117" s="113"/>
      <c r="K117" s="26"/>
    </row>
    <row r="118" spans="1:11">
      <c r="A118" s="127">
        <f>+A117+1</f>
        <v>2</v>
      </c>
      <c r="B118" s="168" t="s">
        <v>98</v>
      </c>
      <c r="C118" s="26" t="s">
        <v>471</v>
      </c>
      <c r="D118" s="332">
        <v>68434.308495986304</v>
      </c>
      <c r="E118" s="158"/>
      <c r="F118" s="158" t="str">
        <f>+F117</f>
        <v>TP</v>
      </c>
      <c r="G118" s="170">
        <f>$I$188</f>
        <v>1</v>
      </c>
      <c r="H118" s="158"/>
      <c r="I118" s="161">
        <f>+G118*D118</f>
        <v>68434.308495986304</v>
      </c>
      <c r="K118" s="26"/>
    </row>
    <row r="119" spans="1:11">
      <c r="A119" s="127">
        <f t="shared" ref="A119:A165" si="4">+A118+1</f>
        <v>3</v>
      </c>
      <c r="B119" s="37" t="s">
        <v>30</v>
      </c>
      <c r="C119" s="26" t="s">
        <v>472</v>
      </c>
      <c r="D119" s="332">
        <v>-166.633289054182</v>
      </c>
      <c r="E119" s="26"/>
      <c r="F119" s="26" t="str">
        <f>+F118</f>
        <v>TP</v>
      </c>
      <c r="G119" s="170">
        <f>$I$188</f>
        <v>1</v>
      </c>
      <c r="H119" s="41"/>
      <c r="I119" s="15">
        <f t="shared" si="3"/>
        <v>-166.633289054182</v>
      </c>
      <c r="J119" s="113"/>
      <c r="K119" s="26"/>
    </row>
    <row r="120" spans="1:11">
      <c r="A120" s="333">
        <f t="shared" si="4"/>
        <v>4</v>
      </c>
      <c r="B120" s="28" t="s">
        <v>31</v>
      </c>
      <c r="C120" s="26" t="s">
        <v>473</v>
      </c>
      <c r="D120" s="332">
        <v>62035.190785954459</v>
      </c>
      <c r="E120" s="26"/>
      <c r="F120" s="26" t="s">
        <v>23</v>
      </c>
      <c r="G120" s="170">
        <f t="shared" ref="G120:G125" si="5">$I$196</f>
        <v>1</v>
      </c>
      <c r="H120" s="41"/>
      <c r="I120" s="15">
        <f t="shared" si="3"/>
        <v>62035.190785954459</v>
      </c>
      <c r="J120" s="26"/>
      <c r="K120" s="26" t="s">
        <v>2</v>
      </c>
    </row>
    <row r="121" spans="1:11">
      <c r="A121" s="333">
        <f t="shared" si="4"/>
        <v>5</v>
      </c>
      <c r="B121" s="28" t="s">
        <v>111</v>
      </c>
      <c r="C121" s="26" t="s">
        <v>575</v>
      </c>
      <c r="D121" s="332">
        <v>0</v>
      </c>
      <c r="E121" s="26"/>
      <c r="F121" s="26" t="s">
        <v>23</v>
      </c>
      <c r="G121" s="170">
        <f t="shared" si="5"/>
        <v>1</v>
      </c>
      <c r="H121" s="41"/>
      <c r="I121" s="15">
        <f t="shared" si="3"/>
        <v>0</v>
      </c>
      <c r="J121" s="26"/>
      <c r="K121" s="26"/>
    </row>
    <row r="122" spans="1:11">
      <c r="A122" s="333">
        <f t="shared" si="4"/>
        <v>6</v>
      </c>
      <c r="B122" s="37" t="s">
        <v>621</v>
      </c>
      <c r="C122" s="26" t="s">
        <v>572</v>
      </c>
      <c r="D122" s="332">
        <v>0</v>
      </c>
      <c r="E122" s="26"/>
      <c r="F122" s="26" t="s">
        <v>23</v>
      </c>
      <c r="G122" s="170">
        <f t="shared" si="5"/>
        <v>1</v>
      </c>
      <c r="H122" s="41"/>
      <c r="I122" s="15">
        <f t="shared" si="3"/>
        <v>0</v>
      </c>
      <c r="J122" s="26"/>
      <c r="K122" s="26"/>
    </row>
    <row r="123" spans="1:11" s="328" customFormat="1">
      <c r="A123" s="333">
        <f t="shared" si="4"/>
        <v>7</v>
      </c>
      <c r="B123" s="37" t="s">
        <v>623</v>
      </c>
      <c r="C123" s="26" t="s">
        <v>572</v>
      </c>
      <c r="D123" s="332">
        <v>0</v>
      </c>
      <c r="E123" s="26"/>
      <c r="F123" s="26" t="s">
        <v>23</v>
      </c>
      <c r="G123" s="170">
        <f t="shared" si="5"/>
        <v>1</v>
      </c>
      <c r="H123" s="41"/>
      <c r="I123" s="423">
        <f t="shared" ref="I123:I124" si="6">+G123*D123</f>
        <v>0</v>
      </c>
      <c r="J123" s="26"/>
      <c r="K123" s="26"/>
    </row>
    <row r="124" spans="1:11" s="328" customFormat="1">
      <c r="A124" s="333">
        <f t="shared" si="4"/>
        <v>8</v>
      </c>
      <c r="B124" s="37" t="s">
        <v>622</v>
      </c>
      <c r="C124" s="26" t="s">
        <v>572</v>
      </c>
      <c r="D124" s="332">
        <v>0</v>
      </c>
      <c r="E124" s="26"/>
      <c r="F124" s="26" t="s">
        <v>23</v>
      </c>
      <c r="G124" s="170">
        <f t="shared" si="5"/>
        <v>1</v>
      </c>
      <c r="H124" s="41"/>
      <c r="I124" s="423">
        <f t="shared" si="6"/>
        <v>0</v>
      </c>
      <c r="J124" s="26"/>
      <c r="K124" s="26"/>
    </row>
    <row r="125" spans="1:11" s="12" customFormat="1">
      <c r="A125" s="333">
        <f t="shared" si="4"/>
        <v>9</v>
      </c>
      <c r="B125" s="37" t="s">
        <v>470</v>
      </c>
      <c r="C125" s="34" t="s">
        <v>580</v>
      </c>
      <c r="D125" s="176">
        <f>+'7 - PBOP'!F18</f>
        <v>0</v>
      </c>
      <c r="E125" s="101"/>
      <c r="F125" s="26" t="s">
        <v>23</v>
      </c>
      <c r="G125" s="170">
        <f t="shared" si="5"/>
        <v>1</v>
      </c>
      <c r="H125" s="41"/>
      <c r="I125" s="15">
        <f>+G125*D125</f>
        <v>0</v>
      </c>
      <c r="J125" s="101"/>
      <c r="K125" s="101"/>
    </row>
    <row r="126" spans="1:11">
      <c r="A126" s="333">
        <f t="shared" si="4"/>
        <v>10</v>
      </c>
      <c r="B126" s="37" t="s">
        <v>217</v>
      </c>
      <c r="C126" s="26" t="s">
        <v>573</v>
      </c>
      <c r="D126" s="332">
        <v>0</v>
      </c>
      <c r="E126" s="26"/>
      <c r="F126" s="169" t="s">
        <v>15</v>
      </c>
      <c r="G126" s="170">
        <f>$I$188</f>
        <v>1</v>
      </c>
      <c r="H126" s="41"/>
      <c r="I126" s="15">
        <f t="shared" si="3"/>
        <v>0</v>
      </c>
      <c r="J126" s="26"/>
      <c r="K126" s="26"/>
    </row>
    <row r="127" spans="1:11" s="12" customFormat="1">
      <c r="A127" s="333">
        <f t="shared" si="4"/>
        <v>11</v>
      </c>
      <c r="B127" s="37" t="s">
        <v>213</v>
      </c>
      <c r="C127" s="34" t="s">
        <v>360</v>
      </c>
      <c r="D127" s="176">
        <f>+'7 - PBOP'!F15</f>
        <v>-2377.6124298593345</v>
      </c>
      <c r="E127" s="101"/>
      <c r="F127" s="26" t="s">
        <v>23</v>
      </c>
      <c r="G127" s="170">
        <f>$I$196</f>
        <v>1</v>
      </c>
      <c r="H127" s="41"/>
      <c r="I127" s="15">
        <f>+G127*D127</f>
        <v>-2377.6124298593345</v>
      </c>
      <c r="J127" s="101"/>
      <c r="K127" s="101"/>
    </row>
    <row r="128" spans="1:11" s="532" customFormat="1">
      <c r="A128" s="533">
        <f t="shared" si="4"/>
        <v>12</v>
      </c>
      <c r="B128" s="528" t="s">
        <v>629</v>
      </c>
      <c r="C128" s="527" t="s">
        <v>643</v>
      </c>
      <c r="D128" s="529">
        <v>0</v>
      </c>
      <c r="E128" s="527"/>
      <c r="F128" s="527" t="str">
        <f>+F130</f>
        <v>DA</v>
      </c>
      <c r="G128" s="531">
        <v>1</v>
      </c>
      <c r="H128" s="530"/>
      <c r="I128" s="529">
        <f t="shared" si="3"/>
        <v>0</v>
      </c>
      <c r="J128" s="527"/>
      <c r="K128" s="527"/>
    </row>
    <row r="129" spans="1:11">
      <c r="A129" s="333">
        <f t="shared" si="4"/>
        <v>13</v>
      </c>
      <c r="B129" s="168" t="s">
        <v>99</v>
      </c>
      <c r="C129" s="158"/>
      <c r="D129" s="46"/>
      <c r="E129" s="158"/>
      <c r="F129" s="158"/>
      <c r="G129" s="171"/>
      <c r="H129" s="158"/>
      <c r="I129" s="46"/>
      <c r="K129" s="26"/>
    </row>
    <row r="130" spans="1:11">
      <c r="A130" s="333">
        <f t="shared" si="4"/>
        <v>14</v>
      </c>
      <c r="B130" s="168" t="s">
        <v>582</v>
      </c>
      <c r="C130" s="158" t="s">
        <v>581</v>
      </c>
      <c r="D130" s="332">
        <f>5699*12</f>
        <v>68388</v>
      </c>
      <c r="E130" s="156"/>
      <c r="F130" s="156" t="s">
        <v>77</v>
      </c>
      <c r="G130" s="172">
        <v>1</v>
      </c>
      <c r="H130" s="156"/>
      <c r="I130" s="46">
        <f>+G130*D130</f>
        <v>68388</v>
      </c>
      <c r="K130" s="26"/>
    </row>
    <row r="131" spans="1:11">
      <c r="A131" s="333">
        <f t="shared" si="4"/>
        <v>15</v>
      </c>
      <c r="B131" s="525" t="s">
        <v>626</v>
      </c>
      <c r="C131" s="26"/>
      <c r="D131" s="332">
        <f>+D118-D130</f>
        <v>46.308495986304479</v>
      </c>
      <c r="E131" s="156"/>
      <c r="F131" s="156" t="s">
        <v>15</v>
      </c>
      <c r="G131" s="170">
        <f>$I$188</f>
        <v>1</v>
      </c>
      <c r="H131" s="156"/>
      <c r="I131" s="46">
        <f>+G131*D131</f>
        <v>46.308495986304479</v>
      </c>
      <c r="K131" s="26"/>
    </row>
    <row r="132" spans="1:11" ht="13.8" thickBot="1">
      <c r="A132" s="333">
        <f t="shared" si="4"/>
        <v>16</v>
      </c>
      <c r="B132" s="168" t="s">
        <v>100</v>
      </c>
      <c r="C132" s="158" t="str">
        <f>"( Sum of line "&amp;A130&amp;" - line "&amp;A131&amp;")"" Ties to 321.97b"</f>
        <v>( Sum of line 14 - line 15)" Ties to 321.97b</v>
      </c>
      <c r="D132" s="173">
        <f>SUM(D130:D131)</f>
        <v>68434.308495986304</v>
      </c>
      <c r="E132" s="156"/>
      <c r="F132" s="156"/>
      <c r="G132" s="172"/>
      <c r="H132" s="156"/>
      <c r="I132" s="173">
        <f>SUM(I130:I131)</f>
        <v>68434.308495986304</v>
      </c>
      <c r="K132" s="26"/>
    </row>
    <row r="133" spans="1:11">
      <c r="A133" s="333">
        <f t="shared" si="4"/>
        <v>17</v>
      </c>
      <c r="B133" s="174" t="s">
        <v>227</v>
      </c>
      <c r="C133" s="102" t="s">
        <v>625</v>
      </c>
      <c r="D133" s="15">
        <f>+D117-D118-D119+D120-D121-D122-D123-D124-D125+D126+D127+D128+D132</f>
        <v>288650.8454575935</v>
      </c>
      <c r="E133" s="15"/>
      <c r="F133" s="15"/>
      <c r="G133" s="15"/>
      <c r="H133" s="15"/>
      <c r="I133" s="423">
        <f>+I117-I118-I119+I120-I121-I122-I123-I124-I125+I126+I127+I128+I132</f>
        <v>288650.8454575935</v>
      </c>
      <c r="J133" s="26"/>
      <c r="K133" s="26"/>
    </row>
    <row r="134" spans="1:11">
      <c r="A134" s="333"/>
      <c r="B134" s="33"/>
      <c r="C134" s="26"/>
      <c r="D134" s="15"/>
      <c r="E134" s="15"/>
      <c r="F134" s="15"/>
      <c r="G134" s="15"/>
      <c r="H134" s="15"/>
      <c r="I134" s="15"/>
      <c r="J134" s="26"/>
      <c r="K134" s="26"/>
    </row>
    <row r="135" spans="1:11">
      <c r="A135" s="333">
        <f>+A133+1</f>
        <v>18</v>
      </c>
      <c r="B135" s="28" t="s">
        <v>589</v>
      </c>
      <c r="C135" s="26" t="s">
        <v>405</v>
      </c>
      <c r="D135" s="15"/>
      <c r="E135" s="15"/>
      <c r="F135" s="15"/>
      <c r="G135" s="15"/>
      <c r="H135" s="15"/>
      <c r="I135" s="15"/>
      <c r="J135" s="26"/>
      <c r="K135" s="26"/>
    </row>
    <row r="136" spans="1:11">
      <c r="A136" s="333">
        <f t="shared" si="4"/>
        <v>19</v>
      </c>
      <c r="B136" s="28" t="s">
        <v>29</v>
      </c>
      <c r="C136" s="160" t="s">
        <v>474</v>
      </c>
      <c r="D136" s="859">
        <v>0</v>
      </c>
      <c r="E136" s="15"/>
      <c r="F136" s="15" t="s">
        <v>15</v>
      </c>
      <c r="G136" s="170">
        <f>$I$188</f>
        <v>1</v>
      </c>
      <c r="H136" s="15"/>
      <c r="I136" s="15">
        <f>+G136*D136</f>
        <v>0</v>
      </c>
      <c r="J136" s="26"/>
      <c r="K136" s="153"/>
    </row>
    <row r="137" spans="1:11">
      <c r="A137" s="333">
        <f t="shared" si="4"/>
        <v>20</v>
      </c>
      <c r="B137" s="175" t="s">
        <v>88</v>
      </c>
      <c r="C137" s="160" t="s">
        <v>475</v>
      </c>
      <c r="D137" s="859">
        <v>0</v>
      </c>
      <c r="E137" s="15"/>
      <c r="F137" s="15" t="s">
        <v>23</v>
      </c>
      <c r="G137" s="170">
        <f>$I$196</f>
        <v>1</v>
      </c>
      <c r="H137" s="15"/>
      <c r="I137" s="15">
        <f>+G137*D137</f>
        <v>0</v>
      </c>
      <c r="J137" s="26"/>
      <c r="K137" s="153"/>
    </row>
    <row r="138" spans="1:11" ht="13.8" thickBot="1">
      <c r="A138" s="333">
        <f t="shared" si="4"/>
        <v>21</v>
      </c>
      <c r="B138" s="168" t="s">
        <v>94</v>
      </c>
      <c r="C138" s="34" t="s">
        <v>583</v>
      </c>
      <c r="D138" s="908">
        <v>0</v>
      </c>
      <c r="E138" s="15"/>
      <c r="F138" s="15" t="s">
        <v>77</v>
      </c>
      <c r="G138" s="170">
        <v>1</v>
      </c>
      <c r="H138" s="15"/>
      <c r="I138" s="151">
        <f>+G138*D138</f>
        <v>0</v>
      </c>
      <c r="J138" s="26"/>
      <c r="K138" s="153"/>
    </row>
    <row r="139" spans="1:11">
      <c r="A139" s="333">
        <f t="shared" si="4"/>
        <v>22</v>
      </c>
      <c r="B139" s="28" t="s">
        <v>218</v>
      </c>
      <c r="C139" s="26" t="str">
        <f>"( Sum of line "&amp;A136&amp;" - line "&amp;A138&amp;")"</f>
        <v>( Sum of line 19 - line 21)</v>
      </c>
      <c r="D139" s="423">
        <f>SUM(D136:D138)</f>
        <v>0</v>
      </c>
      <c r="E139" s="15"/>
      <c r="F139" s="15"/>
      <c r="G139" s="170"/>
      <c r="H139" s="15"/>
      <c r="I139" s="15">
        <f>SUM(I136:I138)</f>
        <v>0</v>
      </c>
      <c r="J139" s="26"/>
      <c r="K139" s="26"/>
    </row>
    <row r="140" spans="1:11">
      <c r="A140" s="333"/>
      <c r="B140" s="28"/>
      <c r="C140" s="26"/>
      <c r="D140" s="15"/>
      <c r="E140" s="15"/>
      <c r="F140" s="15"/>
      <c r="G140" s="170"/>
      <c r="H140" s="15"/>
      <c r="I140" s="15"/>
      <c r="J140" s="26"/>
      <c r="K140" s="26"/>
    </row>
    <row r="141" spans="1:11">
      <c r="A141" s="333">
        <f>+A139+1</f>
        <v>23</v>
      </c>
      <c r="B141" s="28" t="s">
        <v>585</v>
      </c>
      <c r="C141" s="31"/>
      <c r="D141" s="15"/>
      <c r="E141" s="15"/>
      <c r="F141" s="15"/>
      <c r="G141" s="170"/>
      <c r="H141" s="15"/>
      <c r="I141" s="15"/>
      <c r="J141" s="26"/>
      <c r="K141" s="26"/>
    </row>
    <row r="142" spans="1:11">
      <c r="A142" s="333">
        <f t="shared" si="4"/>
        <v>24</v>
      </c>
      <c r="B142" s="28" t="s">
        <v>32</v>
      </c>
      <c r="C142" s="33"/>
      <c r="D142" s="15"/>
      <c r="E142" s="15"/>
      <c r="F142" s="15"/>
      <c r="G142" s="170"/>
      <c r="H142" s="15"/>
      <c r="I142" s="15"/>
      <c r="J142" s="26"/>
      <c r="K142" s="153"/>
    </row>
    <row r="143" spans="1:11">
      <c r="A143" s="333">
        <f t="shared" si="4"/>
        <v>25</v>
      </c>
      <c r="B143" s="28" t="s">
        <v>33</v>
      </c>
      <c r="C143" s="160" t="s">
        <v>647</v>
      </c>
      <c r="D143" s="859">
        <v>0</v>
      </c>
      <c r="E143" s="15"/>
      <c r="F143" s="15" t="s">
        <v>23</v>
      </c>
      <c r="G143" s="170">
        <f>$I$196</f>
        <v>1</v>
      </c>
      <c r="H143" s="15"/>
      <c r="I143" s="15">
        <f>+G143*D143</f>
        <v>0</v>
      </c>
      <c r="J143" s="26"/>
      <c r="K143" s="153"/>
    </row>
    <row r="144" spans="1:11">
      <c r="A144" s="333">
        <f t="shared" si="4"/>
        <v>26</v>
      </c>
      <c r="B144" s="28" t="s">
        <v>34</v>
      </c>
      <c r="C144" s="160" t="s">
        <v>647</v>
      </c>
      <c r="D144" s="859">
        <v>0</v>
      </c>
      <c r="E144" s="15"/>
      <c r="F144" s="15" t="s">
        <v>23</v>
      </c>
      <c r="G144" s="170">
        <f>$I$196</f>
        <v>1</v>
      </c>
      <c r="H144" s="15"/>
      <c r="I144" s="15">
        <f>+G144*D144</f>
        <v>0</v>
      </c>
      <c r="J144" s="26"/>
      <c r="K144" s="153"/>
    </row>
    <row r="145" spans="1:11">
      <c r="A145" s="333">
        <f t="shared" si="4"/>
        <v>27</v>
      </c>
      <c r="B145" s="28" t="s">
        <v>35</v>
      </c>
      <c r="C145" s="160" t="s">
        <v>2</v>
      </c>
      <c r="D145" s="161"/>
      <c r="E145" s="15"/>
      <c r="F145" s="15"/>
      <c r="G145" s="170"/>
      <c r="H145" s="15"/>
      <c r="I145" s="15"/>
      <c r="J145" s="26"/>
      <c r="K145" s="153"/>
    </row>
    <row r="146" spans="1:11">
      <c r="A146" s="333">
        <f t="shared" si="4"/>
        <v>28</v>
      </c>
      <c r="B146" s="28" t="s">
        <v>36</v>
      </c>
      <c r="C146" s="160" t="s">
        <v>647</v>
      </c>
      <c r="D146" s="859">
        <v>0</v>
      </c>
      <c r="E146" s="15"/>
      <c r="F146" s="15" t="s">
        <v>28</v>
      </c>
      <c r="G146" s="336">
        <f>+$G$68</f>
        <v>1</v>
      </c>
      <c r="H146" s="15"/>
      <c r="I146" s="15">
        <f>+G146*D146</f>
        <v>0</v>
      </c>
      <c r="J146" s="26"/>
      <c r="K146" s="153"/>
    </row>
    <row r="147" spans="1:11">
      <c r="A147" s="333">
        <f t="shared" si="4"/>
        <v>29</v>
      </c>
      <c r="B147" s="28" t="s">
        <v>37</v>
      </c>
      <c r="C147" s="160" t="s">
        <v>647</v>
      </c>
      <c r="D147" s="859">
        <v>0</v>
      </c>
      <c r="E147" s="15"/>
      <c r="F147" s="161" t="s">
        <v>21</v>
      </c>
      <c r="G147" s="189" t="s">
        <v>110</v>
      </c>
      <c r="H147" s="15"/>
      <c r="I147" s="332">
        <v>0</v>
      </c>
      <c r="J147" s="26"/>
      <c r="K147" s="153"/>
    </row>
    <row r="148" spans="1:11">
      <c r="A148" s="333">
        <f t="shared" si="4"/>
        <v>30</v>
      </c>
      <c r="B148" s="28" t="s">
        <v>38</v>
      </c>
      <c r="C148" s="160" t="s">
        <v>647</v>
      </c>
      <c r="D148" s="859">
        <v>0</v>
      </c>
      <c r="E148" s="15"/>
      <c r="F148" s="15" t="s">
        <v>28</v>
      </c>
      <c r="G148" s="336">
        <f>+$G$68</f>
        <v>1</v>
      </c>
      <c r="H148" s="15"/>
      <c r="I148" s="15">
        <f>+G148*D148</f>
        <v>0</v>
      </c>
      <c r="J148" s="26"/>
      <c r="K148" s="153"/>
    </row>
    <row r="149" spans="1:11" ht="13.8" thickBot="1">
      <c r="A149" s="333">
        <f t="shared" si="4"/>
        <v>31</v>
      </c>
      <c r="B149" s="28" t="s">
        <v>39</v>
      </c>
      <c r="C149" s="160" t="s">
        <v>647</v>
      </c>
      <c r="D149" s="859">
        <v>0</v>
      </c>
      <c r="E149" s="15"/>
      <c r="F149" s="15" t="s">
        <v>28</v>
      </c>
      <c r="G149" s="336">
        <f>+$G$68</f>
        <v>1</v>
      </c>
      <c r="H149" s="15"/>
      <c r="I149" s="151">
        <f>+G149*D149</f>
        <v>0</v>
      </c>
      <c r="J149" s="26"/>
      <c r="K149" s="153"/>
    </row>
    <row r="150" spans="1:11" ht="13.8" thickTop="1">
      <c r="A150" s="333">
        <f t="shared" si="4"/>
        <v>32</v>
      </c>
      <c r="B150" s="28" t="s">
        <v>219</v>
      </c>
      <c r="C150" s="26" t="str">
        <f>"( Sum of line "&amp;A143&amp;" - line "&amp;A149&amp;")"</f>
        <v>( Sum of line 25 - line 31)</v>
      </c>
      <c r="D150" s="382">
        <f>SUM(D143:D149)</f>
        <v>0</v>
      </c>
      <c r="E150" s="15"/>
      <c r="F150" s="15"/>
      <c r="G150" s="15"/>
      <c r="H150" s="15"/>
      <c r="I150" s="15">
        <f>SUM(I143:I149)</f>
        <v>0</v>
      </c>
      <c r="J150" s="26"/>
      <c r="K150" s="26"/>
    </row>
    <row r="151" spans="1:11">
      <c r="A151" s="333"/>
      <c r="B151" s="28"/>
      <c r="C151" s="26"/>
      <c r="D151" s="26"/>
      <c r="E151" s="26"/>
      <c r="F151" s="26"/>
      <c r="G151" s="125"/>
      <c r="H151" s="26"/>
      <c r="I151" s="26"/>
      <c r="J151" s="26"/>
      <c r="K151" s="26"/>
    </row>
    <row r="152" spans="1:11">
      <c r="A152" s="333">
        <f>+A150+1</f>
        <v>33</v>
      </c>
      <c r="B152" s="28" t="s">
        <v>587</v>
      </c>
      <c r="C152" s="34" t="s">
        <v>588</v>
      </c>
      <c r="D152" s="26"/>
      <c r="E152" s="26"/>
      <c r="F152" s="33"/>
      <c r="G152" s="35"/>
      <c r="H152" s="26"/>
      <c r="I152" s="33"/>
      <c r="J152" s="26"/>
      <c r="K152" s="33"/>
    </row>
    <row r="153" spans="1:11">
      <c r="A153" s="333">
        <f t="shared" si="4"/>
        <v>34</v>
      </c>
      <c r="B153" s="36" t="s">
        <v>245</v>
      </c>
      <c r="C153" s="26"/>
      <c r="D153" s="405">
        <f>IF(D236&gt;0,1-(((1-D237)*(1-D236))/(1-D237*D236*D238)),0)</f>
        <v>0.39224999999999999</v>
      </c>
      <c r="E153" s="26"/>
      <c r="F153" s="33"/>
      <c r="G153" s="35"/>
      <c r="H153" s="26"/>
      <c r="I153" s="33"/>
      <c r="J153" s="26"/>
      <c r="K153" s="33"/>
    </row>
    <row r="154" spans="1:11">
      <c r="A154" s="333">
        <f t="shared" si="4"/>
        <v>35</v>
      </c>
      <c r="B154" s="33" t="s">
        <v>41</v>
      </c>
      <c r="C154" s="26" t="s">
        <v>556</v>
      </c>
      <c r="D154" s="405">
        <f>IF(I202&gt;0,(D153/(1-D153))*(1-I202/I205),0)</f>
        <v>0.40984658275905961</v>
      </c>
      <c r="E154" s="26"/>
      <c r="F154" s="33"/>
      <c r="G154" s="35"/>
      <c r="H154" s="26"/>
      <c r="I154" s="33"/>
      <c r="J154" s="26"/>
      <c r="K154" s="33"/>
    </row>
    <row r="155" spans="1:11">
      <c r="A155" s="333">
        <f t="shared" si="4"/>
        <v>36</v>
      </c>
      <c r="B155" s="37" t="s">
        <v>243</v>
      </c>
      <c r="C155" s="34"/>
      <c r="D155" s="26"/>
      <c r="E155" s="26"/>
      <c r="F155" s="33"/>
      <c r="G155" s="35"/>
      <c r="H155" s="26"/>
      <c r="I155" s="33"/>
      <c r="J155" s="26"/>
      <c r="K155" s="33"/>
    </row>
    <row r="156" spans="1:11">
      <c r="A156" s="333">
        <f t="shared" si="4"/>
        <v>37</v>
      </c>
      <c r="B156" s="37"/>
      <c r="D156" s="26"/>
      <c r="E156" s="26"/>
      <c r="F156" s="33"/>
      <c r="G156" s="35"/>
      <c r="H156" s="26"/>
      <c r="I156" s="33"/>
      <c r="J156" s="26"/>
      <c r="K156" s="33"/>
    </row>
    <row r="157" spans="1:11">
      <c r="A157" s="333">
        <f>+A156+1</f>
        <v>38</v>
      </c>
      <c r="B157" s="38" t="str">
        <f>"      1 / (1 - T)  =  (from line "&amp;A153&amp;")"</f>
        <v xml:space="preserve">      1 / (1 - T)  =  (from line 34)</v>
      </c>
      <c r="C157" s="34" t="s">
        <v>630</v>
      </c>
      <c r="D157" s="405">
        <f>IF(D153=0,0,1/(1-D153))</f>
        <v>1.6454134101192925</v>
      </c>
      <c r="E157" s="26"/>
      <c r="F157" s="33"/>
      <c r="G157" s="35"/>
      <c r="H157" s="26"/>
      <c r="I157" s="15"/>
      <c r="J157" s="26"/>
      <c r="K157" s="33"/>
    </row>
    <row r="158" spans="1:11">
      <c r="A158" s="333">
        <f t="shared" si="4"/>
        <v>39</v>
      </c>
      <c r="B158" s="37" t="s">
        <v>237</v>
      </c>
      <c r="C158" s="34" t="s">
        <v>477</v>
      </c>
      <c r="D158" s="859">
        <v>0</v>
      </c>
      <c r="E158" s="26"/>
      <c r="F158" s="33"/>
      <c r="G158" s="35"/>
      <c r="H158" s="26"/>
      <c r="I158" s="15"/>
      <c r="J158" s="26"/>
      <c r="K158" s="33"/>
    </row>
    <row r="159" spans="1:11">
      <c r="A159" s="333">
        <f t="shared" si="4"/>
        <v>40</v>
      </c>
      <c r="B159" s="37" t="s">
        <v>238</v>
      </c>
      <c r="C159" s="34" t="s">
        <v>476</v>
      </c>
      <c r="D159" s="859">
        <v>0</v>
      </c>
      <c r="E159" s="26"/>
      <c r="F159" s="33"/>
      <c r="G159" s="39"/>
      <c r="H159" s="26"/>
      <c r="I159" s="15"/>
      <c r="J159" s="26"/>
      <c r="K159" s="33"/>
    </row>
    <row r="160" spans="1:11">
      <c r="A160" s="333">
        <f t="shared" si="4"/>
        <v>41</v>
      </c>
      <c r="B160" s="37" t="s">
        <v>280</v>
      </c>
      <c r="C160" s="34" t="s">
        <v>594</v>
      </c>
      <c r="D160" s="859">
        <v>0</v>
      </c>
      <c r="E160" s="26"/>
      <c r="F160" s="33"/>
      <c r="G160" s="35"/>
      <c r="H160" s="26"/>
      <c r="I160" s="15"/>
      <c r="J160" s="26"/>
      <c r="K160" s="33"/>
    </row>
    <row r="161" spans="1:11">
      <c r="A161" s="333">
        <f t="shared" si="4"/>
        <v>42</v>
      </c>
      <c r="B161" s="38" t="s">
        <v>239</v>
      </c>
      <c r="C161" s="40" t="str">
        <f>"(Line "&amp;A154&amp;" times Line "&amp;A168&amp;")"</f>
        <v>(Line 35 times Line 48)</v>
      </c>
      <c r="D161" s="268">
        <f>+D154*D168</f>
        <v>231512.23855137383</v>
      </c>
      <c r="E161" s="41"/>
      <c r="F161" s="41" t="s">
        <v>21</v>
      </c>
      <c r="G161" s="42"/>
      <c r="H161" s="41"/>
      <c r="I161" s="268">
        <f>+D154*I168</f>
        <v>231512.23855137383</v>
      </c>
      <c r="J161" s="26"/>
      <c r="K161" s="124" t="s">
        <v>2</v>
      </c>
    </row>
    <row r="162" spans="1:11">
      <c r="A162" s="127">
        <f t="shared" si="4"/>
        <v>43</v>
      </c>
      <c r="B162" s="31" t="s">
        <v>240</v>
      </c>
      <c r="C162" s="40" t="str">
        <f>"(Line "&amp;A157&amp;" times Line "&amp;A158&amp;")"</f>
        <v>(Line 38 times Line 39)</v>
      </c>
      <c r="D162" s="268">
        <f>+D$157*D158</f>
        <v>0</v>
      </c>
      <c r="E162" s="41"/>
      <c r="F162" s="43" t="s">
        <v>27</v>
      </c>
      <c r="G162" s="154">
        <f>+$G$82</f>
        <v>1</v>
      </c>
      <c r="H162" s="41"/>
      <c r="I162" s="268">
        <f>+G162*D162</f>
        <v>0</v>
      </c>
      <c r="J162" s="26"/>
      <c r="K162" s="124"/>
    </row>
    <row r="163" spans="1:11">
      <c r="A163" s="127">
        <f t="shared" si="4"/>
        <v>44</v>
      </c>
      <c r="B163" s="31" t="s">
        <v>241</v>
      </c>
      <c r="C163" s="40" t="str">
        <f>"(Line "&amp;A157&amp;" times Line "&amp;A159&amp;")"</f>
        <v>(Line 38 times Line 40)</v>
      </c>
      <c r="D163" s="268">
        <f>+D$157*D159</f>
        <v>0</v>
      </c>
      <c r="E163" s="41"/>
      <c r="F163" s="43" t="s">
        <v>27</v>
      </c>
      <c r="G163" s="154">
        <f>+$G$82</f>
        <v>1</v>
      </c>
      <c r="H163" s="41"/>
      <c r="I163" s="268">
        <f>+G163*D163</f>
        <v>0</v>
      </c>
      <c r="J163" s="26"/>
      <c r="K163" s="124"/>
    </row>
    <row r="164" spans="1:11" ht="13.8" thickBot="1">
      <c r="A164" s="127">
        <f t="shared" si="4"/>
        <v>45</v>
      </c>
      <c r="B164" s="31" t="s">
        <v>112</v>
      </c>
      <c r="C164" s="40" t="str">
        <f>"(Line "&amp;A157&amp;" times Line "&amp;A160&amp;")"</f>
        <v>(Line 38 times Line 41)</v>
      </c>
      <c r="D164" s="269">
        <f>+D$157*D160</f>
        <v>0</v>
      </c>
      <c r="E164" s="41"/>
      <c r="F164" s="43" t="s">
        <v>27</v>
      </c>
      <c r="G164" s="154">
        <f>+$G$82</f>
        <v>1</v>
      </c>
      <c r="H164" s="41"/>
      <c r="I164" s="269">
        <f>+G164*D164</f>
        <v>0</v>
      </c>
      <c r="J164" s="26"/>
      <c r="K164" s="124"/>
    </row>
    <row r="165" spans="1:11">
      <c r="A165" s="127">
        <f t="shared" si="4"/>
        <v>46</v>
      </c>
      <c r="B165" s="44" t="s">
        <v>242</v>
      </c>
      <c r="C165" s="26" t="str">
        <f>"( Sum of line "&amp;A161&amp;" - line "&amp;A164&amp;")"</f>
        <v>( Sum of line 42 - line 45)</v>
      </c>
      <c r="D165" s="176">
        <f>SUM(D161:D164)</f>
        <v>231512.23855137383</v>
      </c>
      <c r="E165" s="41"/>
      <c r="F165" s="41" t="s">
        <v>2</v>
      </c>
      <c r="G165" s="42" t="s">
        <v>2</v>
      </c>
      <c r="H165" s="41"/>
      <c r="I165" s="176">
        <f>SUM(I161:I164)</f>
        <v>231512.23855137383</v>
      </c>
      <c r="J165" s="26"/>
      <c r="K165" s="26"/>
    </row>
    <row r="166" spans="1:11">
      <c r="A166" s="127"/>
      <c r="B166" s="33"/>
      <c r="C166" s="177"/>
      <c r="D166" s="15"/>
      <c r="E166" s="26"/>
      <c r="F166" s="26"/>
      <c r="G166" s="125"/>
      <c r="H166" s="26"/>
      <c r="I166" s="15"/>
      <c r="J166" s="26"/>
      <c r="K166" s="26"/>
    </row>
    <row r="167" spans="1:11">
      <c r="A167" s="127">
        <f>+A165+1</f>
        <v>47</v>
      </c>
      <c r="B167" s="28" t="s">
        <v>43</v>
      </c>
      <c r="J167" s="26"/>
      <c r="K167" s="33"/>
    </row>
    <row r="168" spans="1:11">
      <c r="A168" s="127">
        <f>A167+1</f>
        <v>48</v>
      </c>
      <c r="B168" s="179" t="s">
        <v>286</v>
      </c>
      <c r="C168" s="36" t="str">
        <f>"(Page 2, line " &amp;A104&amp;" times Page 4, Line 18)"</f>
        <v>(Page 2, line 35 times Page 4, Line 18)</v>
      </c>
      <c r="D168" s="191">
        <f>+$I205*D104</f>
        <v>564875.36627205485</v>
      </c>
      <c r="E168" s="41"/>
      <c r="F168" s="41" t="s">
        <v>21</v>
      </c>
      <c r="G168" s="178"/>
      <c r="H168" s="41"/>
      <c r="I168" s="423">
        <f>+$I205*I104</f>
        <v>564875.36627205485</v>
      </c>
      <c r="K168" s="153"/>
    </row>
    <row r="169" spans="1:11">
      <c r="A169" s="127"/>
      <c r="B169" s="28"/>
      <c r="C169" s="33"/>
      <c r="D169" s="39"/>
      <c r="E169" s="41"/>
      <c r="F169" s="41"/>
      <c r="G169" s="178"/>
      <c r="H169" s="41"/>
      <c r="I169" s="39"/>
      <c r="J169" s="26"/>
      <c r="K169" s="153"/>
    </row>
    <row r="170" spans="1:11" ht="13.8" thickBot="1">
      <c r="A170" s="127">
        <f>A168+1</f>
        <v>49</v>
      </c>
      <c r="B170" s="28" t="s">
        <v>216</v>
      </c>
      <c r="C170" s="26" t="str">
        <f>"( Sum of line  "&amp;A133&amp;","&amp;A139&amp;", "&amp;A150&amp;", "&amp;A165&amp;", "&amp;A168&amp;")"</f>
        <v>( Sum of line  17,22, 32, 46, 48)</v>
      </c>
      <c r="D170" s="180">
        <f>+D168+D165+D150+D139+D133</f>
        <v>1085038.4502810221</v>
      </c>
      <c r="E170" s="41"/>
      <c r="F170" s="41"/>
      <c r="G170" s="166"/>
      <c r="H170" s="41"/>
      <c r="I170" s="180">
        <f>+I168+I165+I150+I139+I133</f>
        <v>1085038.4502810221</v>
      </c>
      <c r="J170" s="113"/>
      <c r="K170" s="113"/>
    </row>
    <row r="171" spans="1:11" ht="13.8" thickTop="1">
      <c r="A171" s="127"/>
      <c r="B171" s="28"/>
      <c r="C171" s="26"/>
      <c r="D171" s="166"/>
      <c r="E171" s="41"/>
      <c r="F171" s="41"/>
      <c r="G171" s="166"/>
      <c r="H171" s="41"/>
      <c r="I171" s="39"/>
      <c r="J171" s="113"/>
      <c r="K171" s="113"/>
    </row>
    <row r="172" spans="1:11">
      <c r="A172" s="107"/>
      <c r="B172" s="33"/>
      <c r="C172" s="33"/>
      <c r="D172" s="33"/>
      <c r="E172" s="33"/>
      <c r="F172" s="33"/>
      <c r="G172" s="33"/>
      <c r="H172" s="33"/>
      <c r="I172" s="33"/>
      <c r="J172" s="26"/>
      <c r="K172" s="167" t="s">
        <v>713</v>
      </c>
    </row>
    <row r="173" spans="1:11">
      <c r="A173" s="107"/>
      <c r="B173" s="33"/>
      <c r="C173" s="33"/>
      <c r="D173" s="33"/>
      <c r="E173" s="33"/>
      <c r="F173" s="33"/>
      <c r="G173" s="33"/>
      <c r="H173" s="33"/>
      <c r="I173" s="33"/>
      <c r="J173" s="26"/>
      <c r="K173" s="26"/>
    </row>
    <row r="174" spans="1:11">
      <c r="A174" s="107"/>
      <c r="B174" s="28" t="s">
        <v>1</v>
      </c>
      <c r="C174" s="33"/>
      <c r="D174" s="107" t="s">
        <v>816</v>
      </c>
      <c r="E174" s="33"/>
      <c r="F174" s="33"/>
      <c r="G174" s="33"/>
      <c r="H174" s="33"/>
      <c r="I174" s="105"/>
      <c r="J174" s="26"/>
      <c r="K174" s="181" t="str">
        <f>K3</f>
        <v>Projected 12 months ended 12/31/17</v>
      </c>
    </row>
    <row r="175" spans="1:11">
      <c r="A175" s="107"/>
      <c r="B175" s="28"/>
      <c r="C175" s="33"/>
      <c r="D175" s="216" t="s">
        <v>101</v>
      </c>
      <c r="E175" s="33"/>
      <c r="F175" s="33"/>
      <c r="G175" s="33"/>
      <c r="H175" s="33"/>
      <c r="I175" s="33"/>
      <c r="J175" s="26"/>
      <c r="K175" s="26"/>
    </row>
    <row r="176" spans="1:11">
      <c r="A176" s="107"/>
      <c r="B176" s="33"/>
      <c r="C176" s="33"/>
      <c r="D176" s="216" t="str">
        <f>+D111</f>
        <v>Transource West Virginia, LLC</v>
      </c>
      <c r="E176" s="33"/>
      <c r="F176" s="33"/>
      <c r="G176" s="33"/>
      <c r="H176" s="33"/>
      <c r="I176" s="33"/>
      <c r="J176" s="26"/>
      <c r="K176" s="26"/>
    </row>
    <row r="177" spans="1:11">
      <c r="A177" s="913"/>
      <c r="B177" s="913"/>
      <c r="C177" s="913"/>
      <c r="D177" s="913"/>
      <c r="E177" s="913"/>
      <c r="F177" s="913"/>
      <c r="G177" s="913"/>
      <c r="H177" s="913"/>
      <c r="I177" s="913"/>
      <c r="J177" s="913"/>
      <c r="K177" s="913"/>
    </row>
    <row r="178" spans="1:11" s="12" customFormat="1">
      <c r="A178" s="182"/>
      <c r="B178" s="117" t="s">
        <v>3</v>
      </c>
      <c r="C178" s="117" t="s">
        <v>4</v>
      </c>
      <c r="D178" s="117" t="s">
        <v>5</v>
      </c>
      <c r="E178" s="26" t="s">
        <v>2</v>
      </c>
      <c r="F178" s="26"/>
      <c r="G178" s="116" t="s">
        <v>6</v>
      </c>
      <c r="H178" s="26"/>
      <c r="I178" s="116" t="s">
        <v>7</v>
      </c>
      <c r="J178" s="101"/>
      <c r="K178" s="101"/>
    </row>
    <row r="179" spans="1:11">
      <c r="A179" s="107"/>
      <c r="B179" s="33"/>
      <c r="C179" s="28"/>
      <c r="D179" s="28"/>
      <c r="E179" s="28"/>
      <c r="F179" s="28"/>
      <c r="G179" s="28"/>
      <c r="H179" s="28"/>
      <c r="I179" s="28"/>
      <c r="J179" s="28"/>
      <c r="K179" s="28"/>
    </row>
    <row r="180" spans="1:11">
      <c r="A180" s="107"/>
      <c r="B180" s="33"/>
      <c r="C180" s="148" t="s">
        <v>44</v>
      </c>
      <c r="D180" s="33"/>
      <c r="E180" s="113"/>
      <c r="F180" s="113"/>
      <c r="G180" s="113"/>
      <c r="H180" s="113"/>
      <c r="I180" s="113"/>
      <c r="J180" s="26"/>
      <c r="K180" s="26"/>
    </row>
    <row r="181" spans="1:11">
      <c r="A181" s="107" t="s">
        <v>8</v>
      </c>
      <c r="B181" s="148"/>
      <c r="C181" s="113"/>
      <c r="D181" s="113"/>
      <c r="E181" s="113"/>
      <c r="F181" s="113"/>
      <c r="G181" s="113"/>
      <c r="H181" s="113"/>
      <c r="I181" s="113"/>
      <c r="J181" s="26"/>
      <c r="K181" s="26"/>
    </row>
    <row r="182" spans="1:11" ht="13.8" thickBot="1">
      <c r="A182" s="30" t="s">
        <v>10</v>
      </c>
      <c r="B182" s="108" t="s">
        <v>45</v>
      </c>
      <c r="C182" s="121"/>
      <c r="D182" s="121"/>
      <c r="E182" s="121"/>
      <c r="F182" s="121"/>
      <c r="G182" s="121"/>
      <c r="H182" s="31"/>
      <c r="I182" s="31"/>
      <c r="J182" s="34"/>
      <c r="K182" s="26"/>
    </row>
    <row r="183" spans="1:11">
      <c r="A183" s="107">
        <v>1</v>
      </c>
      <c r="B183" s="109" t="s">
        <v>230</v>
      </c>
      <c r="C183" s="121" t="s">
        <v>291</v>
      </c>
      <c r="D183" s="34"/>
      <c r="E183" s="34"/>
      <c r="F183" s="34"/>
      <c r="G183" s="34"/>
      <c r="H183" s="34"/>
      <c r="I183" s="161">
        <f>D65</f>
        <v>0</v>
      </c>
      <c r="J183" s="34"/>
      <c r="K183" s="26"/>
    </row>
    <row r="184" spans="1:11">
      <c r="A184" s="306">
        <f>+A183+1</f>
        <v>2</v>
      </c>
      <c r="B184" s="109" t="s">
        <v>231</v>
      </c>
      <c r="C184" s="31" t="s">
        <v>596</v>
      </c>
      <c r="D184" s="31"/>
      <c r="E184" s="31"/>
      <c r="F184" s="31"/>
      <c r="G184" s="31"/>
      <c r="H184" s="31"/>
      <c r="I184" s="149">
        <v>0</v>
      </c>
      <c r="J184" s="34"/>
      <c r="K184" s="26"/>
    </row>
    <row r="185" spans="1:11" ht="13.8" thickBot="1">
      <c r="A185" s="306">
        <f>+A184+1</f>
        <v>3</v>
      </c>
      <c r="B185" s="183" t="s">
        <v>597</v>
      </c>
      <c r="C185" s="184" t="s">
        <v>599</v>
      </c>
      <c r="D185" s="105"/>
      <c r="E185" s="34"/>
      <c r="F185" s="34"/>
      <c r="G185" s="185"/>
      <c r="H185" s="34"/>
      <c r="I185" s="150">
        <v>0</v>
      </c>
      <c r="J185" s="34"/>
      <c r="K185" s="26"/>
    </row>
    <row r="186" spans="1:11">
      <c r="A186" s="306">
        <f t="shared" ref="A186:A205" si="7">+A185+1</f>
        <v>4</v>
      </c>
      <c r="B186" s="109" t="s">
        <v>233</v>
      </c>
      <c r="C186" s="121" t="s">
        <v>232</v>
      </c>
      <c r="D186" s="34"/>
      <c r="E186" s="34"/>
      <c r="F186" s="34"/>
      <c r="G186" s="185"/>
      <c r="H186" s="34"/>
      <c r="I186" s="161">
        <f>I183-I184-I185</f>
        <v>0</v>
      </c>
      <c r="J186" s="34"/>
      <c r="K186" s="26"/>
    </row>
    <row r="187" spans="1:11">
      <c r="A187" s="306"/>
      <c r="B187" s="31"/>
      <c r="C187" s="121"/>
      <c r="D187" s="34"/>
      <c r="E187" s="34"/>
      <c r="F187" s="34"/>
      <c r="G187" s="185"/>
      <c r="H187" s="34"/>
      <c r="I187" s="161"/>
      <c r="J187" s="34"/>
      <c r="K187" s="26"/>
    </row>
    <row r="188" spans="1:11">
      <c r="A188" s="306">
        <f>+A186+1</f>
        <v>5</v>
      </c>
      <c r="B188" s="109" t="s">
        <v>234</v>
      </c>
      <c r="C188" s="186" t="s">
        <v>417</v>
      </c>
      <c r="D188" s="187"/>
      <c r="E188" s="187"/>
      <c r="F188" s="187"/>
      <c r="G188" s="188"/>
      <c r="H188" s="34" t="s">
        <v>46</v>
      </c>
      <c r="I188" s="189">
        <f>IF(I183&gt;0,I186/I183,1)</f>
        <v>1</v>
      </c>
      <c r="J188" s="34"/>
      <c r="K188" s="26"/>
    </row>
    <row r="189" spans="1:11">
      <c r="A189" s="306"/>
      <c r="B189" s="33"/>
      <c r="C189" s="33"/>
      <c r="D189" s="33"/>
      <c r="E189" s="33"/>
      <c r="F189" s="33"/>
      <c r="G189" s="33"/>
      <c r="H189" s="33"/>
      <c r="I189" s="33"/>
      <c r="J189" s="33"/>
      <c r="K189" s="33"/>
    </row>
    <row r="190" spans="1:11">
      <c r="A190" s="306">
        <f>+A188+1</f>
        <v>6</v>
      </c>
      <c r="B190" s="28" t="s">
        <v>113</v>
      </c>
      <c r="C190" s="26"/>
      <c r="D190" s="26"/>
      <c r="E190" s="26"/>
      <c r="F190" s="26"/>
      <c r="G190" s="26"/>
      <c r="H190" s="26"/>
      <c r="I190" s="26"/>
      <c r="J190" s="26"/>
      <c r="K190" s="26"/>
    </row>
    <row r="191" spans="1:11" ht="13.8" thickBot="1">
      <c r="A191" s="306"/>
      <c r="B191" s="28"/>
      <c r="C191" s="190" t="s">
        <v>47</v>
      </c>
      <c r="D191" s="27" t="s">
        <v>48</v>
      </c>
      <c r="E191" s="27" t="s">
        <v>15</v>
      </c>
      <c r="F191" s="26"/>
      <c r="G191" s="27" t="s">
        <v>49</v>
      </c>
      <c r="H191" s="26"/>
      <c r="I191" s="26"/>
      <c r="J191" s="26"/>
      <c r="K191" s="26"/>
    </row>
    <row r="192" spans="1:11">
      <c r="A192" s="306">
        <f>+A190+1</f>
        <v>7</v>
      </c>
      <c r="B192" s="28" t="s">
        <v>262</v>
      </c>
      <c r="C192" s="26" t="s">
        <v>50</v>
      </c>
      <c r="D192" s="149">
        <v>0</v>
      </c>
      <c r="E192" s="191">
        <v>0</v>
      </c>
      <c r="F192" s="192"/>
      <c r="G192" s="15">
        <f>D192*E192</f>
        <v>0</v>
      </c>
      <c r="H192" s="41"/>
      <c r="I192" s="41"/>
      <c r="J192" s="26"/>
      <c r="K192" s="26"/>
    </row>
    <row r="193" spans="1:11">
      <c r="A193" s="306">
        <f t="shared" si="7"/>
        <v>8</v>
      </c>
      <c r="B193" s="28" t="s">
        <v>22</v>
      </c>
      <c r="C193" s="26" t="s">
        <v>274</v>
      </c>
      <c r="D193" s="149">
        <v>0</v>
      </c>
      <c r="E193" s="170">
        <f>+I188</f>
        <v>1</v>
      </c>
      <c r="F193" s="192"/>
      <c r="G193" s="15">
        <f>D193*E193</f>
        <v>0</v>
      </c>
      <c r="H193" s="41"/>
      <c r="I193" s="41"/>
      <c r="J193" s="26"/>
      <c r="K193" s="26"/>
    </row>
    <row r="194" spans="1:11">
      <c r="A194" s="306">
        <f t="shared" si="7"/>
        <v>9</v>
      </c>
      <c r="B194" s="28" t="s">
        <v>263</v>
      </c>
      <c r="C194" s="26" t="s">
        <v>97</v>
      </c>
      <c r="D194" s="149">
        <v>0</v>
      </c>
      <c r="E194" s="191">
        <v>0</v>
      </c>
      <c r="F194" s="192"/>
      <c r="G194" s="15">
        <f>D194*E194</f>
        <v>0</v>
      </c>
      <c r="H194" s="41"/>
      <c r="I194" s="193" t="s">
        <v>51</v>
      </c>
      <c r="J194" s="26"/>
      <c r="K194" s="26"/>
    </row>
    <row r="195" spans="1:11" ht="13.8" thickBot="1">
      <c r="A195" s="306">
        <f t="shared" si="7"/>
        <v>10</v>
      </c>
      <c r="B195" s="28" t="s">
        <v>52</v>
      </c>
      <c r="C195" s="26" t="s">
        <v>275</v>
      </c>
      <c r="D195" s="150">
        <v>0</v>
      </c>
      <c r="E195" s="191">
        <v>0</v>
      </c>
      <c r="F195" s="192"/>
      <c r="G195" s="151">
        <f>D195*E195</f>
        <v>0</v>
      </c>
      <c r="H195" s="41"/>
      <c r="I195" s="194" t="s">
        <v>53</v>
      </c>
      <c r="J195" s="26"/>
      <c r="K195" s="26"/>
    </row>
    <row r="196" spans="1:11">
      <c r="A196" s="306">
        <f t="shared" si="7"/>
        <v>11</v>
      </c>
      <c r="B196" s="37" t="s">
        <v>353</v>
      </c>
      <c r="C196" s="26" t="str">
        <f>"( Sum of line "&amp;A192&amp;" - line "&amp;A195&amp;")"</f>
        <v>( Sum of line 7 - line 10)</v>
      </c>
      <c r="D196" s="15">
        <f>SUM(D192:D195)</f>
        <v>0</v>
      </c>
      <c r="E196" s="26"/>
      <c r="F196" s="26"/>
      <c r="G196" s="15">
        <f>SUM(G192:G195)</f>
        <v>0</v>
      </c>
      <c r="H196" s="195" t="s">
        <v>54</v>
      </c>
      <c r="I196" s="154">
        <f>IF(D196=0,1,G196/D196)</f>
        <v>1</v>
      </c>
      <c r="J196" s="29" t="s">
        <v>54</v>
      </c>
      <c r="K196" s="26" t="s">
        <v>55</v>
      </c>
    </row>
    <row r="197" spans="1:11">
      <c r="A197" s="306"/>
      <c r="B197" s="28" t="s">
        <v>2</v>
      </c>
      <c r="C197" s="26" t="s">
        <v>2</v>
      </c>
      <c r="D197" s="33"/>
      <c r="E197" s="26"/>
      <c r="F197" s="26"/>
      <c r="G197" s="33"/>
      <c r="H197" s="33"/>
      <c r="I197" s="33"/>
      <c r="J197" s="33"/>
      <c r="K197" s="26"/>
    </row>
    <row r="198" spans="1:11">
      <c r="A198" s="306"/>
      <c r="B198" s="28"/>
      <c r="C198" s="26"/>
      <c r="D198" s="33"/>
      <c r="E198" s="26"/>
      <c r="F198" s="26"/>
      <c r="G198" s="26"/>
      <c r="H198" s="26"/>
      <c r="I198" s="26"/>
      <c r="J198" s="26"/>
      <c r="K198" s="26"/>
    </row>
    <row r="199" spans="1:11" ht="13.8" thickBot="1">
      <c r="A199" s="306">
        <f>+A196+1</f>
        <v>12</v>
      </c>
      <c r="B199" s="25" t="s">
        <v>56</v>
      </c>
      <c r="C199" s="26"/>
      <c r="D199" s="26"/>
      <c r="E199" s="26"/>
      <c r="F199" s="26"/>
      <c r="G199" s="26"/>
      <c r="H199" s="26"/>
      <c r="I199" s="27" t="s">
        <v>48</v>
      </c>
      <c r="J199" s="26"/>
      <c r="K199" s="26"/>
    </row>
    <row r="200" spans="1:11">
      <c r="A200" s="306">
        <f>+A199+1</f>
        <v>13</v>
      </c>
      <c r="B200" s="28"/>
      <c r="C200" s="26"/>
      <c r="D200" s="26"/>
      <c r="E200" s="26"/>
      <c r="F200" s="26"/>
      <c r="H200" s="26"/>
      <c r="I200" s="26"/>
      <c r="J200" s="26"/>
      <c r="K200" s="26"/>
    </row>
    <row r="201" spans="1:11" ht="13.8" thickBot="1">
      <c r="A201" s="306">
        <f t="shared" si="7"/>
        <v>14</v>
      </c>
      <c r="B201" s="28"/>
      <c r="C201" s="26"/>
      <c r="D201" s="30" t="s">
        <v>48</v>
      </c>
      <c r="E201" s="30" t="s">
        <v>58</v>
      </c>
      <c r="F201" s="26"/>
      <c r="G201" s="29" t="s">
        <v>57</v>
      </c>
      <c r="H201" s="26"/>
      <c r="I201" s="30" t="s">
        <v>59</v>
      </c>
      <c r="J201" s="26"/>
      <c r="K201" s="26"/>
    </row>
    <row r="202" spans="1:11">
      <c r="A202" s="306">
        <f t="shared" si="7"/>
        <v>15</v>
      </c>
      <c r="B202" s="25" t="s">
        <v>236</v>
      </c>
      <c r="C202" s="31" t="s">
        <v>485</v>
      </c>
      <c r="D202" s="197">
        <f>+'5-Return'!F19</f>
        <v>1884590.5230769233</v>
      </c>
      <c r="E202" s="855">
        <f>+'5-Return'!G19</f>
        <v>0.4</v>
      </c>
      <c r="F202" s="24"/>
      <c r="G202" s="383">
        <f>+'5-Return'!H19</f>
        <v>9.4836771000451181E-2</v>
      </c>
      <c r="H202" s="24"/>
      <c r="I202" s="219">
        <f>E202*G202</f>
        <v>3.7934708400180477E-2</v>
      </c>
      <c r="J202" s="196" t="s">
        <v>60</v>
      </c>
      <c r="K202" s="33"/>
    </row>
    <row r="203" spans="1:11">
      <c r="A203" s="306">
        <f t="shared" si="7"/>
        <v>16</v>
      </c>
      <c r="B203" s="25" t="s">
        <v>114</v>
      </c>
      <c r="C203" s="31" t="s">
        <v>485</v>
      </c>
      <c r="D203" s="197">
        <f>+'5-Return'!F20</f>
        <v>0</v>
      </c>
      <c r="E203" s="855">
        <f>+'5-Return'!G20</f>
        <v>0</v>
      </c>
      <c r="F203" s="24"/>
      <c r="G203" s="383">
        <f>+'5-Return'!H20</f>
        <v>0</v>
      </c>
      <c r="H203" s="24"/>
      <c r="I203" s="219">
        <f>E203*G203</f>
        <v>0</v>
      </c>
      <c r="J203" s="26"/>
      <c r="K203" s="33"/>
    </row>
    <row r="204" spans="1:11" ht="13.8" thickBot="1">
      <c r="A204" s="306">
        <f t="shared" si="7"/>
        <v>17</v>
      </c>
      <c r="B204" s="25" t="s">
        <v>278</v>
      </c>
      <c r="C204" s="31" t="s">
        <v>601</v>
      </c>
      <c r="D204" s="197">
        <f>+'5-Return'!F21</f>
        <v>3390357.7846153849</v>
      </c>
      <c r="E204" s="856">
        <f>+'5-Return'!G21</f>
        <v>0.6</v>
      </c>
      <c r="F204" s="32"/>
      <c r="G204" s="383">
        <f>+'5-Return'!H21</f>
        <v>0.11</v>
      </c>
      <c r="H204" s="33"/>
      <c r="I204" s="339">
        <f>E204*G204</f>
        <v>6.6000000000000003E-2</v>
      </c>
      <c r="J204" s="26"/>
      <c r="K204" s="33"/>
    </row>
    <row r="205" spans="1:11">
      <c r="A205" s="306">
        <f t="shared" si="7"/>
        <v>18</v>
      </c>
      <c r="B205" s="28" t="s">
        <v>228</v>
      </c>
      <c r="C205" s="26" t="str">
        <f>"( Sum of line "&amp;A202&amp;" - line "&amp;A204&amp;")"</f>
        <v>( Sum of line 15 - line 17)</v>
      </c>
      <c r="D205" s="740">
        <f>SUM(D202:D204)</f>
        <v>5274948.307692308</v>
      </c>
      <c r="E205" s="26" t="s">
        <v>2</v>
      </c>
      <c r="F205" s="26"/>
      <c r="G205" s="26"/>
      <c r="H205" s="26"/>
      <c r="I205" s="219">
        <f>SUM(I202:I204)</f>
        <v>0.10393470840018049</v>
      </c>
      <c r="J205" s="196" t="s">
        <v>61</v>
      </c>
      <c r="K205" s="33"/>
    </row>
    <row r="206" spans="1:11">
      <c r="A206" s="306"/>
      <c r="B206" s="33"/>
      <c r="C206" s="33"/>
      <c r="D206" s="33"/>
      <c r="E206" s="26"/>
      <c r="F206" s="26"/>
      <c r="G206" s="26"/>
      <c r="H206" s="26"/>
      <c r="I206" s="33"/>
      <c r="J206" s="33"/>
      <c r="K206" s="33"/>
    </row>
    <row r="207" spans="1:11">
      <c r="A207" s="306">
        <f>+A205+1</f>
        <v>19</v>
      </c>
      <c r="B207" s="25" t="s">
        <v>115</v>
      </c>
      <c r="C207" s="112"/>
      <c r="D207" s="112"/>
      <c r="E207" s="112"/>
      <c r="F207" s="112"/>
      <c r="G207" s="112"/>
      <c r="H207" s="112"/>
      <c r="I207" s="112"/>
      <c r="J207" s="112"/>
      <c r="K207" s="112"/>
    </row>
    <row r="208" spans="1:11" ht="13.8" thickBot="1">
      <c r="A208" s="306"/>
      <c r="B208" s="25"/>
      <c r="C208" s="25"/>
      <c r="D208" s="25"/>
      <c r="E208" s="25"/>
      <c r="F208" s="25"/>
      <c r="G208" s="25"/>
      <c r="H208" s="25"/>
      <c r="I208" s="30"/>
      <c r="J208" s="198"/>
      <c r="K208" s="33"/>
    </row>
    <row r="209" spans="1:11">
      <c r="A209" s="306">
        <f>+A207+1</f>
        <v>20</v>
      </c>
      <c r="B209" s="25" t="s">
        <v>214</v>
      </c>
      <c r="C209" s="121" t="s">
        <v>781</v>
      </c>
      <c r="D209" s="33"/>
      <c r="E209" s="112"/>
      <c r="F209" s="112"/>
      <c r="G209" s="201"/>
      <c r="H209" s="112"/>
      <c r="I209" s="161">
        <f>+'12 - Revenue Credits'!F14</f>
        <v>0</v>
      </c>
      <c r="J209" s="199"/>
      <c r="K209" s="202"/>
    </row>
    <row r="210" spans="1:11">
      <c r="A210" s="306"/>
      <c r="B210" s="33"/>
      <c r="C210" s="109"/>
      <c r="D210" s="112"/>
      <c r="E210" s="112"/>
      <c r="F210" s="112"/>
      <c r="G210" s="112"/>
      <c r="H210" s="112"/>
      <c r="I210" s="200"/>
      <c r="J210" s="199"/>
      <c r="K210" s="202"/>
    </row>
    <row r="211" spans="1:11">
      <c r="A211" s="306">
        <f>+A209+1</f>
        <v>21</v>
      </c>
      <c r="B211" s="25" t="s">
        <v>215</v>
      </c>
      <c r="C211" s="594" t="s">
        <v>789</v>
      </c>
      <c r="D211" s="112"/>
      <c r="E211" s="112"/>
      <c r="F211" s="112"/>
      <c r="G211" s="112"/>
      <c r="H211" s="112"/>
      <c r="I211" s="161">
        <f>+'12 - Revenue Credits'!F25</f>
        <v>0</v>
      </c>
      <c r="J211" s="33"/>
      <c r="K211" s="203"/>
    </row>
    <row r="212" spans="1:11">
      <c r="A212" s="107"/>
      <c r="B212" s="207"/>
      <c r="C212" s="107"/>
      <c r="D212" s="26"/>
      <c r="E212" s="26"/>
      <c r="F212" s="26"/>
      <c r="G212" s="26"/>
      <c r="H212" s="112"/>
      <c r="I212" s="208"/>
      <c r="J212" s="205"/>
      <c r="K212" s="206"/>
    </row>
    <row r="213" spans="1:11">
      <c r="A213" s="107"/>
      <c r="B213" s="28"/>
      <c r="C213" s="113"/>
      <c r="D213" s="26"/>
      <c r="E213" s="26"/>
      <c r="F213" s="26"/>
      <c r="G213" s="26"/>
      <c r="H213" s="113"/>
      <c r="I213" s="26"/>
      <c r="J213" s="113"/>
      <c r="K213" s="167" t="s">
        <v>714</v>
      </c>
    </row>
    <row r="214" spans="1:11">
      <c r="A214" s="107"/>
      <c r="B214" s="28"/>
      <c r="C214" s="113"/>
      <c r="D214" s="26"/>
      <c r="E214" s="26"/>
      <c r="F214" s="26"/>
      <c r="G214" s="26"/>
      <c r="H214" s="113"/>
      <c r="I214" s="26"/>
      <c r="J214" s="113"/>
      <c r="K214" s="26"/>
    </row>
    <row r="215" spans="1:11">
      <c r="A215" s="107"/>
      <c r="B215" s="207" t="s">
        <v>1</v>
      </c>
      <c r="C215" s="107"/>
      <c r="D215" s="107" t="s">
        <v>816</v>
      </c>
      <c r="E215" s="26"/>
      <c r="F215" s="26"/>
      <c r="G215" s="26"/>
      <c r="H215" s="112"/>
      <c r="I215" s="105"/>
      <c r="J215" s="199"/>
      <c r="K215" s="209" t="str">
        <f>K3</f>
        <v>Projected 12 months ended 12/31/17</v>
      </c>
    </row>
    <row r="216" spans="1:11">
      <c r="A216" s="107"/>
      <c r="B216" s="207"/>
      <c r="C216" s="107"/>
      <c r="D216" s="29" t="s">
        <v>101</v>
      </c>
      <c r="E216" s="26"/>
      <c r="F216" s="26"/>
      <c r="G216" s="26"/>
      <c r="H216" s="112"/>
      <c r="I216" s="210"/>
      <c r="J216" s="199"/>
      <c r="K216" s="206"/>
    </row>
    <row r="217" spans="1:11">
      <c r="A217" s="107"/>
      <c r="B217" s="207"/>
      <c r="C217" s="107"/>
      <c r="D217" s="29" t="str">
        <f>+D176</f>
        <v>Transource West Virginia, LLC</v>
      </c>
      <c r="E217" s="26"/>
      <c r="F217" s="26"/>
      <c r="G217" s="26"/>
      <c r="H217" s="112"/>
      <c r="I217" s="210"/>
      <c r="J217" s="199"/>
      <c r="K217" s="206"/>
    </row>
    <row r="218" spans="1:11">
      <c r="A218" s="913"/>
      <c r="B218" s="913"/>
      <c r="C218" s="913"/>
      <c r="D218" s="913"/>
      <c r="E218" s="913"/>
      <c r="F218" s="913"/>
      <c r="G218" s="913"/>
      <c r="H218" s="913"/>
      <c r="I218" s="913"/>
      <c r="J218" s="913"/>
      <c r="K218" s="913"/>
    </row>
    <row r="219" spans="1:11">
      <c r="A219" s="107"/>
      <c r="B219" s="25" t="s">
        <v>432</v>
      </c>
      <c r="C219" s="107"/>
      <c r="D219" s="26"/>
      <c r="E219" s="26"/>
      <c r="F219" s="26"/>
      <c r="G219" s="26"/>
      <c r="H219" s="112"/>
      <c r="I219" s="26"/>
      <c r="J219" s="112"/>
      <c r="K219" s="26"/>
    </row>
    <row r="220" spans="1:11">
      <c r="A220" s="107"/>
      <c r="B220" s="204" t="s">
        <v>116</v>
      </c>
      <c r="C220" s="107"/>
      <c r="D220" s="26"/>
      <c r="E220" s="26"/>
      <c r="F220" s="26"/>
      <c r="G220" s="26"/>
      <c r="H220" s="112"/>
      <c r="I220" s="26"/>
      <c r="J220" s="112"/>
      <c r="K220" s="26"/>
    </row>
    <row r="221" spans="1:11">
      <c r="A221" s="107"/>
      <c r="B221" s="25"/>
      <c r="C221" s="112"/>
      <c r="D221" s="26"/>
      <c r="E221" s="26"/>
      <c r="F221" s="26"/>
      <c r="G221" s="26"/>
      <c r="H221" s="112"/>
      <c r="I221" s="26"/>
      <c r="J221" s="112"/>
      <c r="K221" s="26"/>
    </row>
    <row r="222" spans="1:11" ht="13.8" thickBot="1">
      <c r="A222" s="30" t="s">
        <v>579</v>
      </c>
      <c r="B222" s="914"/>
      <c r="C222" s="914"/>
      <c r="D222" s="211"/>
      <c r="E222" s="211"/>
      <c r="F222" s="211"/>
      <c r="G222" s="211"/>
      <c r="H222" s="212"/>
      <c r="I222" s="211"/>
      <c r="J222" s="212"/>
      <c r="K222" s="211"/>
    </row>
    <row r="223" spans="1:11" ht="30" customHeight="1">
      <c r="A223" s="878" t="s">
        <v>183</v>
      </c>
      <c r="B223" s="916" t="s">
        <v>783</v>
      </c>
      <c r="C223" s="917"/>
      <c r="D223" s="917"/>
      <c r="E223" s="917"/>
      <c r="F223" s="917"/>
      <c r="G223" s="917"/>
      <c r="H223" s="917"/>
      <c r="I223" s="917"/>
      <c r="J223" s="917"/>
      <c r="K223" s="917"/>
    </row>
    <row r="224" spans="1:11">
      <c r="A224" s="878" t="s">
        <v>184</v>
      </c>
      <c r="B224" s="909" t="s">
        <v>287</v>
      </c>
      <c r="C224" s="909"/>
      <c r="D224" s="909"/>
      <c r="E224" s="909"/>
      <c r="F224" s="909"/>
      <c r="G224" s="909"/>
      <c r="H224" s="909"/>
      <c r="I224" s="909"/>
      <c r="J224" s="909"/>
      <c r="K224" s="909"/>
    </row>
    <row r="225" spans="1:11" s="12" customFormat="1">
      <c r="A225" s="879" t="s">
        <v>64</v>
      </c>
      <c r="B225" s="274" t="s">
        <v>584</v>
      </c>
      <c r="C225" s="259"/>
      <c r="D225" s="259"/>
      <c r="E225" s="259"/>
      <c r="F225" s="259"/>
      <c r="G225" s="259"/>
      <c r="H225" s="260"/>
      <c r="I225" s="261"/>
      <c r="J225" s="262"/>
      <c r="K225" s="263"/>
    </row>
    <row r="226" spans="1:11" ht="30.75" customHeight="1">
      <c r="A226" s="878" t="s">
        <v>560</v>
      </c>
      <c r="B226" s="909" t="s">
        <v>566</v>
      </c>
      <c r="C226" s="909"/>
      <c r="D226" s="909"/>
      <c r="E226" s="909"/>
      <c r="F226" s="909"/>
      <c r="G226" s="909"/>
      <c r="H226" s="909"/>
      <c r="I226" s="909"/>
      <c r="J226" s="909"/>
      <c r="K226" s="909"/>
    </row>
    <row r="227" spans="1:11" s="12" customFormat="1" ht="28.5" customHeight="1">
      <c r="A227" s="879" t="s">
        <v>66</v>
      </c>
      <c r="B227" s="915" t="s">
        <v>362</v>
      </c>
      <c r="C227" s="915"/>
      <c r="D227" s="915"/>
      <c r="E227" s="915"/>
      <c r="F227" s="915"/>
      <c r="G227" s="915"/>
      <c r="H227" s="915"/>
      <c r="I227" s="915"/>
      <c r="J227" s="915"/>
      <c r="K227" s="915"/>
    </row>
    <row r="228" spans="1:11" ht="19.5" customHeight="1">
      <c r="A228" s="879" t="s">
        <v>67</v>
      </c>
      <c r="B228" s="918" t="s">
        <v>715</v>
      </c>
      <c r="C228" s="918"/>
      <c r="D228" s="918"/>
      <c r="E228" s="918"/>
      <c r="F228" s="918"/>
      <c r="G228" s="918"/>
      <c r="H228" s="918"/>
      <c r="I228" s="918"/>
      <c r="J228" s="918"/>
      <c r="K228" s="918"/>
    </row>
    <row r="229" spans="1:11">
      <c r="A229" s="878" t="s">
        <v>68</v>
      </c>
      <c r="B229" s="909" t="s">
        <v>645</v>
      </c>
      <c r="C229" s="909"/>
      <c r="D229" s="909"/>
      <c r="E229" s="909"/>
      <c r="F229" s="909"/>
      <c r="G229" s="909"/>
      <c r="H229" s="909"/>
      <c r="I229" s="909"/>
      <c r="J229" s="909"/>
      <c r="K229" s="909"/>
    </row>
    <row r="230" spans="1:11" ht="29.25" customHeight="1">
      <c r="A230" s="878" t="s">
        <v>69</v>
      </c>
      <c r="B230" s="909" t="s">
        <v>570</v>
      </c>
      <c r="C230" s="909"/>
      <c r="D230" s="909"/>
      <c r="E230" s="909"/>
      <c r="F230" s="909"/>
      <c r="G230" s="909"/>
      <c r="H230" s="909"/>
      <c r="I230" s="909"/>
      <c r="J230" s="909"/>
      <c r="K230" s="909"/>
    </row>
    <row r="231" spans="1:11">
      <c r="A231" s="880" t="s">
        <v>70</v>
      </c>
      <c r="B231" s="909" t="s">
        <v>117</v>
      </c>
      <c r="C231" s="909"/>
      <c r="D231" s="909"/>
      <c r="E231" s="909"/>
      <c r="F231" s="909"/>
      <c r="G231" s="909"/>
      <c r="H231" s="909"/>
      <c r="I231" s="909"/>
      <c r="J231" s="909"/>
      <c r="K231" s="909"/>
    </row>
    <row r="232" spans="1:11" s="221" customFormat="1" ht="15.75" customHeight="1">
      <c r="A232" s="878" t="s">
        <v>71</v>
      </c>
      <c r="B232" s="909" t="s">
        <v>624</v>
      </c>
      <c r="C232" s="909"/>
      <c r="D232" s="909"/>
      <c r="E232" s="909"/>
      <c r="F232" s="909"/>
      <c r="G232" s="909"/>
      <c r="H232" s="909"/>
      <c r="I232" s="909"/>
      <c r="J232" s="909"/>
      <c r="K232" s="909"/>
    </row>
    <row r="233" spans="1:11" s="221" customFormat="1" ht="18.75" customHeight="1">
      <c r="A233" s="878" t="s">
        <v>103</v>
      </c>
      <c r="B233" s="258" t="s">
        <v>576</v>
      </c>
      <c r="C233" s="512"/>
      <c r="D233" s="512"/>
      <c r="E233" s="512"/>
      <c r="F233" s="512"/>
      <c r="G233" s="512"/>
      <c r="H233" s="512"/>
      <c r="I233" s="512"/>
      <c r="J233" s="512"/>
      <c r="K233" s="512"/>
    </row>
    <row r="234" spans="1:11" ht="30" customHeight="1">
      <c r="A234" s="880" t="s">
        <v>122</v>
      </c>
      <c r="B234" s="909" t="s">
        <v>646</v>
      </c>
      <c r="C234" s="909"/>
      <c r="D234" s="909"/>
      <c r="E234" s="909"/>
      <c r="F234" s="909"/>
      <c r="G234" s="909"/>
      <c r="H234" s="909"/>
      <c r="I234" s="909"/>
      <c r="J234" s="909"/>
      <c r="K234" s="909"/>
    </row>
    <row r="235" spans="1:11" ht="51" customHeight="1">
      <c r="A235" s="910" t="s">
        <v>586</v>
      </c>
      <c r="B235" s="909" t="s">
        <v>185</v>
      </c>
      <c r="C235" s="909"/>
      <c r="D235" s="909"/>
      <c r="E235" s="909"/>
      <c r="F235" s="909"/>
      <c r="G235" s="909"/>
      <c r="H235" s="909"/>
      <c r="I235" s="909"/>
      <c r="J235" s="909"/>
      <c r="K235" s="909"/>
    </row>
    <row r="236" spans="1:11">
      <c r="A236" s="910"/>
      <c r="B236" s="258" t="s">
        <v>72</v>
      </c>
      <c r="C236" s="258" t="s">
        <v>754</v>
      </c>
      <c r="D236" s="384">
        <v>0.35</v>
      </c>
      <c r="E236" s="258" t="s">
        <v>363</v>
      </c>
      <c r="F236" s="258"/>
      <c r="G236" s="258"/>
      <c r="H236" s="258"/>
      <c r="I236" s="258"/>
      <c r="J236" s="258"/>
      <c r="K236" s="258"/>
    </row>
    <row r="237" spans="1:11">
      <c r="A237" s="910"/>
      <c r="B237" s="258"/>
      <c r="C237" s="258" t="s">
        <v>73</v>
      </c>
      <c r="D237" s="404">
        <v>6.5000000000000002E-2</v>
      </c>
      <c r="E237" s="258" t="s">
        <v>118</v>
      </c>
      <c r="F237" s="258"/>
      <c r="G237" s="258"/>
      <c r="H237" s="258"/>
      <c r="I237" s="258"/>
      <c r="J237" s="258"/>
      <c r="K237" s="258"/>
    </row>
    <row r="238" spans="1:11">
      <c r="A238" s="910"/>
      <c r="B238" s="258"/>
      <c r="C238" s="258" t="s">
        <v>74</v>
      </c>
      <c r="D238" s="404">
        <v>0</v>
      </c>
      <c r="E238" s="258" t="s">
        <v>119</v>
      </c>
      <c r="F238" s="258"/>
      <c r="G238" s="258"/>
      <c r="H238" s="258"/>
      <c r="I238" s="258"/>
      <c r="J238" s="258"/>
      <c r="K238" s="258"/>
    </row>
    <row r="239" spans="1:11">
      <c r="A239" s="910"/>
      <c r="B239" s="258"/>
      <c r="C239" s="258" t="s">
        <v>120</v>
      </c>
      <c r="D239" s="404">
        <v>0</v>
      </c>
      <c r="E239" s="258" t="s">
        <v>121</v>
      </c>
      <c r="F239" s="258"/>
      <c r="G239" s="258"/>
      <c r="H239" s="258"/>
      <c r="I239" s="258"/>
      <c r="J239" s="258"/>
      <c r="K239" s="258"/>
    </row>
    <row r="240" spans="1:11">
      <c r="A240" s="601" t="s">
        <v>595</v>
      </c>
      <c r="B240" s="13" t="s">
        <v>815</v>
      </c>
    </row>
    <row r="241" spans="1:11" ht="19.5" customHeight="1">
      <c r="A241" s="878" t="s">
        <v>124</v>
      </c>
      <c r="B241" s="909" t="s">
        <v>123</v>
      </c>
      <c r="C241" s="909"/>
      <c r="D241" s="909"/>
      <c r="E241" s="909"/>
      <c r="F241" s="909"/>
      <c r="G241" s="909"/>
      <c r="H241" s="909"/>
      <c r="I241" s="909"/>
      <c r="J241" s="909"/>
      <c r="K241" s="909"/>
    </row>
    <row r="242" spans="1:11" s="599" customFormat="1" ht="95.25" customHeight="1">
      <c r="A242" s="878" t="s">
        <v>125</v>
      </c>
      <c r="B242" s="911" t="s">
        <v>790</v>
      </c>
      <c r="C242" s="911"/>
      <c r="D242" s="911"/>
      <c r="E242" s="911"/>
      <c r="F242" s="911"/>
      <c r="G242" s="911"/>
      <c r="H242" s="911"/>
      <c r="I242" s="911"/>
      <c r="J242" s="911"/>
      <c r="K242" s="911"/>
    </row>
    <row r="243" spans="1:11" s="221" customFormat="1" ht="15.75" customHeight="1">
      <c r="A243" s="879" t="s">
        <v>126</v>
      </c>
      <c r="B243" s="275" t="s">
        <v>716</v>
      </c>
      <c r="C243" s="274"/>
      <c r="D243" s="274"/>
      <c r="E243" s="274"/>
      <c r="F243" s="274"/>
      <c r="G243" s="274"/>
      <c r="H243" s="274"/>
      <c r="I243" s="274"/>
      <c r="J243" s="274"/>
      <c r="K243" s="274"/>
    </row>
    <row r="244" spans="1:11" s="221" customFormat="1" ht="31.5" customHeight="1">
      <c r="A244" s="879" t="s">
        <v>598</v>
      </c>
      <c r="B244" s="909" t="s">
        <v>604</v>
      </c>
      <c r="C244" s="909"/>
      <c r="D244" s="909"/>
      <c r="E244" s="909"/>
      <c r="F244" s="909"/>
      <c r="G244" s="909"/>
      <c r="H244" s="909"/>
      <c r="I244" s="909"/>
      <c r="J244" s="909"/>
      <c r="K244" s="909"/>
    </row>
    <row r="245" spans="1:11" ht="21" customHeight="1">
      <c r="A245" s="878" t="s">
        <v>600</v>
      </c>
      <c r="B245" s="909" t="s">
        <v>717</v>
      </c>
      <c r="C245" s="909"/>
      <c r="D245" s="909"/>
      <c r="E245" s="909"/>
      <c r="F245" s="909"/>
      <c r="G245" s="909"/>
      <c r="H245" s="909"/>
      <c r="I245" s="909"/>
      <c r="J245" s="909"/>
      <c r="K245" s="909"/>
    </row>
    <row r="246" spans="1:11">
      <c r="A246" s="878" t="s">
        <v>602</v>
      </c>
      <c r="B246" s="909" t="s">
        <v>603</v>
      </c>
      <c r="C246" s="909"/>
      <c r="D246" s="909"/>
      <c r="E246" s="909"/>
      <c r="F246" s="909"/>
      <c r="G246" s="909"/>
      <c r="H246" s="909"/>
      <c r="I246" s="909"/>
      <c r="J246" s="909"/>
      <c r="K246" s="909"/>
    </row>
    <row r="247" spans="1:11" s="328" customFormat="1">
      <c r="A247" s="881" t="s">
        <v>246</v>
      </c>
      <c r="B247" s="526" t="s">
        <v>644</v>
      </c>
      <c r="C247" s="516"/>
      <c r="D247" s="516"/>
      <c r="E247" s="516"/>
      <c r="F247" s="516"/>
      <c r="G247" s="516"/>
      <c r="H247" s="516"/>
      <c r="I247" s="516"/>
      <c r="J247" s="516"/>
      <c r="K247" s="516"/>
    </row>
    <row r="248" spans="1:11" s="328" customFormat="1">
      <c r="A248" s="520"/>
      <c r="B248" s="513"/>
      <c r="C248" s="514"/>
      <c r="D248" s="514"/>
      <c r="E248" s="514"/>
      <c r="F248" s="514"/>
      <c r="G248" s="514"/>
      <c r="H248" s="514"/>
      <c r="I248" s="514"/>
      <c r="J248" s="514"/>
      <c r="K248" s="514"/>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4:K244"/>
    <mergeCell ref="B245:K245"/>
    <mergeCell ref="B246:K246"/>
    <mergeCell ref="A235:A239"/>
    <mergeCell ref="B242:K242"/>
    <mergeCell ref="B235:K235"/>
    <mergeCell ref="B241:K241"/>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zoomScale="90" zoomScaleNormal="90" zoomScaleSheetLayoutView="80" workbookViewId="0">
      <selection activeCell="B5" sqref="B5:G5"/>
    </sheetView>
  </sheetViews>
  <sheetFormatPr defaultColWidth="8.90625" defaultRowHeight="13.2"/>
  <cols>
    <col min="1" max="1" width="5.1796875" style="355" bestFit="1" customWidth="1"/>
    <col min="2" max="2" width="41.90625" style="356" customWidth="1"/>
    <col min="3" max="3" width="14.6328125" style="356" customWidth="1"/>
    <col min="4" max="4" width="14.36328125" style="356" customWidth="1"/>
    <col min="5" max="5" width="11.6328125" style="356" customWidth="1"/>
    <col min="6" max="6" width="14.1796875" style="356" customWidth="1"/>
    <col min="7" max="7" width="13" style="356" bestFit="1" customWidth="1"/>
    <col min="8" max="8" width="11.08984375" style="356" bestFit="1" customWidth="1"/>
    <col min="9" max="9" width="11.81640625" style="356" customWidth="1"/>
    <col min="10" max="10" width="11.90625" style="356" customWidth="1"/>
    <col min="11" max="11" width="13.54296875" style="356" customWidth="1"/>
    <col min="12" max="12" width="7.1796875" style="356" customWidth="1"/>
    <col min="13" max="13" width="12.1796875" style="356" customWidth="1"/>
    <col min="14" max="14" width="8.08984375" style="356" customWidth="1"/>
    <col min="15" max="15" width="7.6328125" style="356" bestFit="1" customWidth="1"/>
    <col min="16" max="16" width="11.6328125" style="356" bestFit="1" customWidth="1"/>
    <col min="17" max="17" width="10.90625" style="356" bestFit="1" customWidth="1"/>
    <col min="18" max="16384" width="8.90625" style="356"/>
  </cols>
  <sheetData>
    <row r="1" spans="1:12" s="340" customFormat="1" ht="15" customHeight="1">
      <c r="A1" s="946" t="s">
        <v>414</v>
      </c>
      <c r="B1" s="946"/>
      <c r="C1" s="946"/>
      <c r="D1" s="946"/>
      <c r="E1" s="946"/>
      <c r="F1" s="946"/>
      <c r="G1" s="946"/>
      <c r="H1" s="367"/>
      <c r="I1" s="367"/>
      <c r="J1" s="367"/>
      <c r="K1" s="367"/>
    </row>
    <row r="2" spans="1:12" s="340" customFormat="1">
      <c r="A2" s="946" t="s">
        <v>806</v>
      </c>
      <c r="B2" s="946"/>
      <c r="C2" s="946"/>
      <c r="D2" s="946"/>
      <c r="E2" s="946"/>
      <c r="F2" s="946"/>
      <c r="G2" s="946"/>
      <c r="H2" s="367"/>
      <c r="I2" s="367"/>
      <c r="J2" s="367"/>
      <c r="K2" s="367"/>
    </row>
    <row r="3" spans="1:12" s="340" customFormat="1" ht="15" customHeight="1">
      <c r="A3" s="934" t="str">
        <f>+'Attachment H-26'!D5</f>
        <v>Transource West Virginia, LLC</v>
      </c>
      <c r="B3" s="934"/>
      <c r="C3" s="934"/>
      <c r="D3" s="934"/>
      <c r="E3" s="934"/>
      <c r="F3" s="934"/>
      <c r="G3" s="934"/>
      <c r="H3" s="37"/>
      <c r="I3" s="37"/>
      <c r="J3" s="37"/>
      <c r="K3" s="37"/>
      <c r="L3" s="341"/>
    </row>
    <row r="4" spans="1:12" s="340" customFormat="1">
      <c r="A4" s="399"/>
      <c r="L4" s="341"/>
    </row>
    <row r="5" spans="1:12" s="340" customFormat="1" ht="35.25" customHeight="1">
      <c r="A5" s="342"/>
      <c r="B5" s="922" t="s">
        <v>837</v>
      </c>
      <c r="C5" s="922"/>
      <c r="D5" s="922"/>
      <c r="E5" s="922"/>
      <c r="F5" s="922"/>
      <c r="G5" s="922"/>
      <c r="H5" s="358"/>
      <c r="I5" s="358"/>
      <c r="J5" s="341"/>
      <c r="K5" s="341"/>
      <c r="L5" s="341"/>
    </row>
    <row r="6" spans="1:12" s="340" customFormat="1" ht="27" customHeight="1">
      <c r="A6" s="342"/>
      <c r="B6" s="922" t="s">
        <v>798</v>
      </c>
      <c r="C6" s="922"/>
      <c r="D6" s="922"/>
      <c r="E6" s="922"/>
      <c r="F6" s="922"/>
      <c r="G6" s="922"/>
      <c r="H6" s="358"/>
      <c r="I6" s="358"/>
      <c r="J6" s="341"/>
      <c r="K6" s="341"/>
      <c r="L6" s="341"/>
    </row>
    <row r="7" spans="1:12" s="340" customFormat="1" ht="31.5" customHeight="1">
      <c r="A7" s="342"/>
      <c r="B7" s="947" t="s">
        <v>799</v>
      </c>
      <c r="C7" s="947"/>
      <c r="D7" s="947"/>
      <c r="E7" s="947"/>
      <c r="F7" s="947"/>
      <c r="G7" s="947"/>
      <c r="H7" s="357"/>
      <c r="I7" s="357"/>
      <c r="J7" s="357"/>
      <c r="K7" s="357"/>
      <c r="L7" s="400"/>
    </row>
    <row r="8" spans="1:12" s="340" customFormat="1" ht="18.75" customHeight="1">
      <c r="A8" s="342"/>
      <c r="B8" s="922" t="s">
        <v>800</v>
      </c>
      <c r="C8" s="922"/>
      <c r="D8" s="922"/>
      <c r="E8" s="922"/>
      <c r="F8" s="922"/>
      <c r="G8" s="922"/>
      <c r="H8" s="400"/>
      <c r="I8" s="400"/>
      <c r="J8" s="357"/>
      <c r="K8" s="357"/>
      <c r="L8" s="400"/>
    </row>
    <row r="9" spans="1:12" s="340" customFormat="1" ht="31.5" customHeight="1">
      <c r="A9" s="342"/>
      <c r="B9" s="922" t="s">
        <v>852</v>
      </c>
      <c r="C9" s="922"/>
      <c r="D9" s="922"/>
      <c r="E9" s="922"/>
      <c r="F9" s="922"/>
      <c r="G9" s="922"/>
      <c r="H9" s="779"/>
      <c r="I9" s="779"/>
      <c r="J9" s="357"/>
      <c r="K9" s="357"/>
      <c r="L9" s="779"/>
    </row>
    <row r="10" spans="1:12" s="340" customFormat="1" ht="29.25" customHeight="1">
      <c r="A10" s="225" t="s">
        <v>195</v>
      </c>
      <c r="C10" s="341"/>
      <c r="D10" s="341"/>
      <c r="E10" s="341"/>
      <c r="F10" s="341"/>
      <c r="G10" s="343"/>
      <c r="H10" s="341"/>
      <c r="I10" s="341"/>
      <c r="J10" s="341"/>
      <c r="K10" s="341"/>
      <c r="L10" s="341"/>
    </row>
    <row r="11" spans="1:12" s="340" customFormat="1" ht="16.5" customHeight="1">
      <c r="A11" s="401">
        <v>1</v>
      </c>
      <c r="B11" s="340" t="s">
        <v>678</v>
      </c>
      <c r="C11" s="396"/>
      <c r="D11" s="359">
        <f>I33</f>
        <v>5.9462154684424243E-2</v>
      </c>
      <c r="E11" s="396"/>
      <c r="F11" s="396"/>
      <c r="H11" s="341"/>
      <c r="I11" s="341"/>
      <c r="J11" s="341"/>
      <c r="K11" s="341"/>
      <c r="L11" s="341"/>
    </row>
    <row r="12" spans="1:12" s="340" customFormat="1" ht="16.5" customHeight="1">
      <c r="A12" s="401">
        <f>+A11+1</f>
        <v>2</v>
      </c>
      <c r="B12" s="340" t="s">
        <v>510</v>
      </c>
      <c r="C12" s="396"/>
      <c r="D12" s="359">
        <f>+G53</f>
        <v>3.5374616316026938E-2</v>
      </c>
      <c r="E12" s="396"/>
      <c r="F12" s="396"/>
      <c r="H12" s="341"/>
      <c r="I12" s="341"/>
      <c r="J12" s="341"/>
      <c r="K12" s="341"/>
      <c r="L12" s="341"/>
    </row>
    <row r="13" spans="1:12" s="340" customFormat="1" ht="16.5" customHeight="1">
      <c r="A13" s="401">
        <f>+A12+1</f>
        <v>3</v>
      </c>
      <c r="B13" s="364" t="s">
        <v>430</v>
      </c>
      <c r="C13" s="396"/>
      <c r="D13" s="365">
        <f>+D11+D12</f>
        <v>9.4836771000451181E-2</v>
      </c>
      <c r="E13" s="396"/>
      <c r="F13" s="396"/>
      <c r="H13" s="341"/>
      <c r="I13" s="341"/>
      <c r="J13" s="341"/>
      <c r="K13" s="341"/>
      <c r="L13" s="341"/>
    </row>
    <row r="14" spans="1:12" s="340" customFormat="1" ht="6" customHeight="1">
      <c r="A14" s="401"/>
      <c r="B14" s="344"/>
      <c r="C14" s="396"/>
      <c r="D14" s="380"/>
      <c r="E14" s="396"/>
      <c r="F14" s="396"/>
      <c r="H14" s="341"/>
      <c r="I14" s="341"/>
      <c r="J14" s="341"/>
      <c r="K14" s="341"/>
      <c r="L14" s="341"/>
    </row>
    <row r="15" spans="1:12" s="340" customFormat="1" ht="16.5" customHeight="1">
      <c r="A15" s="401"/>
      <c r="B15" s="344" t="s">
        <v>499</v>
      </c>
      <c r="C15" s="396"/>
      <c r="D15" s="380"/>
      <c r="E15" s="396"/>
      <c r="F15" s="396"/>
      <c r="H15" s="341"/>
      <c r="I15" s="341"/>
      <c r="J15" s="341"/>
      <c r="K15" s="341"/>
      <c r="L15" s="341"/>
    </row>
    <row r="16" spans="1:12" s="340" customFormat="1" ht="16.5" customHeight="1">
      <c r="A16" s="401">
        <f>A13+1</f>
        <v>4</v>
      </c>
      <c r="B16" s="341" t="s">
        <v>500</v>
      </c>
      <c r="C16" s="396"/>
      <c r="D16" s="353">
        <v>2E-3</v>
      </c>
      <c r="E16" s="396"/>
      <c r="F16" s="396"/>
      <c r="H16" s="341"/>
      <c r="I16" s="341"/>
      <c r="J16" s="341"/>
      <c r="K16" s="341"/>
      <c r="L16" s="341"/>
    </row>
    <row r="17" spans="1:13" s="340" customFormat="1" ht="16.5" customHeight="1">
      <c r="A17" s="401">
        <f>A16+1</f>
        <v>5</v>
      </c>
      <c r="B17" s="341" t="s">
        <v>507</v>
      </c>
      <c r="C17" s="396"/>
      <c r="D17" s="353">
        <f>+C60</f>
        <v>2.7500000000000004E-2</v>
      </c>
      <c r="E17" s="396"/>
      <c r="F17" s="396"/>
      <c r="H17" s="341"/>
      <c r="I17" s="341"/>
      <c r="J17" s="341"/>
      <c r="K17" s="341"/>
      <c r="L17" s="341"/>
    </row>
    <row r="18" spans="1:13" s="340" customFormat="1" ht="60.75" customHeight="1">
      <c r="A18" s="401"/>
      <c r="B18" s="3" t="s">
        <v>442</v>
      </c>
      <c r="C18" s="396"/>
      <c r="D18" s="378" t="s">
        <v>501</v>
      </c>
      <c r="E18" s="378" t="s">
        <v>502</v>
      </c>
      <c r="F18" s="414" t="s">
        <v>503</v>
      </c>
      <c r="G18" s="414" t="s">
        <v>504</v>
      </c>
      <c r="H18" s="414" t="s">
        <v>505</v>
      </c>
      <c r="I18" s="414" t="s">
        <v>506</v>
      </c>
      <c r="J18" s="341"/>
      <c r="K18" s="341"/>
      <c r="L18" s="341"/>
      <c r="M18" s="341"/>
    </row>
    <row r="19" spans="1:13" s="340" customFormat="1" ht="21" customHeight="1">
      <c r="A19" s="401"/>
      <c r="B19" s="397" t="s">
        <v>196</v>
      </c>
      <c r="C19" s="396"/>
      <c r="D19" s="379" t="s">
        <v>197</v>
      </c>
      <c r="E19" s="379" t="s">
        <v>198</v>
      </c>
      <c r="F19" s="379" t="s">
        <v>199</v>
      </c>
      <c r="G19" s="379" t="s">
        <v>201</v>
      </c>
      <c r="H19" s="379" t="s">
        <v>200</v>
      </c>
      <c r="I19" s="379" t="s">
        <v>202</v>
      </c>
      <c r="J19" s="341"/>
      <c r="K19" s="341"/>
      <c r="L19" s="341"/>
      <c r="M19" s="341"/>
    </row>
    <row r="20" spans="1:13" s="340" customFormat="1" ht="16.5" customHeight="1">
      <c r="A20" s="401">
        <f>A17+1</f>
        <v>6</v>
      </c>
      <c r="B20" s="5" t="s">
        <v>193</v>
      </c>
      <c r="C20" s="396"/>
      <c r="D20" s="299">
        <v>0</v>
      </c>
      <c r="E20" s="299">
        <v>0</v>
      </c>
      <c r="F20" s="302">
        <f>D20-E20</f>
        <v>0</v>
      </c>
      <c r="G20" s="895">
        <f>($D$16/12)*F20</f>
        <v>0</v>
      </c>
      <c r="H20" s="302">
        <f>($D$17/12)*E20</f>
        <v>0</v>
      </c>
      <c r="I20" s="341"/>
      <c r="J20" s="341"/>
      <c r="K20" s="341"/>
      <c r="L20" s="341"/>
      <c r="M20" s="341"/>
    </row>
    <row r="21" spans="1:13" s="340" customFormat="1" ht="16.5" customHeight="1">
      <c r="A21" s="401">
        <f>+A20+1</f>
        <v>7</v>
      </c>
      <c r="B21" s="5" t="s">
        <v>85</v>
      </c>
      <c r="C21" s="396"/>
      <c r="D21" s="299">
        <v>0</v>
      </c>
      <c r="E21" s="299">
        <v>0</v>
      </c>
      <c r="F21" s="302">
        <f t="shared" ref="F21:F32" si="0">D21-E21</f>
        <v>0</v>
      </c>
      <c r="G21" s="895">
        <f t="shared" ref="G21:G32" si="1">($D$16/12)*F21</f>
        <v>0</v>
      </c>
      <c r="H21" s="302">
        <f t="shared" ref="H21:H32" si="2">($D$17/12)*E21</f>
        <v>0</v>
      </c>
      <c r="I21" s="341"/>
      <c r="J21" s="341"/>
      <c r="K21" s="341"/>
      <c r="L21" s="341"/>
      <c r="M21" s="341"/>
    </row>
    <row r="22" spans="1:13" s="340" customFormat="1" ht="16.5" customHeight="1">
      <c r="A22" s="401">
        <f t="shared" ref="A22:A33" si="3">+A21+1</f>
        <v>8</v>
      </c>
      <c r="B22" s="1" t="s">
        <v>84</v>
      </c>
      <c r="C22" s="396"/>
      <c r="D22" s="299">
        <v>0</v>
      </c>
      <c r="E22" s="299">
        <v>0</v>
      </c>
      <c r="F22" s="302">
        <f t="shared" si="0"/>
        <v>0</v>
      </c>
      <c r="G22" s="895">
        <f t="shared" si="1"/>
        <v>0</v>
      </c>
      <c r="H22" s="302">
        <f>($D$17/12)*E22</f>
        <v>0</v>
      </c>
      <c r="I22" s="341"/>
      <c r="J22" s="341"/>
      <c r="K22" s="341"/>
      <c r="L22" s="341"/>
      <c r="M22" s="341"/>
    </row>
    <row r="23" spans="1:13" s="340" customFormat="1" ht="16.5" customHeight="1">
      <c r="A23" s="401">
        <f t="shared" si="3"/>
        <v>9</v>
      </c>
      <c r="B23" s="1" t="s">
        <v>170</v>
      </c>
      <c r="C23" s="396"/>
      <c r="D23" s="299">
        <v>0</v>
      </c>
      <c r="E23" s="299">
        <v>0</v>
      </c>
      <c r="F23" s="302">
        <f t="shared" si="0"/>
        <v>0</v>
      </c>
      <c r="G23" s="895">
        <f>($D$16/12)*F23</f>
        <v>0</v>
      </c>
      <c r="H23" s="302">
        <f>($D$17/12)*E23</f>
        <v>0</v>
      </c>
      <c r="I23" s="341"/>
      <c r="J23" s="341"/>
      <c r="K23" s="341"/>
      <c r="L23" s="341"/>
      <c r="M23" s="341"/>
    </row>
    <row r="24" spans="1:13" s="340" customFormat="1" ht="16.5" customHeight="1">
      <c r="A24" s="401">
        <f t="shared" si="3"/>
        <v>10</v>
      </c>
      <c r="B24" s="1" t="s">
        <v>76</v>
      </c>
      <c r="C24" s="396"/>
      <c r="D24" s="299">
        <v>40000000</v>
      </c>
      <c r="E24" s="299">
        <f>+'5-Return'!C31</f>
        <v>1106994</v>
      </c>
      <c r="F24" s="302">
        <f t="shared" si="0"/>
        <v>38893006</v>
      </c>
      <c r="G24" s="895">
        <f t="shared" si="1"/>
        <v>6482.1676666666663</v>
      </c>
      <c r="H24" s="302">
        <f>($D$17/12)*E24</f>
        <v>2536.8612500000004</v>
      </c>
      <c r="I24" s="341"/>
      <c r="J24" s="341"/>
      <c r="K24" s="341"/>
      <c r="L24" s="341"/>
      <c r="M24" s="341"/>
    </row>
    <row r="25" spans="1:13" s="340" customFormat="1" ht="16.5" customHeight="1">
      <c r="A25" s="401">
        <f t="shared" si="3"/>
        <v>11</v>
      </c>
      <c r="B25" s="1" t="s">
        <v>75</v>
      </c>
      <c r="C25" s="396"/>
      <c r="D25" s="299">
        <v>40000000</v>
      </c>
      <c r="E25" s="299">
        <f>+'5-Return'!C32</f>
        <v>1209208</v>
      </c>
      <c r="F25" s="302">
        <f t="shared" si="0"/>
        <v>38790792</v>
      </c>
      <c r="G25" s="895">
        <f t="shared" si="1"/>
        <v>6465.1319999999996</v>
      </c>
      <c r="H25" s="302">
        <f t="shared" si="2"/>
        <v>2771.1016666666674</v>
      </c>
      <c r="I25" s="341"/>
      <c r="J25" s="341"/>
      <c r="K25" s="341"/>
      <c r="L25" s="341"/>
      <c r="M25" s="341"/>
    </row>
    <row r="26" spans="1:13" s="340" customFormat="1" ht="16.5" customHeight="1">
      <c r="A26" s="401">
        <f t="shared" si="3"/>
        <v>12</v>
      </c>
      <c r="B26" s="1" t="s">
        <v>95</v>
      </c>
      <c r="C26" s="396"/>
      <c r="D26" s="299">
        <v>40000000</v>
      </c>
      <c r="E26" s="299">
        <f>+'5-Return'!C33</f>
        <v>1328755.2000000002</v>
      </c>
      <c r="F26" s="302">
        <f t="shared" si="0"/>
        <v>38671244.799999997</v>
      </c>
      <c r="G26" s="895">
        <f t="shared" si="1"/>
        <v>6445.2074666666658</v>
      </c>
      <c r="H26" s="302">
        <f t="shared" si="2"/>
        <v>3045.0640000000012</v>
      </c>
      <c r="I26" s="341"/>
      <c r="J26" s="341"/>
      <c r="K26" s="341"/>
      <c r="L26" s="341"/>
      <c r="M26" s="341"/>
    </row>
    <row r="27" spans="1:13" s="340" customFormat="1" ht="16.5" customHeight="1">
      <c r="A27" s="401">
        <f t="shared" si="3"/>
        <v>13</v>
      </c>
      <c r="B27" s="1" t="s">
        <v>82</v>
      </c>
      <c r="C27" s="396"/>
      <c r="D27" s="299">
        <v>40000000</v>
      </c>
      <c r="E27" s="299">
        <f>+'5-Return'!C34</f>
        <v>1721514</v>
      </c>
      <c r="F27" s="302">
        <f t="shared" si="0"/>
        <v>38278486</v>
      </c>
      <c r="G27" s="895">
        <f t="shared" si="1"/>
        <v>6379.7476666666662</v>
      </c>
      <c r="H27" s="302">
        <f t="shared" si="2"/>
        <v>3945.1362500000009</v>
      </c>
      <c r="I27" s="341"/>
      <c r="J27" s="341"/>
      <c r="K27" s="341"/>
      <c r="L27" s="341"/>
      <c r="M27" s="341"/>
    </row>
    <row r="28" spans="1:13" s="340" customFormat="1" ht="16.5" customHeight="1">
      <c r="A28" s="401">
        <f t="shared" si="3"/>
        <v>14</v>
      </c>
      <c r="B28" s="1" t="s">
        <v>171</v>
      </c>
      <c r="C28" s="396"/>
      <c r="D28" s="299">
        <v>40000000</v>
      </c>
      <c r="E28" s="299">
        <f>+'5-Return'!C35</f>
        <v>2194272.8000000003</v>
      </c>
      <c r="F28" s="302">
        <f t="shared" si="0"/>
        <v>37805727.200000003</v>
      </c>
      <c r="G28" s="895">
        <f>($D$16/12)*F28</f>
        <v>6300.9545333333335</v>
      </c>
      <c r="H28" s="302">
        <f>($D$17/12)*E28</f>
        <v>5028.5418333333346</v>
      </c>
      <c r="I28" s="341"/>
      <c r="J28" s="341"/>
      <c r="K28" s="341"/>
      <c r="L28" s="341"/>
      <c r="M28" s="341"/>
    </row>
    <row r="29" spans="1:13" s="340" customFormat="1" ht="16.5" customHeight="1">
      <c r="A29" s="401">
        <f t="shared" si="3"/>
        <v>15</v>
      </c>
      <c r="B29" s="1" t="s">
        <v>80</v>
      </c>
      <c r="C29" s="396"/>
      <c r="D29" s="299">
        <v>40000000</v>
      </c>
      <c r="E29" s="299">
        <f>+'5-Return'!C36</f>
        <v>2731752.8000000003</v>
      </c>
      <c r="F29" s="302">
        <f t="shared" si="0"/>
        <v>37268247.200000003</v>
      </c>
      <c r="G29" s="895">
        <f t="shared" si="1"/>
        <v>6211.3745333333336</v>
      </c>
      <c r="H29" s="302">
        <f t="shared" si="2"/>
        <v>6260.2668333333349</v>
      </c>
      <c r="I29" s="341"/>
      <c r="J29" s="341"/>
      <c r="K29" s="341"/>
      <c r="L29" s="341"/>
      <c r="M29" s="341"/>
    </row>
    <row r="30" spans="1:13" s="340" customFormat="1" ht="16.5" customHeight="1">
      <c r="A30" s="401">
        <f t="shared" si="3"/>
        <v>16</v>
      </c>
      <c r="B30" s="1" t="s">
        <v>86</v>
      </c>
      <c r="C30" s="396"/>
      <c r="D30" s="299">
        <v>40000000</v>
      </c>
      <c r="E30" s="299">
        <f>+'5-Return'!C37</f>
        <v>3626916.8000000003</v>
      </c>
      <c r="F30" s="302">
        <f t="shared" si="0"/>
        <v>36373083.200000003</v>
      </c>
      <c r="G30" s="895">
        <f t="shared" si="1"/>
        <v>6062.1805333333332</v>
      </c>
      <c r="H30" s="302">
        <f t="shared" si="2"/>
        <v>8311.6843333333363</v>
      </c>
      <c r="I30" s="341"/>
      <c r="J30" s="341"/>
      <c r="K30" s="341"/>
      <c r="L30" s="341"/>
      <c r="M30" s="341"/>
    </row>
    <row r="31" spans="1:13" s="340" customFormat="1" ht="16.5" customHeight="1">
      <c r="A31" s="401">
        <f t="shared" si="3"/>
        <v>17</v>
      </c>
      <c r="B31" s="1" t="s">
        <v>79</v>
      </c>
      <c r="C31" s="396"/>
      <c r="D31" s="299">
        <v>40000000</v>
      </c>
      <c r="E31" s="299">
        <f>+'5-Return'!C38</f>
        <v>4682080.8</v>
      </c>
      <c r="F31" s="302">
        <f t="shared" si="0"/>
        <v>35317919.200000003</v>
      </c>
      <c r="G31" s="895">
        <f t="shared" si="1"/>
        <v>5886.3198666666667</v>
      </c>
      <c r="H31" s="302">
        <f t="shared" si="2"/>
        <v>10729.768500000002</v>
      </c>
      <c r="I31" s="341"/>
      <c r="J31" s="341"/>
      <c r="K31" s="341"/>
      <c r="L31" s="341"/>
      <c r="M31" s="341"/>
    </row>
    <row r="32" spans="1:13" s="340" customFormat="1" ht="16.5" customHeight="1">
      <c r="A32" s="401">
        <f t="shared" si="3"/>
        <v>18</v>
      </c>
      <c r="B32" s="1" t="s">
        <v>194</v>
      </c>
      <c r="C32" s="396"/>
      <c r="D32" s="299">
        <v>40000000</v>
      </c>
      <c r="E32" s="299">
        <f>+'5-Return'!C39</f>
        <v>5898182.4000000004</v>
      </c>
      <c r="F32" s="897">
        <f t="shared" si="0"/>
        <v>34101817.600000001</v>
      </c>
      <c r="G32" s="896">
        <f t="shared" si="1"/>
        <v>5683.6362666666664</v>
      </c>
      <c r="H32" s="897">
        <f t="shared" si="2"/>
        <v>13516.668000000003</v>
      </c>
      <c r="I32" s="415"/>
      <c r="J32" s="341"/>
      <c r="K32" s="341"/>
      <c r="L32" s="341"/>
      <c r="M32" s="341"/>
    </row>
    <row r="33" spans="1:13" s="340" customFormat="1" ht="16.5" customHeight="1">
      <c r="A33" s="401">
        <f t="shared" si="3"/>
        <v>19</v>
      </c>
      <c r="B33" s="6" t="s">
        <v>258</v>
      </c>
      <c r="C33" s="396"/>
      <c r="D33" s="898"/>
      <c r="E33" s="416">
        <f>SUM(E20:E32)/13</f>
        <v>1884590.5230769233</v>
      </c>
      <c r="F33" s="898"/>
      <c r="G33" s="895">
        <f>SUM(G20:G32)</f>
        <v>55916.720533333333</v>
      </c>
      <c r="H33" s="302">
        <f>SUM(H20:H32)</f>
        <v>56145.092666666678</v>
      </c>
      <c r="I33" s="359">
        <f>(G33+H33)/E33</f>
        <v>5.9462154684424243E-2</v>
      </c>
      <c r="J33" s="341"/>
      <c r="K33" s="341"/>
      <c r="L33" s="341"/>
      <c r="M33" s="341"/>
    </row>
    <row r="34" spans="1:13" s="340" customFormat="1" ht="21" customHeight="1">
      <c r="A34" s="401"/>
      <c r="B34" s="417"/>
      <c r="C34" s="341"/>
      <c r="D34" s="341"/>
      <c r="E34" s="341"/>
      <c r="F34" s="341"/>
      <c r="G34" s="343"/>
      <c r="H34" s="348"/>
      <c r="I34" s="341"/>
      <c r="J34" s="341"/>
      <c r="K34" s="341"/>
      <c r="L34" s="341"/>
    </row>
    <row r="35" spans="1:13" s="340" customFormat="1" ht="15.75" customHeight="1">
      <c r="A35" s="401"/>
      <c r="B35" s="922" t="s">
        <v>751</v>
      </c>
      <c r="C35" s="922"/>
      <c r="D35" s="922"/>
      <c r="E35" s="922"/>
      <c r="F35" s="922"/>
      <c r="G35" s="922"/>
      <c r="H35" s="922"/>
      <c r="I35" s="922"/>
      <c r="J35" s="341"/>
      <c r="K35" s="341"/>
      <c r="L35" s="341"/>
    </row>
    <row r="36" spans="1:13" s="340" customFormat="1">
      <c r="A36" s="401"/>
      <c r="B36" s="341"/>
      <c r="C36" s="220" t="s">
        <v>196</v>
      </c>
      <c r="D36" s="220" t="s">
        <v>197</v>
      </c>
      <c r="E36" s="371" t="s">
        <v>433</v>
      </c>
      <c r="F36" s="361" t="s">
        <v>199</v>
      </c>
      <c r="G36" s="361" t="s">
        <v>201</v>
      </c>
      <c r="H36" s="361" t="s">
        <v>200</v>
      </c>
      <c r="I36" s="361" t="s">
        <v>202</v>
      </c>
      <c r="J36" s="341"/>
      <c r="K36" s="341"/>
      <c r="L36" s="341"/>
    </row>
    <row r="37" spans="1:13" s="340" customFormat="1" ht="55.5" customHeight="1">
      <c r="A37" s="401"/>
      <c r="B37" s="344" t="s">
        <v>418</v>
      </c>
      <c r="C37" s="366" t="s">
        <v>419</v>
      </c>
      <c r="D37" s="301" t="s">
        <v>861</v>
      </c>
      <c r="E37" s="368" t="s">
        <v>437</v>
      </c>
      <c r="F37" s="368" t="s">
        <v>434</v>
      </c>
      <c r="G37" s="368" t="s">
        <v>443</v>
      </c>
      <c r="H37" s="368" t="s">
        <v>438</v>
      </c>
      <c r="I37" s="368" t="s">
        <v>439</v>
      </c>
      <c r="J37" s="341"/>
      <c r="K37" s="341"/>
      <c r="L37" s="341"/>
    </row>
    <row r="38" spans="1:13" s="340" customFormat="1">
      <c r="A38" s="401">
        <f>+A33+1</f>
        <v>20</v>
      </c>
      <c r="B38" s="341" t="s">
        <v>420</v>
      </c>
      <c r="C38" s="347"/>
      <c r="D38" s="906">
        <v>0</v>
      </c>
      <c r="E38" s="377"/>
      <c r="F38" s="381">
        <v>2</v>
      </c>
      <c r="G38" s="372">
        <f t="shared" ref="G38:G43" si="4">+D38/F38</f>
        <v>0</v>
      </c>
      <c r="H38" s="891">
        <v>0</v>
      </c>
      <c r="I38" s="372">
        <f t="shared" ref="I38:I43" si="5">MAX(+D38-G38-H38,0)</f>
        <v>0</v>
      </c>
      <c r="J38" s="362"/>
      <c r="K38" s="348"/>
      <c r="L38" s="341"/>
    </row>
    <row r="39" spans="1:13" s="340" customFormat="1">
      <c r="A39" s="401">
        <f>+A38+1</f>
        <v>21</v>
      </c>
      <c r="B39" s="341" t="s">
        <v>421</v>
      </c>
      <c r="C39" s="373"/>
      <c r="D39" s="906">
        <v>100000</v>
      </c>
      <c r="E39" s="377">
        <v>2017</v>
      </c>
      <c r="F39" s="381">
        <v>3</v>
      </c>
      <c r="G39" s="372">
        <f t="shared" si="4"/>
        <v>33333.333333333336</v>
      </c>
      <c r="H39" s="891">
        <v>0</v>
      </c>
      <c r="I39" s="372">
        <f t="shared" si="5"/>
        <v>66666.666666666657</v>
      </c>
      <c r="J39" s="349"/>
      <c r="K39" s="341"/>
      <c r="L39" s="341"/>
      <c r="M39" s="350"/>
    </row>
    <row r="40" spans="1:13" s="340" customFormat="1">
      <c r="A40" s="401">
        <f t="shared" ref="A40:A53" si="6">+A39+1</f>
        <v>22</v>
      </c>
      <c r="B40" s="341" t="s">
        <v>422</v>
      </c>
      <c r="C40" s="373"/>
      <c r="D40" s="906">
        <v>100000</v>
      </c>
      <c r="E40" s="377">
        <v>2017</v>
      </c>
      <c r="F40" s="381">
        <v>3</v>
      </c>
      <c r="G40" s="372">
        <f t="shared" si="4"/>
        <v>33333.333333333336</v>
      </c>
      <c r="H40" s="891">
        <v>0</v>
      </c>
      <c r="I40" s="372">
        <f t="shared" si="5"/>
        <v>66666.666666666657</v>
      </c>
      <c r="J40" s="349"/>
      <c r="K40" s="351"/>
      <c r="L40" s="341"/>
    </row>
    <row r="41" spans="1:13" s="340" customFormat="1">
      <c r="A41" s="401">
        <f t="shared" si="6"/>
        <v>23</v>
      </c>
      <c r="B41" s="341" t="s">
        <v>423</v>
      </c>
      <c r="C41" s="373"/>
      <c r="D41" s="906">
        <v>0</v>
      </c>
      <c r="E41" s="377"/>
      <c r="F41" s="381">
        <v>2</v>
      </c>
      <c r="G41" s="372">
        <f t="shared" si="4"/>
        <v>0</v>
      </c>
      <c r="H41" s="891">
        <v>0</v>
      </c>
      <c r="I41" s="372">
        <f t="shared" si="5"/>
        <v>0</v>
      </c>
      <c r="J41" s="341"/>
      <c r="K41" s="341"/>
      <c r="L41" s="341"/>
    </row>
    <row r="42" spans="1:13" s="340" customFormat="1">
      <c r="A42" s="401">
        <f t="shared" si="6"/>
        <v>24</v>
      </c>
      <c r="B42" s="341" t="s">
        <v>424</v>
      </c>
      <c r="C42" s="373"/>
      <c r="D42" s="906">
        <v>0</v>
      </c>
      <c r="E42" s="377"/>
      <c r="F42" s="381">
        <v>2</v>
      </c>
      <c r="G42" s="372">
        <f t="shared" si="4"/>
        <v>0</v>
      </c>
      <c r="H42" s="891">
        <v>0</v>
      </c>
      <c r="I42" s="372">
        <f t="shared" si="5"/>
        <v>0</v>
      </c>
      <c r="J42" s="349"/>
      <c r="K42" s="341"/>
      <c r="L42" s="341"/>
    </row>
    <row r="43" spans="1:13" s="340" customFormat="1">
      <c r="A43" s="401">
        <f t="shared" si="6"/>
        <v>25</v>
      </c>
      <c r="B43" s="341" t="s">
        <v>435</v>
      </c>
      <c r="C43" s="374"/>
      <c r="D43" s="299">
        <v>0</v>
      </c>
      <c r="E43" s="377"/>
      <c r="F43" s="381">
        <v>2</v>
      </c>
      <c r="G43" s="372">
        <f t="shared" si="4"/>
        <v>0</v>
      </c>
      <c r="H43" s="891">
        <v>0</v>
      </c>
      <c r="I43" s="372">
        <f t="shared" si="5"/>
        <v>0</v>
      </c>
      <c r="J43" s="349"/>
      <c r="K43" s="341"/>
      <c r="L43" s="341"/>
    </row>
    <row r="44" spans="1:13" s="340" customFormat="1">
      <c r="A44" s="401">
        <f t="shared" si="6"/>
        <v>26</v>
      </c>
      <c r="B44" s="360" t="s">
        <v>444</v>
      </c>
      <c r="C44" s="363"/>
      <c r="D44" s="621">
        <f>SUM(D38:D43)</f>
        <v>200000</v>
      </c>
      <c r="E44" s="369"/>
      <c r="F44" s="360"/>
      <c r="G44" s="621">
        <f>SUM(G38:G43)</f>
        <v>66666.666666666672</v>
      </c>
      <c r="H44" s="892">
        <f>SUM(H38:H43)</f>
        <v>0</v>
      </c>
      <c r="I44" s="621">
        <f>SUM(I38:I43)</f>
        <v>133333.33333333331</v>
      </c>
      <c r="J44" s="341"/>
      <c r="K44" s="341"/>
      <c r="L44" s="341"/>
    </row>
    <row r="45" spans="1:13" s="340" customFormat="1">
      <c r="A45" s="401">
        <f t="shared" si="6"/>
        <v>27</v>
      </c>
      <c r="B45" s="341"/>
      <c r="C45" s="349"/>
      <c r="D45" s="302"/>
      <c r="E45" s="302"/>
      <c r="G45" s="372"/>
      <c r="H45" s="893"/>
      <c r="I45" s="372"/>
      <c r="J45" s="341"/>
      <c r="K45" s="348"/>
      <c r="L45" s="341"/>
    </row>
    <row r="46" spans="1:13" s="340" customFormat="1">
      <c r="A46" s="401">
        <f t="shared" si="6"/>
        <v>28</v>
      </c>
      <c r="B46" s="344" t="s">
        <v>440</v>
      </c>
      <c r="C46" s="349"/>
      <c r="D46" s="302"/>
      <c r="E46" s="302"/>
      <c r="G46" s="372"/>
      <c r="H46" s="894"/>
      <c r="I46" s="176"/>
      <c r="J46" s="341"/>
      <c r="K46" s="352"/>
      <c r="L46" s="341"/>
    </row>
    <row r="47" spans="1:13" s="340" customFormat="1">
      <c r="A47" s="401">
        <f t="shared" si="6"/>
        <v>29</v>
      </c>
      <c r="B47" s="341" t="s">
        <v>425</v>
      </c>
      <c r="C47" s="353"/>
      <c r="D47" s="906">
        <v>0</v>
      </c>
      <c r="E47" s="377"/>
      <c r="F47" s="176" t="s">
        <v>441</v>
      </c>
      <c r="G47" s="372">
        <f>D47</f>
        <v>0</v>
      </c>
      <c r="H47" s="894" t="s">
        <v>441</v>
      </c>
      <c r="I47" s="176" t="s">
        <v>441</v>
      </c>
      <c r="J47" s="341"/>
      <c r="K47" s="352"/>
      <c r="L47" s="341"/>
    </row>
    <row r="48" spans="1:13" s="340" customFormat="1">
      <c r="A48" s="401">
        <f t="shared" si="6"/>
        <v>30</v>
      </c>
      <c r="B48" s="341" t="s">
        <v>426</v>
      </c>
      <c r="C48" s="353"/>
      <c r="D48" s="906">
        <v>0</v>
      </c>
      <c r="E48" s="377">
        <v>2017</v>
      </c>
      <c r="F48" s="176" t="s">
        <v>441</v>
      </c>
      <c r="G48" s="372">
        <f>D48</f>
        <v>0</v>
      </c>
      <c r="H48" s="894" t="s">
        <v>441</v>
      </c>
      <c r="I48" s="176" t="s">
        <v>441</v>
      </c>
      <c r="J48" s="341"/>
      <c r="K48" s="352"/>
      <c r="L48" s="341"/>
    </row>
    <row r="49" spans="1:12" s="340" customFormat="1">
      <c r="A49" s="401">
        <f t="shared" si="6"/>
        <v>31</v>
      </c>
      <c r="B49" s="341" t="s">
        <v>427</v>
      </c>
      <c r="C49" s="375"/>
      <c r="D49" s="906">
        <v>0</v>
      </c>
      <c r="E49" s="377">
        <v>2017</v>
      </c>
      <c r="F49" s="176" t="s">
        <v>441</v>
      </c>
      <c r="G49" s="372">
        <f>D49</f>
        <v>0</v>
      </c>
      <c r="H49" s="894" t="s">
        <v>441</v>
      </c>
      <c r="I49" s="176" t="s">
        <v>441</v>
      </c>
      <c r="J49" s="349"/>
      <c r="L49" s="341"/>
    </row>
    <row r="50" spans="1:12" s="340" customFormat="1">
      <c r="A50" s="401">
        <f t="shared" si="6"/>
        <v>32</v>
      </c>
      <c r="B50" s="341" t="s">
        <v>429</v>
      </c>
      <c r="C50" s="376"/>
      <c r="D50" s="302"/>
      <c r="E50" s="302"/>
      <c r="F50" s="176" t="s">
        <v>441</v>
      </c>
      <c r="G50" s="372">
        <f>D50</f>
        <v>0</v>
      </c>
      <c r="H50" s="894" t="s">
        <v>441</v>
      </c>
      <c r="I50" s="176" t="s">
        <v>441</v>
      </c>
      <c r="J50" s="341"/>
      <c r="K50" s="341"/>
      <c r="L50" s="341"/>
    </row>
    <row r="51" spans="1:12" s="340" customFormat="1">
      <c r="A51" s="401">
        <f t="shared" si="6"/>
        <v>33</v>
      </c>
      <c r="B51" s="360" t="s">
        <v>428</v>
      </c>
      <c r="C51" s="370"/>
      <c r="D51" s="621">
        <f>+SUM(D44:D50)</f>
        <v>200000</v>
      </c>
      <c r="E51" s="369"/>
      <c r="F51" s="360"/>
      <c r="G51" s="621">
        <f>+SUM(G44:G50)</f>
        <v>66666.666666666672</v>
      </c>
      <c r="H51" s="892">
        <f>+SUM(H44:H50)</f>
        <v>0</v>
      </c>
      <c r="I51" s="621">
        <f>+SUM(I44:I50)</f>
        <v>133333.33333333331</v>
      </c>
      <c r="J51" s="341"/>
      <c r="K51" s="341"/>
      <c r="L51" s="341"/>
    </row>
    <row r="52" spans="1:12" s="340" customFormat="1">
      <c r="A52" s="401">
        <f t="shared" si="6"/>
        <v>34</v>
      </c>
      <c r="B52" s="341" t="s">
        <v>679</v>
      </c>
      <c r="C52" s="354"/>
      <c r="G52" s="302">
        <f>+E33</f>
        <v>1884590.5230769233</v>
      </c>
      <c r="H52" s="398"/>
      <c r="I52" s="341"/>
      <c r="J52" s="341"/>
      <c r="K52" s="341"/>
      <c r="L52" s="341"/>
    </row>
    <row r="53" spans="1:12" s="340" customFormat="1">
      <c r="A53" s="401">
        <f t="shared" si="6"/>
        <v>35</v>
      </c>
      <c r="B53" s="341" t="s">
        <v>436</v>
      </c>
      <c r="C53" s="354"/>
      <c r="G53" s="359">
        <f>G51/G52</f>
        <v>3.5374616316026938E-2</v>
      </c>
      <c r="H53" s="398"/>
      <c r="I53" s="341"/>
      <c r="J53" s="341"/>
      <c r="K53" s="341"/>
      <c r="L53" s="341"/>
    </row>
    <row r="54" spans="1:12" s="340" customFormat="1">
      <c r="A54" s="220">
        <f>+A53+1</f>
        <v>36</v>
      </c>
      <c r="B54" s="341" t="s">
        <v>801</v>
      </c>
      <c r="C54" s="354"/>
      <c r="E54" s="870">
        <v>3.7199999999999997E-2</v>
      </c>
      <c r="H54" s="669"/>
      <c r="I54" s="341"/>
      <c r="J54" s="341"/>
      <c r="K54" s="341"/>
      <c r="L54" s="341"/>
    </row>
    <row r="55" spans="1:12" s="340" customFormat="1">
      <c r="A55" s="220"/>
      <c r="B55" s="344"/>
      <c r="C55" s="354"/>
      <c r="D55" s="343"/>
      <c r="E55" s="343"/>
      <c r="H55" s="669"/>
      <c r="I55" s="341"/>
      <c r="J55" s="341"/>
      <c r="K55" s="341"/>
      <c r="L55" s="341"/>
    </row>
    <row r="56" spans="1:12" s="340" customFormat="1">
      <c r="A56" s="366" t="s">
        <v>579</v>
      </c>
      <c r="B56" s="344"/>
      <c r="C56" s="354"/>
      <c r="D56" s="343"/>
      <c r="E56" s="343"/>
      <c r="H56" s="669"/>
      <c r="I56" s="341"/>
      <c r="J56" s="341"/>
      <c r="K56" s="341"/>
      <c r="L56" s="341"/>
    </row>
    <row r="57" spans="1:12" s="340" customFormat="1" ht="30" customHeight="1">
      <c r="A57" s="876" t="s">
        <v>62</v>
      </c>
      <c r="B57" s="945" t="s">
        <v>804</v>
      </c>
      <c r="C57" s="945"/>
      <c r="D57" s="945"/>
      <c r="E57" s="945"/>
      <c r="F57" s="945"/>
      <c r="G57" s="945"/>
      <c r="H57" s="945"/>
      <c r="I57" s="945"/>
    </row>
    <row r="58" spans="1:12" s="340" customFormat="1">
      <c r="A58" s="355"/>
      <c r="B58" s="340" t="s">
        <v>802</v>
      </c>
      <c r="C58" s="861">
        <v>0.01</v>
      </c>
      <c r="J58" s="356"/>
      <c r="K58" s="356"/>
    </row>
    <row r="59" spans="1:12" s="340" customFormat="1">
      <c r="A59" s="355"/>
      <c r="B59" s="340" t="s">
        <v>803</v>
      </c>
      <c r="C59" s="860">
        <v>1.7500000000000002E-2</v>
      </c>
      <c r="J59" s="356"/>
      <c r="K59" s="356"/>
    </row>
    <row r="60" spans="1:12" s="340" customFormat="1">
      <c r="A60" s="355"/>
      <c r="B60" s="340" t="s">
        <v>13</v>
      </c>
      <c r="C60" s="860">
        <f>+C58+C59</f>
        <v>2.7500000000000004E-2</v>
      </c>
      <c r="J60" s="356"/>
      <c r="K60" s="356"/>
    </row>
    <row r="133" spans="2:3">
      <c r="B133" s="340"/>
      <c r="C133" s="340"/>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373380</xdr:colOff>
                <xdr:row>4</xdr:row>
                <xdr:rowOff>7620</xdr:rowOff>
              </from>
              <to>
                <xdr:col>2</xdr:col>
                <xdr:colOff>1021080</xdr:colOff>
                <xdr:row>4</xdr:row>
                <xdr:rowOff>7620</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zoomScale="80" zoomScaleNormal="90" zoomScaleSheetLayoutView="80" workbookViewId="0">
      <selection activeCell="B6" sqref="B6:F6"/>
    </sheetView>
  </sheetViews>
  <sheetFormatPr defaultColWidth="8.90625" defaultRowHeight="13.2"/>
  <cols>
    <col min="1" max="1" width="5.1796875" style="355" bestFit="1" customWidth="1"/>
    <col min="2" max="2" width="41.90625" style="356" customWidth="1"/>
    <col min="3" max="3" width="14.6328125" style="356" customWidth="1"/>
    <col min="4" max="4" width="14.36328125" style="356" customWidth="1"/>
    <col min="5" max="5" width="9.90625" style="356" customWidth="1"/>
    <col min="6" max="6" width="15.6328125" style="356" customWidth="1"/>
    <col min="7" max="9" width="13.54296875" style="356" customWidth="1"/>
    <col min="10" max="10" width="14.81640625" style="356" customWidth="1"/>
    <col min="11" max="11" width="13.54296875" style="356" customWidth="1"/>
    <col min="12" max="12" width="7.1796875" style="356" customWidth="1"/>
    <col min="13" max="13" width="12.1796875" style="356" customWidth="1"/>
    <col min="14" max="14" width="8.08984375" style="356" customWidth="1"/>
    <col min="15" max="15" width="7.6328125" style="356" bestFit="1" customWidth="1"/>
    <col min="16" max="16" width="11.6328125" style="356" bestFit="1" customWidth="1"/>
    <col min="17" max="17" width="10.90625" style="356" bestFit="1" customWidth="1"/>
    <col min="18" max="16384" width="8.90625" style="356"/>
  </cols>
  <sheetData>
    <row r="1" spans="1:12" s="340" customFormat="1" ht="25.5" customHeight="1">
      <c r="A1" s="946" t="s">
        <v>415</v>
      </c>
      <c r="B1" s="946"/>
      <c r="C1" s="946"/>
      <c r="D1" s="946"/>
      <c r="E1" s="946"/>
      <c r="F1" s="946"/>
      <c r="G1" s="946"/>
      <c r="H1" s="367"/>
      <c r="I1" s="367"/>
      <c r="J1" s="367"/>
      <c r="K1" s="367"/>
    </row>
    <row r="2" spans="1:12" s="340" customFormat="1">
      <c r="A2" s="946" t="s">
        <v>805</v>
      </c>
      <c r="B2" s="946"/>
      <c r="C2" s="946"/>
      <c r="D2" s="946"/>
      <c r="E2" s="946"/>
      <c r="F2" s="946"/>
      <c r="G2" s="946"/>
      <c r="H2" s="367"/>
      <c r="I2" s="367"/>
      <c r="J2" s="367"/>
      <c r="K2" s="367"/>
    </row>
    <row r="3" spans="1:12" s="340" customFormat="1" ht="15" customHeight="1">
      <c r="A3" s="934" t="str">
        <f>+'Attachment H-26'!D5</f>
        <v>Transource West Virginia, LLC</v>
      </c>
      <c r="B3" s="934"/>
      <c r="C3" s="934"/>
      <c r="D3" s="934"/>
      <c r="E3" s="934"/>
      <c r="F3" s="934"/>
      <c r="G3" s="934"/>
      <c r="H3" s="37"/>
      <c r="I3" s="37"/>
      <c r="J3" s="37"/>
      <c r="K3" s="37"/>
      <c r="L3" s="341"/>
    </row>
    <row r="4" spans="1:12" s="340" customFormat="1">
      <c r="A4" s="399"/>
      <c r="L4" s="341"/>
    </row>
    <row r="5" spans="1:12" s="340" customFormat="1">
      <c r="A5" s="342"/>
      <c r="B5" s="341"/>
      <c r="C5" s="341"/>
      <c r="D5" s="341"/>
      <c r="E5" s="341"/>
      <c r="F5" s="948"/>
      <c r="G5" s="948"/>
      <c r="H5" s="948"/>
      <c r="I5" s="341"/>
      <c r="J5" s="341"/>
      <c r="K5" s="341"/>
      <c r="L5" s="341"/>
    </row>
    <row r="6" spans="1:12" s="340" customFormat="1" ht="54" customHeight="1">
      <c r="A6" s="342"/>
      <c r="B6" s="922" t="s">
        <v>838</v>
      </c>
      <c r="C6" s="922"/>
      <c r="D6" s="922"/>
      <c r="E6" s="922"/>
      <c r="F6" s="922"/>
      <c r="G6" s="358"/>
      <c r="H6" s="358"/>
      <c r="I6" s="358"/>
      <c r="J6" s="341"/>
      <c r="K6" s="341"/>
      <c r="L6" s="341"/>
    </row>
    <row r="7" spans="1:12" s="340" customFormat="1" ht="18.75" customHeight="1">
      <c r="A7" s="342"/>
      <c r="B7" s="949" t="s">
        <v>755</v>
      </c>
      <c r="C7" s="949"/>
      <c r="D7" s="949"/>
      <c r="E7" s="949"/>
      <c r="F7" s="949"/>
      <c r="G7" s="294"/>
      <c r="H7" s="400"/>
      <c r="I7" s="400"/>
      <c r="J7" s="357"/>
      <c r="K7" s="357"/>
      <c r="L7" s="400"/>
    </row>
    <row r="8" spans="1:12" s="340" customFormat="1" ht="33.75" customHeight="1">
      <c r="A8" s="342"/>
      <c r="B8" s="922" t="s">
        <v>852</v>
      </c>
      <c r="C8" s="922"/>
      <c r="D8" s="922"/>
      <c r="E8" s="922"/>
      <c r="F8" s="922"/>
      <c r="G8" s="358"/>
      <c r="H8" s="400"/>
      <c r="I8" s="400"/>
      <c r="J8" s="357"/>
      <c r="K8" s="357"/>
      <c r="L8" s="400"/>
    </row>
    <row r="9" spans="1:12" s="340" customFormat="1">
      <c r="A9" s="342"/>
      <c r="B9" s="398"/>
      <c r="C9" s="398"/>
      <c r="D9" s="398"/>
      <c r="E9" s="398"/>
      <c r="F9" s="398"/>
      <c r="G9" s="398"/>
      <c r="H9" s="400"/>
      <c r="I9" s="400"/>
      <c r="J9" s="357"/>
      <c r="K9" s="357"/>
      <c r="L9" s="400"/>
    </row>
    <row r="10" spans="1:12" s="340" customFormat="1" ht="26.4">
      <c r="A10" s="225" t="s">
        <v>154</v>
      </c>
      <c r="B10" s="398"/>
      <c r="C10" s="398"/>
      <c r="D10" s="398"/>
      <c r="E10" s="398"/>
      <c r="F10" s="398"/>
      <c r="G10" s="398"/>
      <c r="H10" s="400"/>
      <c r="I10" s="400"/>
      <c r="J10" s="357"/>
      <c r="K10" s="357"/>
      <c r="L10" s="400"/>
    </row>
    <row r="11" spans="1:12" s="340" customFormat="1" ht="18.75" customHeight="1" thickBot="1">
      <c r="C11" s="341"/>
      <c r="D11" s="402" t="s">
        <v>48</v>
      </c>
      <c r="E11" s="341"/>
      <c r="F11" s="341"/>
      <c r="G11" s="343"/>
      <c r="H11" s="341"/>
      <c r="I11" s="341"/>
      <c r="J11" s="341"/>
      <c r="K11" s="341"/>
      <c r="L11" s="341"/>
    </row>
    <row r="12" spans="1:12" s="340" customFormat="1" ht="16.5" customHeight="1">
      <c r="A12" s="265">
        <v>1</v>
      </c>
      <c r="B12" s="25" t="s">
        <v>488</v>
      </c>
      <c r="D12" s="299"/>
      <c r="E12" s="341"/>
      <c r="F12" s="341"/>
      <c r="G12" s="343"/>
      <c r="H12" s="341"/>
      <c r="I12" s="341"/>
      <c r="J12" s="341"/>
      <c r="K12" s="341"/>
      <c r="L12" s="341"/>
    </row>
    <row r="13" spans="1:12" s="340" customFormat="1" ht="16.5" customHeight="1">
      <c r="A13" s="412">
        <f>+A12+1</f>
        <v>2</v>
      </c>
      <c r="B13" s="413" t="s">
        <v>497</v>
      </c>
      <c r="C13" s="341"/>
      <c r="D13" s="300"/>
      <c r="E13" s="341"/>
      <c r="F13" s="341"/>
      <c r="G13" s="343"/>
      <c r="H13" s="341"/>
      <c r="I13" s="341"/>
      <c r="J13" s="341"/>
      <c r="K13" s="341"/>
      <c r="L13" s="341"/>
    </row>
    <row r="14" spans="1:12" s="340" customFormat="1" ht="16.5" customHeight="1">
      <c r="A14" s="265">
        <f>+A13+1</f>
        <v>3</v>
      </c>
      <c r="B14" s="25" t="s">
        <v>498</v>
      </c>
      <c r="D14" s="302">
        <f>SUM(D12:D13)</f>
        <v>0</v>
      </c>
      <c r="E14" s="341"/>
      <c r="F14" s="341"/>
      <c r="G14" s="343"/>
      <c r="H14" s="341"/>
      <c r="I14" s="341"/>
      <c r="J14" s="341"/>
      <c r="K14" s="341"/>
      <c r="L14" s="341"/>
    </row>
    <row r="15" spans="1:12" s="340" customFormat="1" ht="16.5" customHeight="1">
      <c r="A15" s="401"/>
      <c r="B15" s="344"/>
      <c r="C15" s="396"/>
      <c r="D15" s="899"/>
      <c r="E15" s="396"/>
      <c r="F15" s="396"/>
      <c r="H15" s="341"/>
      <c r="I15" s="341"/>
      <c r="J15" s="341"/>
      <c r="K15" s="341"/>
      <c r="L15" s="341"/>
    </row>
    <row r="16" spans="1:12" s="340" customFormat="1" ht="16.5" customHeight="1">
      <c r="A16" s="401"/>
      <c r="B16" s="344"/>
      <c r="C16" s="396"/>
      <c r="D16" s="899"/>
      <c r="E16" s="396"/>
      <c r="F16" s="396"/>
      <c r="H16" s="341"/>
      <c r="I16" s="341"/>
      <c r="J16" s="341"/>
      <c r="K16" s="341"/>
      <c r="L16" s="341"/>
    </row>
    <row r="17" spans="1:12" s="340" customFormat="1" ht="16.5" customHeight="1">
      <c r="A17" s="401"/>
      <c r="B17" s="341" t="s">
        <v>511</v>
      </c>
      <c r="C17" s="396"/>
      <c r="D17" s="899"/>
      <c r="E17" s="396"/>
      <c r="F17" s="396"/>
      <c r="H17" s="341"/>
      <c r="I17" s="341"/>
      <c r="J17" s="341"/>
      <c r="K17" s="341"/>
      <c r="L17" s="341"/>
    </row>
    <row r="18" spans="1:12" s="340" customFormat="1" ht="26.25" customHeight="1">
      <c r="A18" s="401"/>
      <c r="B18" s="418" t="s">
        <v>442</v>
      </c>
      <c r="C18" s="396"/>
      <c r="D18" s="900" t="s">
        <v>512</v>
      </c>
      <c r="E18" s="396"/>
      <c r="F18" s="396"/>
      <c r="H18" s="341"/>
      <c r="I18" s="341"/>
      <c r="J18" s="341"/>
      <c r="K18" s="341"/>
      <c r="L18" s="341"/>
    </row>
    <row r="19" spans="1:12" s="340" customFormat="1" ht="21" customHeight="1">
      <c r="A19" s="401"/>
      <c r="B19" s="397" t="s">
        <v>196</v>
      </c>
      <c r="C19" s="396"/>
      <c r="D19" s="901" t="s">
        <v>199</v>
      </c>
      <c r="E19" s="396"/>
      <c r="F19" s="396"/>
      <c r="H19" s="341"/>
      <c r="I19" s="341"/>
      <c r="J19" s="341"/>
      <c r="K19" s="341"/>
      <c r="L19" s="341"/>
    </row>
    <row r="20" spans="1:12" s="340" customFormat="1" ht="16.5" customHeight="1">
      <c r="A20" s="403">
        <f>+A14+1</f>
        <v>4</v>
      </c>
      <c r="B20" s="5" t="s">
        <v>193</v>
      </c>
      <c r="C20" s="396"/>
      <c r="D20" s="299"/>
      <c r="E20" s="396"/>
      <c r="F20" s="396"/>
      <c r="H20" s="341"/>
      <c r="I20" s="341"/>
      <c r="J20" s="341"/>
      <c r="K20" s="341"/>
      <c r="L20" s="341"/>
    </row>
    <row r="21" spans="1:12" s="340" customFormat="1" ht="16.5" customHeight="1">
      <c r="A21" s="401">
        <f>+A20+1</f>
        <v>5</v>
      </c>
      <c r="B21" s="5" t="s">
        <v>85</v>
      </c>
      <c r="C21" s="396"/>
      <c r="D21" s="299"/>
      <c r="E21" s="396"/>
      <c r="F21" s="396"/>
      <c r="H21" s="341"/>
      <c r="I21" s="341"/>
      <c r="J21" s="341"/>
      <c r="K21" s="341"/>
      <c r="L21" s="341"/>
    </row>
    <row r="22" spans="1:12" s="340" customFormat="1" ht="16.5" customHeight="1">
      <c r="A22" s="401">
        <f t="shared" ref="A22:A33" si="0">+A21+1</f>
        <v>6</v>
      </c>
      <c r="B22" s="1" t="s">
        <v>84</v>
      </c>
      <c r="C22" s="396"/>
      <c r="D22" s="299"/>
      <c r="E22" s="396"/>
      <c r="F22" s="396"/>
      <c r="H22" s="341"/>
      <c r="I22" s="341"/>
      <c r="J22" s="341"/>
      <c r="K22" s="341"/>
      <c r="L22" s="341"/>
    </row>
    <row r="23" spans="1:12" s="340" customFormat="1" ht="16.5" customHeight="1">
      <c r="A23" s="401">
        <f t="shared" si="0"/>
        <v>7</v>
      </c>
      <c r="B23" s="1" t="s">
        <v>170</v>
      </c>
      <c r="C23" s="396"/>
      <c r="D23" s="299"/>
      <c r="E23" s="396"/>
      <c r="F23" s="396"/>
      <c r="H23" s="341"/>
      <c r="I23" s="341"/>
      <c r="J23" s="341"/>
      <c r="K23" s="341"/>
      <c r="L23" s="341"/>
    </row>
    <row r="24" spans="1:12" s="340" customFormat="1" ht="16.5" customHeight="1">
      <c r="A24" s="401">
        <f t="shared" si="0"/>
        <v>8</v>
      </c>
      <c r="B24" s="1" t="s">
        <v>76</v>
      </c>
      <c r="C24" s="396"/>
      <c r="D24" s="299"/>
      <c r="E24" s="396"/>
      <c r="F24" s="396"/>
      <c r="H24" s="341"/>
      <c r="I24" s="341"/>
      <c r="J24" s="341"/>
      <c r="K24" s="341"/>
      <c r="L24" s="341"/>
    </row>
    <row r="25" spans="1:12" s="340" customFormat="1" ht="16.5" customHeight="1">
      <c r="A25" s="401">
        <f t="shared" si="0"/>
        <v>9</v>
      </c>
      <c r="B25" s="1" t="s">
        <v>75</v>
      </c>
      <c r="C25" s="396"/>
      <c r="D25" s="299"/>
      <c r="E25" s="396"/>
      <c r="F25" s="396"/>
      <c r="H25" s="341"/>
      <c r="I25" s="341"/>
      <c r="J25" s="341"/>
      <c r="K25" s="341"/>
      <c r="L25" s="341"/>
    </row>
    <row r="26" spans="1:12" s="340" customFormat="1" ht="16.5" customHeight="1">
      <c r="A26" s="401">
        <f t="shared" si="0"/>
        <v>10</v>
      </c>
      <c r="B26" s="1" t="s">
        <v>95</v>
      </c>
      <c r="C26" s="396"/>
      <c r="D26" s="299"/>
      <c r="E26" s="396"/>
      <c r="F26" s="396"/>
      <c r="H26" s="341"/>
      <c r="I26" s="341"/>
      <c r="J26" s="341"/>
      <c r="K26" s="341"/>
      <c r="L26" s="341"/>
    </row>
    <row r="27" spans="1:12" s="340" customFormat="1" ht="16.5" customHeight="1">
      <c r="A27" s="401">
        <f t="shared" si="0"/>
        <v>11</v>
      </c>
      <c r="B27" s="1" t="s">
        <v>82</v>
      </c>
      <c r="C27" s="396"/>
      <c r="D27" s="299"/>
      <c r="E27" s="396"/>
      <c r="F27" s="396"/>
      <c r="H27" s="341"/>
      <c r="I27" s="341"/>
      <c r="J27" s="341"/>
      <c r="K27" s="341"/>
      <c r="L27" s="341"/>
    </row>
    <row r="28" spans="1:12" s="340" customFormat="1" ht="16.5" customHeight="1">
      <c r="A28" s="401">
        <f t="shared" si="0"/>
        <v>12</v>
      </c>
      <c r="B28" s="1" t="s">
        <v>171</v>
      </c>
      <c r="C28" s="396"/>
      <c r="D28" s="299"/>
      <c r="E28" s="396"/>
      <c r="F28" s="396"/>
      <c r="H28" s="341"/>
      <c r="I28" s="341"/>
      <c r="J28" s="341"/>
      <c r="K28" s="341"/>
      <c r="L28" s="341"/>
    </row>
    <row r="29" spans="1:12" s="340" customFormat="1" ht="16.5" customHeight="1">
      <c r="A29" s="401">
        <f t="shared" si="0"/>
        <v>13</v>
      </c>
      <c r="B29" s="1" t="s">
        <v>80</v>
      </c>
      <c r="C29" s="396"/>
      <c r="D29" s="299"/>
      <c r="E29" s="396"/>
      <c r="F29" s="396"/>
      <c r="H29" s="341"/>
      <c r="I29" s="341"/>
      <c r="J29" s="341"/>
      <c r="K29" s="341"/>
      <c r="L29" s="341"/>
    </row>
    <row r="30" spans="1:12" s="340" customFormat="1" ht="16.5" customHeight="1">
      <c r="A30" s="401">
        <f t="shared" si="0"/>
        <v>14</v>
      </c>
      <c r="B30" s="1" t="s">
        <v>86</v>
      </c>
      <c r="C30" s="396"/>
      <c r="D30" s="299"/>
      <c r="E30" s="396"/>
      <c r="F30" s="396"/>
      <c r="H30" s="341"/>
      <c r="I30" s="341"/>
      <c r="J30" s="341"/>
      <c r="K30" s="341"/>
      <c r="L30" s="341"/>
    </row>
    <row r="31" spans="1:12" s="340" customFormat="1" ht="16.5" customHeight="1">
      <c r="A31" s="401">
        <f t="shared" si="0"/>
        <v>15</v>
      </c>
      <c r="B31" s="1" t="s">
        <v>79</v>
      </c>
      <c r="C31" s="396"/>
      <c r="D31" s="299"/>
      <c r="E31" s="396"/>
      <c r="F31" s="396"/>
      <c r="H31" s="341"/>
      <c r="I31" s="341"/>
      <c r="J31" s="341"/>
      <c r="K31" s="341"/>
      <c r="L31" s="341"/>
    </row>
    <row r="32" spans="1:12" s="340" customFormat="1" ht="16.5" customHeight="1">
      <c r="A32" s="401">
        <f t="shared" si="0"/>
        <v>16</v>
      </c>
      <c r="B32" s="1" t="s">
        <v>194</v>
      </c>
      <c r="C32" s="396"/>
      <c r="D32" s="299"/>
      <c r="E32" s="396"/>
      <c r="F32" s="396"/>
      <c r="H32" s="341"/>
      <c r="I32" s="341"/>
      <c r="J32" s="341"/>
      <c r="K32" s="341"/>
      <c r="L32" s="341"/>
    </row>
    <row r="33" spans="1:12" s="340" customFormat="1" ht="16.5" customHeight="1">
      <c r="A33" s="401">
        <f t="shared" si="0"/>
        <v>17</v>
      </c>
      <c r="B33" s="6" t="s">
        <v>258</v>
      </c>
      <c r="C33" s="396"/>
      <c r="D33" s="620">
        <f>SUM(D20:D32)/13</f>
        <v>0</v>
      </c>
      <c r="E33" s="396"/>
      <c r="F33" s="396"/>
      <c r="H33" s="341"/>
      <c r="I33" s="341"/>
      <c r="J33" s="341"/>
      <c r="K33" s="341"/>
      <c r="L33" s="341"/>
    </row>
    <row r="34" spans="1:12" s="340" customFormat="1" ht="21" customHeight="1">
      <c r="A34" s="401"/>
      <c r="C34" s="341"/>
      <c r="D34" s="341"/>
      <c r="E34" s="341"/>
      <c r="F34" s="341"/>
      <c r="G34" s="343"/>
      <c r="H34" s="341"/>
      <c r="I34" s="341"/>
      <c r="J34" s="341"/>
      <c r="K34" s="341"/>
      <c r="L34" s="341"/>
    </row>
    <row r="35" spans="1:12" s="340" customFormat="1" ht="16.5" customHeight="1">
      <c r="A35" s="401">
        <f>+A33+1</f>
        <v>18</v>
      </c>
      <c r="B35" s="340" t="s">
        <v>677</v>
      </c>
      <c r="C35" s="396"/>
      <c r="D35" s="359" t="e">
        <f>D14/D33</f>
        <v>#DIV/0!</v>
      </c>
      <c r="E35" s="396"/>
      <c r="F35" s="396"/>
      <c r="H35" s="341"/>
      <c r="I35" s="341"/>
      <c r="J35" s="341"/>
      <c r="K35" s="341"/>
      <c r="L35" s="341"/>
    </row>
    <row r="36" spans="1:12" s="340" customFormat="1" ht="16.5" customHeight="1">
      <c r="A36" s="401"/>
      <c r="B36" s="344"/>
      <c r="C36" s="396"/>
      <c r="D36" s="380"/>
      <c r="E36" s="396"/>
      <c r="F36" s="396"/>
      <c r="H36" s="341"/>
      <c r="I36" s="341"/>
      <c r="J36" s="341"/>
      <c r="K36" s="341"/>
      <c r="L36" s="341"/>
    </row>
    <row r="37" spans="1:12" s="340" customFormat="1" ht="16.5" customHeight="1">
      <c r="A37" s="736" t="s">
        <v>579</v>
      </c>
      <c r="B37" s="344"/>
      <c r="C37" s="565"/>
      <c r="D37" s="380"/>
      <c r="E37" s="565"/>
      <c r="F37" s="565"/>
      <c r="H37" s="341"/>
      <c r="I37" s="341"/>
      <c r="J37" s="341"/>
      <c r="K37" s="341"/>
      <c r="L37" s="341"/>
    </row>
    <row r="38" spans="1:12" s="340" customFormat="1" ht="32.25" customHeight="1">
      <c r="A38" s="772" t="s">
        <v>62</v>
      </c>
      <c r="B38" s="915" t="s">
        <v>491</v>
      </c>
      <c r="C38" s="915"/>
      <c r="D38" s="915"/>
      <c r="E38" s="915"/>
      <c r="F38" s="915"/>
      <c r="G38" s="419"/>
      <c r="H38" s="341"/>
      <c r="I38" s="345"/>
      <c r="J38" s="346"/>
      <c r="K38" s="341"/>
      <c r="L38" s="341"/>
    </row>
    <row r="39" spans="1:12" s="340" customFormat="1">
      <c r="A39" s="355"/>
      <c r="J39" s="356"/>
      <c r="K39" s="356"/>
    </row>
    <row r="40" spans="1:12" s="340" customFormat="1">
      <c r="A40" s="355"/>
      <c r="J40" s="356"/>
      <c r="K40" s="356"/>
    </row>
    <row r="41" spans="1:12" s="340" customFormat="1">
      <c r="A41" s="355"/>
      <c r="J41" s="356"/>
      <c r="K41" s="356"/>
    </row>
    <row r="114" spans="2:3">
      <c r="B114" s="340"/>
      <c r="C114" s="340"/>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0"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365760</xdr:colOff>
                <xdr:row>3</xdr:row>
                <xdr:rowOff>152400</xdr:rowOff>
              </from>
              <to>
                <xdr:col>2</xdr:col>
                <xdr:colOff>998220</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A31" sqref="A1:XFD1048576"/>
      <selection pane="bottomLeft" activeCell="B4" sqref="B4"/>
    </sheetView>
  </sheetViews>
  <sheetFormatPr defaultColWidth="9.6328125" defaultRowHeight="13.2"/>
  <cols>
    <col min="1" max="1" width="7.6328125" style="797" customWidth="1"/>
    <col min="2" max="2" width="32.90625" style="797" customWidth="1"/>
    <col min="3" max="7" width="12.08984375" style="797" customWidth="1"/>
    <col min="8" max="8" width="13.453125" style="797" customWidth="1"/>
    <col min="9" max="9" width="12.6328125" style="797" customWidth="1"/>
    <col min="10" max="10" width="13.6328125" style="797" customWidth="1"/>
    <col min="11" max="256" width="9.6328125" style="797"/>
    <col min="257" max="257" width="7.6328125" style="797" customWidth="1"/>
    <col min="258" max="258" width="32.90625" style="797" customWidth="1"/>
    <col min="259" max="259" width="9.1796875" style="797" customWidth="1"/>
    <col min="260" max="260" width="6.54296875" style="797" customWidth="1"/>
    <col min="261" max="261" width="7.90625" style="797" customWidth="1"/>
    <col min="262" max="262" width="8.08984375" style="797" customWidth="1"/>
    <col min="263" max="263" width="9" style="797" customWidth="1"/>
    <col min="264" max="264" width="11.54296875" style="797" customWidth="1"/>
    <col min="265" max="265" width="12.6328125" style="797" customWidth="1"/>
    <col min="266" max="266" width="13.6328125" style="797" customWidth="1"/>
    <col min="267" max="512" width="9.6328125" style="797"/>
    <col min="513" max="513" width="7.6328125" style="797" customWidth="1"/>
    <col min="514" max="514" width="32.90625" style="797" customWidth="1"/>
    <col min="515" max="515" width="9.1796875" style="797" customWidth="1"/>
    <col min="516" max="516" width="6.54296875" style="797" customWidth="1"/>
    <col min="517" max="517" width="7.90625" style="797" customWidth="1"/>
    <col min="518" max="518" width="8.08984375" style="797" customWidth="1"/>
    <col min="519" max="519" width="9" style="797" customWidth="1"/>
    <col min="520" max="520" width="11.54296875" style="797" customWidth="1"/>
    <col min="521" max="521" width="12.6328125" style="797" customWidth="1"/>
    <col min="522" max="522" width="13.6328125" style="797" customWidth="1"/>
    <col min="523" max="768" width="9.6328125" style="797"/>
    <col min="769" max="769" width="7.6328125" style="797" customWidth="1"/>
    <col min="770" max="770" width="32.90625" style="797" customWidth="1"/>
    <col min="771" max="771" width="9.1796875" style="797" customWidth="1"/>
    <col min="772" max="772" width="6.54296875" style="797" customWidth="1"/>
    <col min="773" max="773" width="7.90625" style="797" customWidth="1"/>
    <col min="774" max="774" width="8.08984375" style="797" customWidth="1"/>
    <col min="775" max="775" width="9" style="797" customWidth="1"/>
    <col min="776" max="776" width="11.54296875" style="797" customWidth="1"/>
    <col min="777" max="777" width="12.6328125" style="797" customWidth="1"/>
    <col min="778" max="778" width="13.6328125" style="797" customWidth="1"/>
    <col min="779" max="1024" width="9.6328125" style="797"/>
    <col min="1025" max="1025" width="7.6328125" style="797" customWidth="1"/>
    <col min="1026" max="1026" width="32.90625" style="797" customWidth="1"/>
    <col min="1027" max="1027" width="9.1796875" style="797" customWidth="1"/>
    <col min="1028" max="1028" width="6.54296875" style="797" customWidth="1"/>
    <col min="1029" max="1029" width="7.90625" style="797" customWidth="1"/>
    <col min="1030" max="1030" width="8.08984375" style="797" customWidth="1"/>
    <col min="1031" max="1031" width="9" style="797" customWidth="1"/>
    <col min="1032" max="1032" width="11.54296875" style="797" customWidth="1"/>
    <col min="1033" max="1033" width="12.6328125" style="797" customWidth="1"/>
    <col min="1034" max="1034" width="13.6328125" style="797" customWidth="1"/>
    <col min="1035" max="1280" width="9.6328125" style="797"/>
    <col min="1281" max="1281" width="7.6328125" style="797" customWidth="1"/>
    <col min="1282" max="1282" width="32.90625" style="797" customWidth="1"/>
    <col min="1283" max="1283" width="9.1796875" style="797" customWidth="1"/>
    <col min="1284" max="1284" width="6.54296875" style="797" customWidth="1"/>
    <col min="1285" max="1285" width="7.90625" style="797" customWidth="1"/>
    <col min="1286" max="1286" width="8.08984375" style="797" customWidth="1"/>
    <col min="1287" max="1287" width="9" style="797" customWidth="1"/>
    <col min="1288" max="1288" width="11.54296875" style="797" customWidth="1"/>
    <col min="1289" max="1289" width="12.6328125" style="797" customWidth="1"/>
    <col min="1290" max="1290" width="13.6328125" style="797" customWidth="1"/>
    <col min="1291" max="1536" width="9.6328125" style="797"/>
    <col min="1537" max="1537" width="7.6328125" style="797" customWidth="1"/>
    <col min="1538" max="1538" width="32.90625" style="797" customWidth="1"/>
    <col min="1539" max="1539" width="9.1796875" style="797" customWidth="1"/>
    <col min="1540" max="1540" width="6.54296875" style="797" customWidth="1"/>
    <col min="1541" max="1541" width="7.90625" style="797" customWidth="1"/>
    <col min="1542" max="1542" width="8.08984375" style="797" customWidth="1"/>
    <col min="1543" max="1543" width="9" style="797" customWidth="1"/>
    <col min="1544" max="1544" width="11.54296875" style="797" customWidth="1"/>
    <col min="1545" max="1545" width="12.6328125" style="797" customWidth="1"/>
    <col min="1546" max="1546" width="13.6328125" style="797" customWidth="1"/>
    <col min="1547" max="1792" width="9.6328125" style="797"/>
    <col min="1793" max="1793" width="7.6328125" style="797" customWidth="1"/>
    <col min="1794" max="1794" width="32.90625" style="797" customWidth="1"/>
    <col min="1795" max="1795" width="9.1796875" style="797" customWidth="1"/>
    <col min="1796" max="1796" width="6.54296875" style="797" customWidth="1"/>
    <col min="1797" max="1797" width="7.90625" style="797" customWidth="1"/>
    <col min="1798" max="1798" width="8.08984375" style="797" customWidth="1"/>
    <col min="1799" max="1799" width="9" style="797" customWidth="1"/>
    <col min="1800" max="1800" width="11.54296875" style="797" customWidth="1"/>
    <col min="1801" max="1801" width="12.6328125" style="797" customWidth="1"/>
    <col min="1802" max="1802" width="13.6328125" style="797" customWidth="1"/>
    <col min="1803" max="2048" width="9.6328125" style="797"/>
    <col min="2049" max="2049" width="7.6328125" style="797" customWidth="1"/>
    <col min="2050" max="2050" width="32.90625" style="797" customWidth="1"/>
    <col min="2051" max="2051" width="9.1796875" style="797" customWidth="1"/>
    <col min="2052" max="2052" width="6.54296875" style="797" customWidth="1"/>
    <col min="2053" max="2053" width="7.90625" style="797" customWidth="1"/>
    <col min="2054" max="2054" width="8.08984375" style="797" customWidth="1"/>
    <col min="2055" max="2055" width="9" style="797" customWidth="1"/>
    <col min="2056" max="2056" width="11.54296875" style="797" customWidth="1"/>
    <col min="2057" max="2057" width="12.6328125" style="797" customWidth="1"/>
    <col min="2058" max="2058" width="13.6328125" style="797" customWidth="1"/>
    <col min="2059" max="2304" width="9.6328125" style="797"/>
    <col min="2305" max="2305" width="7.6328125" style="797" customWidth="1"/>
    <col min="2306" max="2306" width="32.90625" style="797" customWidth="1"/>
    <col min="2307" max="2307" width="9.1796875" style="797" customWidth="1"/>
    <col min="2308" max="2308" width="6.54296875" style="797" customWidth="1"/>
    <col min="2309" max="2309" width="7.90625" style="797" customWidth="1"/>
    <col min="2310" max="2310" width="8.08984375" style="797" customWidth="1"/>
    <col min="2311" max="2311" width="9" style="797" customWidth="1"/>
    <col min="2312" max="2312" width="11.54296875" style="797" customWidth="1"/>
    <col min="2313" max="2313" width="12.6328125" style="797" customWidth="1"/>
    <col min="2314" max="2314" width="13.6328125" style="797" customWidth="1"/>
    <col min="2315" max="2560" width="9.6328125" style="797"/>
    <col min="2561" max="2561" width="7.6328125" style="797" customWidth="1"/>
    <col min="2562" max="2562" width="32.90625" style="797" customWidth="1"/>
    <col min="2563" max="2563" width="9.1796875" style="797" customWidth="1"/>
    <col min="2564" max="2564" width="6.54296875" style="797" customWidth="1"/>
    <col min="2565" max="2565" width="7.90625" style="797" customWidth="1"/>
    <col min="2566" max="2566" width="8.08984375" style="797" customWidth="1"/>
    <col min="2567" max="2567" width="9" style="797" customWidth="1"/>
    <col min="2568" max="2568" width="11.54296875" style="797" customWidth="1"/>
    <col min="2569" max="2569" width="12.6328125" style="797" customWidth="1"/>
    <col min="2570" max="2570" width="13.6328125" style="797" customWidth="1"/>
    <col min="2571" max="2816" width="9.6328125" style="797"/>
    <col min="2817" max="2817" width="7.6328125" style="797" customWidth="1"/>
    <col min="2818" max="2818" width="32.90625" style="797" customWidth="1"/>
    <col min="2819" max="2819" width="9.1796875" style="797" customWidth="1"/>
    <col min="2820" max="2820" width="6.54296875" style="797" customWidth="1"/>
    <col min="2821" max="2821" width="7.90625" style="797" customWidth="1"/>
    <col min="2822" max="2822" width="8.08984375" style="797" customWidth="1"/>
    <col min="2823" max="2823" width="9" style="797" customWidth="1"/>
    <col min="2824" max="2824" width="11.54296875" style="797" customWidth="1"/>
    <col min="2825" max="2825" width="12.6328125" style="797" customWidth="1"/>
    <col min="2826" max="2826" width="13.6328125" style="797" customWidth="1"/>
    <col min="2827" max="3072" width="9.6328125" style="797"/>
    <col min="3073" max="3073" width="7.6328125" style="797" customWidth="1"/>
    <col min="3074" max="3074" width="32.90625" style="797" customWidth="1"/>
    <col min="3075" max="3075" width="9.1796875" style="797" customWidth="1"/>
    <col min="3076" max="3076" width="6.54296875" style="797" customWidth="1"/>
    <col min="3077" max="3077" width="7.90625" style="797" customWidth="1"/>
    <col min="3078" max="3078" width="8.08984375" style="797" customWidth="1"/>
    <col min="3079" max="3079" width="9" style="797" customWidth="1"/>
    <col min="3080" max="3080" width="11.54296875" style="797" customWidth="1"/>
    <col min="3081" max="3081" width="12.6328125" style="797" customWidth="1"/>
    <col min="3082" max="3082" width="13.6328125" style="797" customWidth="1"/>
    <col min="3083" max="3328" width="9.6328125" style="797"/>
    <col min="3329" max="3329" width="7.6328125" style="797" customWidth="1"/>
    <col min="3330" max="3330" width="32.90625" style="797" customWidth="1"/>
    <col min="3331" max="3331" width="9.1796875" style="797" customWidth="1"/>
    <col min="3332" max="3332" width="6.54296875" style="797" customWidth="1"/>
    <col min="3333" max="3333" width="7.90625" style="797" customWidth="1"/>
    <col min="3334" max="3334" width="8.08984375" style="797" customWidth="1"/>
    <col min="3335" max="3335" width="9" style="797" customWidth="1"/>
    <col min="3336" max="3336" width="11.54296875" style="797" customWidth="1"/>
    <col min="3337" max="3337" width="12.6328125" style="797" customWidth="1"/>
    <col min="3338" max="3338" width="13.6328125" style="797" customWidth="1"/>
    <col min="3339" max="3584" width="9.6328125" style="797"/>
    <col min="3585" max="3585" width="7.6328125" style="797" customWidth="1"/>
    <col min="3586" max="3586" width="32.90625" style="797" customWidth="1"/>
    <col min="3587" max="3587" width="9.1796875" style="797" customWidth="1"/>
    <col min="3588" max="3588" width="6.54296875" style="797" customWidth="1"/>
    <col min="3589" max="3589" width="7.90625" style="797" customWidth="1"/>
    <col min="3590" max="3590" width="8.08984375" style="797" customWidth="1"/>
    <col min="3591" max="3591" width="9" style="797" customWidth="1"/>
    <col min="3592" max="3592" width="11.54296875" style="797" customWidth="1"/>
    <col min="3593" max="3593" width="12.6328125" style="797" customWidth="1"/>
    <col min="3594" max="3594" width="13.6328125" style="797" customWidth="1"/>
    <col min="3595" max="3840" width="9.6328125" style="797"/>
    <col min="3841" max="3841" width="7.6328125" style="797" customWidth="1"/>
    <col min="3842" max="3842" width="32.90625" style="797" customWidth="1"/>
    <col min="3843" max="3843" width="9.1796875" style="797" customWidth="1"/>
    <col min="3844" max="3844" width="6.54296875" style="797" customWidth="1"/>
    <col min="3845" max="3845" width="7.90625" style="797" customWidth="1"/>
    <col min="3846" max="3846" width="8.08984375" style="797" customWidth="1"/>
    <col min="3847" max="3847" width="9" style="797" customWidth="1"/>
    <col min="3848" max="3848" width="11.54296875" style="797" customWidth="1"/>
    <col min="3849" max="3849" width="12.6328125" style="797" customWidth="1"/>
    <col min="3850" max="3850" width="13.6328125" style="797" customWidth="1"/>
    <col min="3851" max="4096" width="9.6328125" style="797"/>
    <col min="4097" max="4097" width="7.6328125" style="797" customWidth="1"/>
    <col min="4098" max="4098" width="32.90625" style="797" customWidth="1"/>
    <col min="4099" max="4099" width="9.1796875" style="797" customWidth="1"/>
    <col min="4100" max="4100" width="6.54296875" style="797" customWidth="1"/>
    <col min="4101" max="4101" width="7.90625" style="797" customWidth="1"/>
    <col min="4102" max="4102" width="8.08984375" style="797" customWidth="1"/>
    <col min="4103" max="4103" width="9" style="797" customWidth="1"/>
    <col min="4104" max="4104" width="11.54296875" style="797" customWidth="1"/>
    <col min="4105" max="4105" width="12.6328125" style="797" customWidth="1"/>
    <col min="4106" max="4106" width="13.6328125" style="797" customWidth="1"/>
    <col min="4107" max="4352" width="9.6328125" style="797"/>
    <col min="4353" max="4353" width="7.6328125" style="797" customWidth="1"/>
    <col min="4354" max="4354" width="32.90625" style="797" customWidth="1"/>
    <col min="4355" max="4355" width="9.1796875" style="797" customWidth="1"/>
    <col min="4356" max="4356" width="6.54296875" style="797" customWidth="1"/>
    <col min="4357" max="4357" width="7.90625" style="797" customWidth="1"/>
    <col min="4358" max="4358" width="8.08984375" style="797" customWidth="1"/>
    <col min="4359" max="4359" width="9" style="797" customWidth="1"/>
    <col min="4360" max="4360" width="11.54296875" style="797" customWidth="1"/>
    <col min="4361" max="4361" width="12.6328125" style="797" customWidth="1"/>
    <col min="4362" max="4362" width="13.6328125" style="797" customWidth="1"/>
    <col min="4363" max="4608" width="9.6328125" style="797"/>
    <col min="4609" max="4609" width="7.6328125" style="797" customWidth="1"/>
    <col min="4610" max="4610" width="32.90625" style="797" customWidth="1"/>
    <col min="4611" max="4611" width="9.1796875" style="797" customWidth="1"/>
    <col min="4612" max="4612" width="6.54296875" style="797" customWidth="1"/>
    <col min="4613" max="4613" width="7.90625" style="797" customWidth="1"/>
    <col min="4614" max="4614" width="8.08984375" style="797" customWidth="1"/>
    <col min="4615" max="4615" width="9" style="797" customWidth="1"/>
    <col min="4616" max="4616" width="11.54296875" style="797" customWidth="1"/>
    <col min="4617" max="4617" width="12.6328125" style="797" customWidth="1"/>
    <col min="4618" max="4618" width="13.6328125" style="797" customWidth="1"/>
    <col min="4619" max="4864" width="9.6328125" style="797"/>
    <col min="4865" max="4865" width="7.6328125" style="797" customWidth="1"/>
    <col min="4866" max="4866" width="32.90625" style="797" customWidth="1"/>
    <col min="4867" max="4867" width="9.1796875" style="797" customWidth="1"/>
    <col min="4868" max="4868" width="6.54296875" style="797" customWidth="1"/>
    <col min="4869" max="4869" width="7.90625" style="797" customWidth="1"/>
    <col min="4870" max="4870" width="8.08984375" style="797" customWidth="1"/>
    <col min="4871" max="4871" width="9" style="797" customWidth="1"/>
    <col min="4872" max="4872" width="11.54296875" style="797" customWidth="1"/>
    <col min="4873" max="4873" width="12.6328125" style="797" customWidth="1"/>
    <col min="4874" max="4874" width="13.6328125" style="797" customWidth="1"/>
    <col min="4875" max="5120" width="9.6328125" style="797"/>
    <col min="5121" max="5121" width="7.6328125" style="797" customWidth="1"/>
    <col min="5122" max="5122" width="32.90625" style="797" customWidth="1"/>
    <col min="5123" max="5123" width="9.1796875" style="797" customWidth="1"/>
    <col min="5124" max="5124" width="6.54296875" style="797" customWidth="1"/>
    <col min="5125" max="5125" width="7.90625" style="797" customWidth="1"/>
    <col min="5126" max="5126" width="8.08984375" style="797" customWidth="1"/>
    <col min="5127" max="5127" width="9" style="797" customWidth="1"/>
    <col min="5128" max="5128" width="11.54296875" style="797" customWidth="1"/>
    <col min="5129" max="5129" width="12.6328125" style="797" customWidth="1"/>
    <col min="5130" max="5130" width="13.6328125" style="797" customWidth="1"/>
    <col min="5131" max="5376" width="9.6328125" style="797"/>
    <col min="5377" max="5377" width="7.6328125" style="797" customWidth="1"/>
    <col min="5378" max="5378" width="32.90625" style="797" customWidth="1"/>
    <col min="5379" max="5379" width="9.1796875" style="797" customWidth="1"/>
    <col min="5380" max="5380" width="6.54296875" style="797" customWidth="1"/>
    <col min="5381" max="5381" width="7.90625" style="797" customWidth="1"/>
    <col min="5382" max="5382" width="8.08984375" style="797" customWidth="1"/>
    <col min="5383" max="5383" width="9" style="797" customWidth="1"/>
    <col min="5384" max="5384" width="11.54296875" style="797" customWidth="1"/>
    <col min="5385" max="5385" width="12.6328125" style="797" customWidth="1"/>
    <col min="5386" max="5386" width="13.6328125" style="797" customWidth="1"/>
    <col min="5387" max="5632" width="9.6328125" style="797"/>
    <col min="5633" max="5633" width="7.6328125" style="797" customWidth="1"/>
    <col min="5634" max="5634" width="32.90625" style="797" customWidth="1"/>
    <col min="5635" max="5635" width="9.1796875" style="797" customWidth="1"/>
    <col min="5636" max="5636" width="6.54296875" style="797" customWidth="1"/>
    <col min="5637" max="5637" width="7.90625" style="797" customWidth="1"/>
    <col min="5638" max="5638" width="8.08984375" style="797" customWidth="1"/>
    <col min="5639" max="5639" width="9" style="797" customWidth="1"/>
    <col min="5640" max="5640" width="11.54296875" style="797" customWidth="1"/>
    <col min="5641" max="5641" width="12.6328125" style="797" customWidth="1"/>
    <col min="5642" max="5642" width="13.6328125" style="797" customWidth="1"/>
    <col min="5643" max="5888" width="9.6328125" style="797"/>
    <col min="5889" max="5889" width="7.6328125" style="797" customWidth="1"/>
    <col min="5890" max="5890" width="32.90625" style="797" customWidth="1"/>
    <col min="5891" max="5891" width="9.1796875" style="797" customWidth="1"/>
    <col min="5892" max="5892" width="6.54296875" style="797" customWidth="1"/>
    <col min="5893" max="5893" width="7.90625" style="797" customWidth="1"/>
    <col min="5894" max="5894" width="8.08984375" style="797" customWidth="1"/>
    <col min="5895" max="5895" width="9" style="797" customWidth="1"/>
    <col min="5896" max="5896" width="11.54296875" style="797" customWidth="1"/>
    <col min="5897" max="5897" width="12.6328125" style="797" customWidth="1"/>
    <col min="5898" max="5898" width="13.6328125" style="797" customWidth="1"/>
    <col min="5899" max="6144" width="9.6328125" style="797"/>
    <col min="6145" max="6145" width="7.6328125" style="797" customWidth="1"/>
    <col min="6146" max="6146" width="32.90625" style="797" customWidth="1"/>
    <col min="6147" max="6147" width="9.1796875" style="797" customWidth="1"/>
    <col min="6148" max="6148" width="6.54296875" style="797" customWidth="1"/>
    <col min="6149" max="6149" width="7.90625" style="797" customWidth="1"/>
    <col min="6150" max="6150" width="8.08984375" style="797" customWidth="1"/>
    <col min="6151" max="6151" width="9" style="797" customWidth="1"/>
    <col min="6152" max="6152" width="11.54296875" style="797" customWidth="1"/>
    <col min="6153" max="6153" width="12.6328125" style="797" customWidth="1"/>
    <col min="6154" max="6154" width="13.6328125" style="797" customWidth="1"/>
    <col min="6155" max="6400" width="9.6328125" style="797"/>
    <col min="6401" max="6401" width="7.6328125" style="797" customWidth="1"/>
    <col min="6402" max="6402" width="32.90625" style="797" customWidth="1"/>
    <col min="6403" max="6403" width="9.1796875" style="797" customWidth="1"/>
    <col min="6404" max="6404" width="6.54296875" style="797" customWidth="1"/>
    <col min="6405" max="6405" width="7.90625" style="797" customWidth="1"/>
    <col min="6406" max="6406" width="8.08984375" style="797" customWidth="1"/>
    <col min="6407" max="6407" width="9" style="797" customWidth="1"/>
    <col min="6408" max="6408" width="11.54296875" style="797" customWidth="1"/>
    <col min="6409" max="6409" width="12.6328125" style="797" customWidth="1"/>
    <col min="6410" max="6410" width="13.6328125" style="797" customWidth="1"/>
    <col min="6411" max="6656" width="9.6328125" style="797"/>
    <col min="6657" max="6657" width="7.6328125" style="797" customWidth="1"/>
    <col min="6658" max="6658" width="32.90625" style="797" customWidth="1"/>
    <col min="6659" max="6659" width="9.1796875" style="797" customWidth="1"/>
    <col min="6660" max="6660" width="6.54296875" style="797" customWidth="1"/>
    <col min="6661" max="6661" width="7.90625" style="797" customWidth="1"/>
    <col min="6662" max="6662" width="8.08984375" style="797" customWidth="1"/>
    <col min="6663" max="6663" width="9" style="797" customWidth="1"/>
    <col min="6664" max="6664" width="11.54296875" style="797" customWidth="1"/>
    <col min="6665" max="6665" width="12.6328125" style="797" customWidth="1"/>
    <col min="6666" max="6666" width="13.6328125" style="797" customWidth="1"/>
    <col min="6667" max="6912" width="9.6328125" style="797"/>
    <col min="6913" max="6913" width="7.6328125" style="797" customWidth="1"/>
    <col min="6914" max="6914" width="32.90625" style="797" customWidth="1"/>
    <col min="6915" max="6915" width="9.1796875" style="797" customWidth="1"/>
    <col min="6916" max="6916" width="6.54296875" style="797" customWidth="1"/>
    <col min="6917" max="6917" width="7.90625" style="797" customWidth="1"/>
    <col min="6918" max="6918" width="8.08984375" style="797" customWidth="1"/>
    <col min="6919" max="6919" width="9" style="797" customWidth="1"/>
    <col min="6920" max="6920" width="11.54296875" style="797" customWidth="1"/>
    <col min="6921" max="6921" width="12.6328125" style="797" customWidth="1"/>
    <col min="6922" max="6922" width="13.6328125" style="797" customWidth="1"/>
    <col min="6923" max="7168" width="9.6328125" style="797"/>
    <col min="7169" max="7169" width="7.6328125" style="797" customWidth="1"/>
    <col min="7170" max="7170" width="32.90625" style="797" customWidth="1"/>
    <col min="7171" max="7171" width="9.1796875" style="797" customWidth="1"/>
    <col min="7172" max="7172" width="6.54296875" style="797" customWidth="1"/>
    <col min="7173" max="7173" width="7.90625" style="797" customWidth="1"/>
    <col min="7174" max="7174" width="8.08984375" style="797" customWidth="1"/>
    <col min="7175" max="7175" width="9" style="797" customWidth="1"/>
    <col min="7176" max="7176" width="11.54296875" style="797" customWidth="1"/>
    <col min="7177" max="7177" width="12.6328125" style="797" customWidth="1"/>
    <col min="7178" max="7178" width="13.6328125" style="797" customWidth="1"/>
    <col min="7179" max="7424" width="9.6328125" style="797"/>
    <col min="7425" max="7425" width="7.6328125" style="797" customWidth="1"/>
    <col min="7426" max="7426" width="32.90625" style="797" customWidth="1"/>
    <col min="7427" max="7427" width="9.1796875" style="797" customWidth="1"/>
    <col min="7428" max="7428" width="6.54296875" style="797" customWidth="1"/>
    <col min="7429" max="7429" width="7.90625" style="797" customWidth="1"/>
    <col min="7430" max="7430" width="8.08984375" style="797" customWidth="1"/>
    <col min="7431" max="7431" width="9" style="797" customWidth="1"/>
    <col min="7432" max="7432" width="11.54296875" style="797" customWidth="1"/>
    <col min="7433" max="7433" width="12.6328125" style="797" customWidth="1"/>
    <col min="7434" max="7434" width="13.6328125" style="797" customWidth="1"/>
    <col min="7435" max="7680" width="9.6328125" style="797"/>
    <col min="7681" max="7681" width="7.6328125" style="797" customWidth="1"/>
    <col min="7682" max="7682" width="32.90625" style="797" customWidth="1"/>
    <col min="7683" max="7683" width="9.1796875" style="797" customWidth="1"/>
    <col min="7684" max="7684" width="6.54296875" style="797" customWidth="1"/>
    <col min="7685" max="7685" width="7.90625" style="797" customWidth="1"/>
    <col min="7686" max="7686" width="8.08984375" style="797" customWidth="1"/>
    <col min="7687" max="7687" width="9" style="797" customWidth="1"/>
    <col min="7688" max="7688" width="11.54296875" style="797" customWidth="1"/>
    <col min="7689" max="7689" width="12.6328125" style="797" customWidth="1"/>
    <col min="7690" max="7690" width="13.6328125" style="797" customWidth="1"/>
    <col min="7691" max="7936" width="9.6328125" style="797"/>
    <col min="7937" max="7937" width="7.6328125" style="797" customWidth="1"/>
    <col min="7938" max="7938" width="32.90625" style="797" customWidth="1"/>
    <col min="7939" max="7939" width="9.1796875" style="797" customWidth="1"/>
    <col min="7940" max="7940" width="6.54296875" style="797" customWidth="1"/>
    <col min="7941" max="7941" width="7.90625" style="797" customWidth="1"/>
    <col min="7942" max="7942" width="8.08984375" style="797" customWidth="1"/>
    <col min="7943" max="7943" width="9" style="797" customWidth="1"/>
    <col min="7944" max="7944" width="11.54296875" style="797" customWidth="1"/>
    <col min="7945" max="7945" width="12.6328125" style="797" customWidth="1"/>
    <col min="7946" max="7946" width="13.6328125" style="797" customWidth="1"/>
    <col min="7947" max="8192" width="9.6328125" style="797"/>
    <col min="8193" max="8193" width="7.6328125" style="797" customWidth="1"/>
    <col min="8194" max="8194" width="32.90625" style="797" customWidth="1"/>
    <col min="8195" max="8195" width="9.1796875" style="797" customWidth="1"/>
    <col min="8196" max="8196" width="6.54296875" style="797" customWidth="1"/>
    <col min="8197" max="8197" width="7.90625" style="797" customWidth="1"/>
    <col min="8198" max="8198" width="8.08984375" style="797" customWidth="1"/>
    <col min="8199" max="8199" width="9" style="797" customWidth="1"/>
    <col min="8200" max="8200" width="11.54296875" style="797" customWidth="1"/>
    <col min="8201" max="8201" width="12.6328125" style="797" customWidth="1"/>
    <col min="8202" max="8202" width="13.6328125" style="797" customWidth="1"/>
    <col min="8203" max="8448" width="9.6328125" style="797"/>
    <col min="8449" max="8449" width="7.6328125" style="797" customWidth="1"/>
    <col min="8450" max="8450" width="32.90625" style="797" customWidth="1"/>
    <col min="8451" max="8451" width="9.1796875" style="797" customWidth="1"/>
    <col min="8452" max="8452" width="6.54296875" style="797" customWidth="1"/>
    <col min="8453" max="8453" width="7.90625" style="797" customWidth="1"/>
    <col min="8454" max="8454" width="8.08984375" style="797" customWidth="1"/>
    <col min="8455" max="8455" width="9" style="797" customWidth="1"/>
    <col min="8456" max="8456" width="11.54296875" style="797" customWidth="1"/>
    <col min="8457" max="8457" width="12.6328125" style="797" customWidth="1"/>
    <col min="8458" max="8458" width="13.6328125" style="797" customWidth="1"/>
    <col min="8459" max="8704" width="9.6328125" style="797"/>
    <col min="8705" max="8705" width="7.6328125" style="797" customWidth="1"/>
    <col min="8706" max="8706" width="32.90625" style="797" customWidth="1"/>
    <col min="8707" max="8707" width="9.1796875" style="797" customWidth="1"/>
    <col min="8708" max="8708" width="6.54296875" style="797" customWidth="1"/>
    <col min="8709" max="8709" width="7.90625" style="797" customWidth="1"/>
    <col min="8710" max="8710" width="8.08984375" style="797" customWidth="1"/>
    <col min="8711" max="8711" width="9" style="797" customWidth="1"/>
    <col min="8712" max="8712" width="11.54296875" style="797" customWidth="1"/>
    <col min="8713" max="8713" width="12.6328125" style="797" customWidth="1"/>
    <col min="8714" max="8714" width="13.6328125" style="797" customWidth="1"/>
    <col min="8715" max="8960" width="9.6328125" style="797"/>
    <col min="8961" max="8961" width="7.6328125" style="797" customWidth="1"/>
    <col min="8962" max="8962" width="32.90625" style="797" customWidth="1"/>
    <col min="8963" max="8963" width="9.1796875" style="797" customWidth="1"/>
    <col min="8964" max="8964" width="6.54296875" style="797" customWidth="1"/>
    <col min="8965" max="8965" width="7.90625" style="797" customWidth="1"/>
    <col min="8966" max="8966" width="8.08984375" style="797" customWidth="1"/>
    <col min="8967" max="8967" width="9" style="797" customWidth="1"/>
    <col min="8968" max="8968" width="11.54296875" style="797" customWidth="1"/>
    <col min="8969" max="8969" width="12.6328125" style="797" customWidth="1"/>
    <col min="8970" max="8970" width="13.6328125" style="797" customWidth="1"/>
    <col min="8971" max="9216" width="9.6328125" style="797"/>
    <col min="9217" max="9217" width="7.6328125" style="797" customWidth="1"/>
    <col min="9218" max="9218" width="32.90625" style="797" customWidth="1"/>
    <col min="9219" max="9219" width="9.1796875" style="797" customWidth="1"/>
    <col min="9220" max="9220" width="6.54296875" style="797" customWidth="1"/>
    <col min="9221" max="9221" width="7.90625" style="797" customWidth="1"/>
    <col min="9222" max="9222" width="8.08984375" style="797" customWidth="1"/>
    <col min="9223" max="9223" width="9" style="797" customWidth="1"/>
    <col min="9224" max="9224" width="11.54296875" style="797" customWidth="1"/>
    <col min="9225" max="9225" width="12.6328125" style="797" customWidth="1"/>
    <col min="9226" max="9226" width="13.6328125" style="797" customWidth="1"/>
    <col min="9227" max="9472" width="9.6328125" style="797"/>
    <col min="9473" max="9473" width="7.6328125" style="797" customWidth="1"/>
    <col min="9474" max="9474" width="32.90625" style="797" customWidth="1"/>
    <col min="9475" max="9475" width="9.1796875" style="797" customWidth="1"/>
    <col min="9476" max="9476" width="6.54296875" style="797" customWidth="1"/>
    <col min="9477" max="9477" width="7.90625" style="797" customWidth="1"/>
    <col min="9478" max="9478" width="8.08984375" style="797" customWidth="1"/>
    <col min="9479" max="9479" width="9" style="797" customWidth="1"/>
    <col min="9480" max="9480" width="11.54296875" style="797" customWidth="1"/>
    <col min="9481" max="9481" width="12.6328125" style="797" customWidth="1"/>
    <col min="9482" max="9482" width="13.6328125" style="797" customWidth="1"/>
    <col min="9483" max="9728" width="9.6328125" style="797"/>
    <col min="9729" max="9729" width="7.6328125" style="797" customWidth="1"/>
    <col min="9730" max="9730" width="32.90625" style="797" customWidth="1"/>
    <col min="9731" max="9731" width="9.1796875" style="797" customWidth="1"/>
    <col min="9732" max="9732" width="6.54296875" style="797" customWidth="1"/>
    <col min="9733" max="9733" width="7.90625" style="797" customWidth="1"/>
    <col min="9734" max="9734" width="8.08984375" style="797" customWidth="1"/>
    <col min="9735" max="9735" width="9" style="797" customWidth="1"/>
    <col min="9736" max="9736" width="11.54296875" style="797" customWidth="1"/>
    <col min="9737" max="9737" width="12.6328125" style="797" customWidth="1"/>
    <col min="9738" max="9738" width="13.6328125" style="797" customWidth="1"/>
    <col min="9739" max="9984" width="9.6328125" style="797"/>
    <col min="9985" max="9985" width="7.6328125" style="797" customWidth="1"/>
    <col min="9986" max="9986" width="32.90625" style="797" customWidth="1"/>
    <col min="9987" max="9987" width="9.1796875" style="797" customWidth="1"/>
    <col min="9988" max="9988" width="6.54296875" style="797" customWidth="1"/>
    <col min="9989" max="9989" width="7.90625" style="797" customWidth="1"/>
    <col min="9990" max="9990" width="8.08984375" style="797" customWidth="1"/>
    <col min="9991" max="9991" width="9" style="797" customWidth="1"/>
    <col min="9992" max="9992" width="11.54296875" style="797" customWidth="1"/>
    <col min="9993" max="9993" width="12.6328125" style="797" customWidth="1"/>
    <col min="9994" max="9994" width="13.6328125" style="797" customWidth="1"/>
    <col min="9995" max="10240" width="9.6328125" style="797"/>
    <col min="10241" max="10241" width="7.6328125" style="797" customWidth="1"/>
    <col min="10242" max="10242" width="32.90625" style="797" customWidth="1"/>
    <col min="10243" max="10243" width="9.1796875" style="797" customWidth="1"/>
    <col min="10244" max="10244" width="6.54296875" style="797" customWidth="1"/>
    <col min="10245" max="10245" width="7.90625" style="797" customWidth="1"/>
    <col min="10246" max="10246" width="8.08984375" style="797" customWidth="1"/>
    <col min="10247" max="10247" width="9" style="797" customWidth="1"/>
    <col min="10248" max="10248" width="11.54296875" style="797" customWidth="1"/>
    <col min="10249" max="10249" width="12.6328125" style="797" customWidth="1"/>
    <col min="10250" max="10250" width="13.6328125" style="797" customWidth="1"/>
    <col min="10251" max="10496" width="9.6328125" style="797"/>
    <col min="10497" max="10497" width="7.6328125" style="797" customWidth="1"/>
    <col min="10498" max="10498" width="32.90625" style="797" customWidth="1"/>
    <col min="10499" max="10499" width="9.1796875" style="797" customWidth="1"/>
    <col min="10500" max="10500" width="6.54296875" style="797" customWidth="1"/>
    <col min="10501" max="10501" width="7.90625" style="797" customWidth="1"/>
    <col min="10502" max="10502" width="8.08984375" style="797" customWidth="1"/>
    <col min="10503" max="10503" width="9" style="797" customWidth="1"/>
    <col min="10504" max="10504" width="11.54296875" style="797" customWidth="1"/>
    <col min="10505" max="10505" width="12.6328125" style="797" customWidth="1"/>
    <col min="10506" max="10506" width="13.6328125" style="797" customWidth="1"/>
    <col min="10507" max="10752" width="9.6328125" style="797"/>
    <col min="10753" max="10753" width="7.6328125" style="797" customWidth="1"/>
    <col min="10754" max="10754" width="32.90625" style="797" customWidth="1"/>
    <col min="10755" max="10755" width="9.1796875" style="797" customWidth="1"/>
    <col min="10756" max="10756" width="6.54296875" style="797" customWidth="1"/>
    <col min="10757" max="10757" width="7.90625" style="797" customWidth="1"/>
    <col min="10758" max="10758" width="8.08984375" style="797" customWidth="1"/>
    <col min="10759" max="10759" width="9" style="797" customWidth="1"/>
    <col min="10760" max="10760" width="11.54296875" style="797" customWidth="1"/>
    <col min="10761" max="10761" width="12.6328125" style="797" customWidth="1"/>
    <col min="10762" max="10762" width="13.6328125" style="797" customWidth="1"/>
    <col min="10763" max="11008" width="9.6328125" style="797"/>
    <col min="11009" max="11009" width="7.6328125" style="797" customWidth="1"/>
    <col min="11010" max="11010" width="32.90625" style="797" customWidth="1"/>
    <col min="11011" max="11011" width="9.1796875" style="797" customWidth="1"/>
    <col min="11012" max="11012" width="6.54296875" style="797" customWidth="1"/>
    <col min="11013" max="11013" width="7.90625" style="797" customWidth="1"/>
    <col min="11014" max="11014" width="8.08984375" style="797" customWidth="1"/>
    <col min="11015" max="11015" width="9" style="797" customWidth="1"/>
    <col min="11016" max="11016" width="11.54296875" style="797" customWidth="1"/>
    <col min="11017" max="11017" width="12.6328125" style="797" customWidth="1"/>
    <col min="11018" max="11018" width="13.6328125" style="797" customWidth="1"/>
    <col min="11019" max="11264" width="9.6328125" style="797"/>
    <col min="11265" max="11265" width="7.6328125" style="797" customWidth="1"/>
    <col min="11266" max="11266" width="32.90625" style="797" customWidth="1"/>
    <col min="11267" max="11267" width="9.1796875" style="797" customWidth="1"/>
    <col min="11268" max="11268" width="6.54296875" style="797" customWidth="1"/>
    <col min="11269" max="11269" width="7.90625" style="797" customWidth="1"/>
    <col min="11270" max="11270" width="8.08984375" style="797" customWidth="1"/>
    <col min="11271" max="11271" width="9" style="797" customWidth="1"/>
    <col min="11272" max="11272" width="11.54296875" style="797" customWidth="1"/>
    <col min="11273" max="11273" width="12.6328125" style="797" customWidth="1"/>
    <col min="11274" max="11274" width="13.6328125" style="797" customWidth="1"/>
    <col min="11275" max="11520" width="9.6328125" style="797"/>
    <col min="11521" max="11521" width="7.6328125" style="797" customWidth="1"/>
    <col min="11522" max="11522" width="32.90625" style="797" customWidth="1"/>
    <col min="11523" max="11523" width="9.1796875" style="797" customWidth="1"/>
    <col min="11524" max="11524" width="6.54296875" style="797" customWidth="1"/>
    <col min="11525" max="11525" width="7.90625" style="797" customWidth="1"/>
    <col min="11526" max="11526" width="8.08984375" style="797" customWidth="1"/>
    <col min="11527" max="11527" width="9" style="797" customWidth="1"/>
    <col min="11528" max="11528" width="11.54296875" style="797" customWidth="1"/>
    <col min="11529" max="11529" width="12.6328125" style="797" customWidth="1"/>
    <col min="11530" max="11530" width="13.6328125" style="797" customWidth="1"/>
    <col min="11531" max="11776" width="9.6328125" style="797"/>
    <col min="11777" max="11777" width="7.6328125" style="797" customWidth="1"/>
    <col min="11778" max="11778" width="32.90625" style="797" customWidth="1"/>
    <col min="11779" max="11779" width="9.1796875" style="797" customWidth="1"/>
    <col min="11780" max="11780" width="6.54296875" style="797" customWidth="1"/>
    <col min="11781" max="11781" width="7.90625" style="797" customWidth="1"/>
    <col min="11782" max="11782" width="8.08984375" style="797" customWidth="1"/>
    <col min="11783" max="11783" width="9" style="797" customWidth="1"/>
    <col min="11784" max="11784" width="11.54296875" style="797" customWidth="1"/>
    <col min="11785" max="11785" width="12.6328125" style="797" customWidth="1"/>
    <col min="11786" max="11786" width="13.6328125" style="797" customWidth="1"/>
    <col min="11787" max="12032" width="9.6328125" style="797"/>
    <col min="12033" max="12033" width="7.6328125" style="797" customWidth="1"/>
    <col min="12034" max="12034" width="32.90625" style="797" customWidth="1"/>
    <col min="12035" max="12035" width="9.1796875" style="797" customWidth="1"/>
    <col min="12036" max="12036" width="6.54296875" style="797" customWidth="1"/>
    <col min="12037" max="12037" width="7.90625" style="797" customWidth="1"/>
    <col min="12038" max="12038" width="8.08984375" style="797" customWidth="1"/>
    <col min="12039" max="12039" width="9" style="797" customWidth="1"/>
    <col min="12040" max="12040" width="11.54296875" style="797" customWidth="1"/>
    <col min="12041" max="12041" width="12.6328125" style="797" customWidth="1"/>
    <col min="12042" max="12042" width="13.6328125" style="797" customWidth="1"/>
    <col min="12043" max="12288" width="9.6328125" style="797"/>
    <col min="12289" max="12289" width="7.6328125" style="797" customWidth="1"/>
    <col min="12290" max="12290" width="32.90625" style="797" customWidth="1"/>
    <col min="12291" max="12291" width="9.1796875" style="797" customWidth="1"/>
    <col min="12292" max="12292" width="6.54296875" style="797" customWidth="1"/>
    <col min="12293" max="12293" width="7.90625" style="797" customWidth="1"/>
    <col min="12294" max="12294" width="8.08984375" style="797" customWidth="1"/>
    <col min="12295" max="12295" width="9" style="797" customWidth="1"/>
    <col min="12296" max="12296" width="11.54296875" style="797" customWidth="1"/>
    <col min="12297" max="12297" width="12.6328125" style="797" customWidth="1"/>
    <col min="12298" max="12298" width="13.6328125" style="797" customWidth="1"/>
    <col min="12299" max="12544" width="9.6328125" style="797"/>
    <col min="12545" max="12545" width="7.6328125" style="797" customWidth="1"/>
    <col min="12546" max="12546" width="32.90625" style="797" customWidth="1"/>
    <col min="12547" max="12547" width="9.1796875" style="797" customWidth="1"/>
    <col min="12548" max="12548" width="6.54296875" style="797" customWidth="1"/>
    <col min="12549" max="12549" width="7.90625" style="797" customWidth="1"/>
    <col min="12550" max="12550" width="8.08984375" style="797" customWidth="1"/>
    <col min="12551" max="12551" width="9" style="797" customWidth="1"/>
    <col min="12552" max="12552" width="11.54296875" style="797" customWidth="1"/>
    <col min="12553" max="12553" width="12.6328125" style="797" customWidth="1"/>
    <col min="12554" max="12554" width="13.6328125" style="797" customWidth="1"/>
    <col min="12555" max="12800" width="9.6328125" style="797"/>
    <col min="12801" max="12801" width="7.6328125" style="797" customWidth="1"/>
    <col min="12802" max="12802" width="32.90625" style="797" customWidth="1"/>
    <col min="12803" max="12803" width="9.1796875" style="797" customWidth="1"/>
    <col min="12804" max="12804" width="6.54296875" style="797" customWidth="1"/>
    <col min="12805" max="12805" width="7.90625" style="797" customWidth="1"/>
    <col min="12806" max="12806" width="8.08984375" style="797" customWidth="1"/>
    <col min="12807" max="12807" width="9" style="797" customWidth="1"/>
    <col min="12808" max="12808" width="11.54296875" style="797" customWidth="1"/>
    <col min="12809" max="12809" width="12.6328125" style="797" customWidth="1"/>
    <col min="12810" max="12810" width="13.6328125" style="797" customWidth="1"/>
    <col min="12811" max="13056" width="9.6328125" style="797"/>
    <col min="13057" max="13057" width="7.6328125" style="797" customWidth="1"/>
    <col min="13058" max="13058" width="32.90625" style="797" customWidth="1"/>
    <col min="13059" max="13059" width="9.1796875" style="797" customWidth="1"/>
    <col min="13060" max="13060" width="6.54296875" style="797" customWidth="1"/>
    <col min="13061" max="13061" width="7.90625" style="797" customWidth="1"/>
    <col min="13062" max="13062" width="8.08984375" style="797" customWidth="1"/>
    <col min="13063" max="13063" width="9" style="797" customWidth="1"/>
    <col min="13064" max="13064" width="11.54296875" style="797" customWidth="1"/>
    <col min="13065" max="13065" width="12.6328125" style="797" customWidth="1"/>
    <col min="13066" max="13066" width="13.6328125" style="797" customWidth="1"/>
    <col min="13067" max="13312" width="9.6328125" style="797"/>
    <col min="13313" max="13313" width="7.6328125" style="797" customWidth="1"/>
    <col min="13314" max="13314" width="32.90625" style="797" customWidth="1"/>
    <col min="13315" max="13315" width="9.1796875" style="797" customWidth="1"/>
    <col min="13316" max="13316" width="6.54296875" style="797" customWidth="1"/>
    <col min="13317" max="13317" width="7.90625" style="797" customWidth="1"/>
    <col min="13318" max="13318" width="8.08984375" style="797" customWidth="1"/>
    <col min="13319" max="13319" width="9" style="797" customWidth="1"/>
    <col min="13320" max="13320" width="11.54296875" style="797" customWidth="1"/>
    <col min="13321" max="13321" width="12.6328125" style="797" customWidth="1"/>
    <col min="13322" max="13322" width="13.6328125" style="797" customWidth="1"/>
    <col min="13323" max="13568" width="9.6328125" style="797"/>
    <col min="13569" max="13569" width="7.6328125" style="797" customWidth="1"/>
    <col min="13570" max="13570" width="32.90625" style="797" customWidth="1"/>
    <col min="13571" max="13571" width="9.1796875" style="797" customWidth="1"/>
    <col min="13572" max="13572" width="6.54296875" style="797" customWidth="1"/>
    <col min="13573" max="13573" width="7.90625" style="797" customWidth="1"/>
    <col min="13574" max="13574" width="8.08984375" style="797" customWidth="1"/>
    <col min="13575" max="13575" width="9" style="797" customWidth="1"/>
    <col min="13576" max="13576" width="11.54296875" style="797" customWidth="1"/>
    <col min="13577" max="13577" width="12.6328125" style="797" customWidth="1"/>
    <col min="13578" max="13578" width="13.6328125" style="797" customWidth="1"/>
    <col min="13579" max="13824" width="9.6328125" style="797"/>
    <col min="13825" max="13825" width="7.6328125" style="797" customWidth="1"/>
    <col min="13826" max="13826" width="32.90625" style="797" customWidth="1"/>
    <col min="13827" max="13827" width="9.1796875" style="797" customWidth="1"/>
    <col min="13828" max="13828" width="6.54296875" style="797" customWidth="1"/>
    <col min="13829" max="13829" width="7.90625" style="797" customWidth="1"/>
    <col min="13830" max="13830" width="8.08984375" style="797" customWidth="1"/>
    <col min="13831" max="13831" width="9" style="797" customWidth="1"/>
    <col min="13832" max="13832" width="11.54296875" style="797" customWidth="1"/>
    <col min="13833" max="13833" width="12.6328125" style="797" customWidth="1"/>
    <col min="13834" max="13834" width="13.6328125" style="797" customWidth="1"/>
    <col min="13835" max="14080" width="9.6328125" style="797"/>
    <col min="14081" max="14081" width="7.6328125" style="797" customWidth="1"/>
    <col min="14082" max="14082" width="32.90625" style="797" customWidth="1"/>
    <col min="14083" max="14083" width="9.1796875" style="797" customWidth="1"/>
    <col min="14084" max="14084" width="6.54296875" style="797" customWidth="1"/>
    <col min="14085" max="14085" width="7.90625" style="797" customWidth="1"/>
    <col min="14086" max="14086" width="8.08984375" style="797" customWidth="1"/>
    <col min="14087" max="14087" width="9" style="797" customWidth="1"/>
    <col min="14088" max="14088" width="11.54296875" style="797" customWidth="1"/>
    <col min="14089" max="14089" width="12.6328125" style="797" customWidth="1"/>
    <col min="14090" max="14090" width="13.6328125" style="797" customWidth="1"/>
    <col min="14091" max="14336" width="9.6328125" style="797"/>
    <col min="14337" max="14337" width="7.6328125" style="797" customWidth="1"/>
    <col min="14338" max="14338" width="32.90625" style="797" customWidth="1"/>
    <col min="14339" max="14339" width="9.1796875" style="797" customWidth="1"/>
    <col min="14340" max="14340" width="6.54296875" style="797" customWidth="1"/>
    <col min="14341" max="14341" width="7.90625" style="797" customWidth="1"/>
    <col min="14342" max="14342" width="8.08984375" style="797" customWidth="1"/>
    <col min="14343" max="14343" width="9" style="797" customWidth="1"/>
    <col min="14344" max="14344" width="11.54296875" style="797" customWidth="1"/>
    <col min="14345" max="14345" width="12.6328125" style="797" customWidth="1"/>
    <col min="14346" max="14346" width="13.6328125" style="797" customWidth="1"/>
    <col min="14347" max="14592" width="9.6328125" style="797"/>
    <col min="14593" max="14593" width="7.6328125" style="797" customWidth="1"/>
    <col min="14594" max="14594" width="32.90625" style="797" customWidth="1"/>
    <col min="14595" max="14595" width="9.1796875" style="797" customWidth="1"/>
    <col min="14596" max="14596" width="6.54296875" style="797" customWidth="1"/>
    <col min="14597" max="14597" width="7.90625" style="797" customWidth="1"/>
    <col min="14598" max="14598" width="8.08984375" style="797" customWidth="1"/>
    <col min="14599" max="14599" width="9" style="797" customWidth="1"/>
    <col min="14600" max="14600" width="11.54296875" style="797" customWidth="1"/>
    <col min="14601" max="14601" width="12.6328125" style="797" customWidth="1"/>
    <col min="14602" max="14602" width="13.6328125" style="797" customWidth="1"/>
    <col min="14603" max="14848" width="9.6328125" style="797"/>
    <col min="14849" max="14849" width="7.6328125" style="797" customWidth="1"/>
    <col min="14850" max="14850" width="32.90625" style="797" customWidth="1"/>
    <col min="14851" max="14851" width="9.1796875" style="797" customWidth="1"/>
    <col min="14852" max="14852" width="6.54296875" style="797" customWidth="1"/>
    <col min="14853" max="14853" width="7.90625" style="797" customWidth="1"/>
    <col min="14854" max="14854" width="8.08984375" style="797" customWidth="1"/>
    <col min="14855" max="14855" width="9" style="797" customWidth="1"/>
    <col min="14856" max="14856" width="11.54296875" style="797" customWidth="1"/>
    <col min="14857" max="14857" width="12.6328125" style="797" customWidth="1"/>
    <col min="14858" max="14858" width="13.6328125" style="797" customWidth="1"/>
    <col min="14859" max="15104" width="9.6328125" style="797"/>
    <col min="15105" max="15105" width="7.6328125" style="797" customWidth="1"/>
    <col min="15106" max="15106" width="32.90625" style="797" customWidth="1"/>
    <col min="15107" max="15107" width="9.1796875" style="797" customWidth="1"/>
    <col min="15108" max="15108" width="6.54296875" style="797" customWidth="1"/>
    <col min="15109" max="15109" width="7.90625" style="797" customWidth="1"/>
    <col min="15110" max="15110" width="8.08984375" style="797" customWidth="1"/>
    <col min="15111" max="15111" width="9" style="797" customWidth="1"/>
    <col min="15112" max="15112" width="11.54296875" style="797" customWidth="1"/>
    <col min="15113" max="15113" width="12.6328125" style="797" customWidth="1"/>
    <col min="15114" max="15114" width="13.6328125" style="797" customWidth="1"/>
    <col min="15115" max="15360" width="9.6328125" style="797"/>
    <col min="15361" max="15361" width="7.6328125" style="797" customWidth="1"/>
    <col min="15362" max="15362" width="32.90625" style="797" customWidth="1"/>
    <col min="15363" max="15363" width="9.1796875" style="797" customWidth="1"/>
    <col min="15364" max="15364" width="6.54296875" style="797" customWidth="1"/>
    <col min="15365" max="15365" width="7.90625" style="797" customWidth="1"/>
    <col min="15366" max="15366" width="8.08984375" style="797" customWidth="1"/>
    <col min="15367" max="15367" width="9" style="797" customWidth="1"/>
    <col min="15368" max="15368" width="11.54296875" style="797" customWidth="1"/>
    <col min="15369" max="15369" width="12.6328125" style="797" customWidth="1"/>
    <col min="15370" max="15370" width="13.6328125" style="797" customWidth="1"/>
    <col min="15371" max="15616" width="9.6328125" style="797"/>
    <col min="15617" max="15617" width="7.6328125" style="797" customWidth="1"/>
    <col min="15618" max="15618" width="32.90625" style="797" customWidth="1"/>
    <col min="15619" max="15619" width="9.1796875" style="797" customWidth="1"/>
    <col min="15620" max="15620" width="6.54296875" style="797" customWidth="1"/>
    <col min="15621" max="15621" width="7.90625" style="797" customWidth="1"/>
    <col min="15622" max="15622" width="8.08984375" style="797" customWidth="1"/>
    <col min="15623" max="15623" width="9" style="797" customWidth="1"/>
    <col min="15624" max="15624" width="11.54296875" style="797" customWidth="1"/>
    <col min="15625" max="15625" width="12.6328125" style="797" customWidth="1"/>
    <col min="15626" max="15626" width="13.6328125" style="797" customWidth="1"/>
    <col min="15627" max="15872" width="9.6328125" style="797"/>
    <col min="15873" max="15873" width="7.6328125" style="797" customWidth="1"/>
    <col min="15874" max="15874" width="32.90625" style="797" customWidth="1"/>
    <col min="15875" max="15875" width="9.1796875" style="797" customWidth="1"/>
    <col min="15876" max="15876" width="6.54296875" style="797" customWidth="1"/>
    <col min="15877" max="15877" width="7.90625" style="797" customWidth="1"/>
    <col min="15878" max="15878" width="8.08984375" style="797" customWidth="1"/>
    <col min="15879" max="15879" width="9" style="797" customWidth="1"/>
    <col min="15880" max="15880" width="11.54296875" style="797" customWidth="1"/>
    <col min="15881" max="15881" width="12.6328125" style="797" customWidth="1"/>
    <col min="15882" max="15882" width="13.6328125" style="797" customWidth="1"/>
    <col min="15883" max="16128" width="9.6328125" style="797"/>
    <col min="16129" max="16129" width="7.6328125" style="797" customWidth="1"/>
    <col min="16130" max="16130" width="32.90625" style="797" customWidth="1"/>
    <col min="16131" max="16131" width="9.1796875" style="797" customWidth="1"/>
    <col min="16132" max="16132" width="6.54296875" style="797" customWidth="1"/>
    <col min="16133" max="16133" width="7.90625" style="797" customWidth="1"/>
    <col min="16134" max="16134" width="8.08984375" style="797" customWidth="1"/>
    <col min="16135" max="16135" width="9" style="797" customWidth="1"/>
    <col min="16136" max="16136" width="11.54296875" style="797" customWidth="1"/>
    <col min="16137" max="16137" width="12.6328125" style="797" customWidth="1"/>
    <col min="16138" max="16138" width="13.6328125" style="797" customWidth="1"/>
    <col min="16139" max="16384" width="9.6328125" style="797"/>
  </cols>
  <sheetData>
    <row r="1" spans="1:10">
      <c r="A1" s="932" t="s">
        <v>530</v>
      </c>
      <c r="B1" s="932"/>
      <c r="C1" s="932"/>
      <c r="D1" s="932"/>
      <c r="E1" s="932"/>
      <c r="F1" s="932"/>
      <c r="G1" s="932"/>
      <c r="H1" s="932"/>
    </row>
    <row r="2" spans="1:10">
      <c r="A2" s="952" t="s">
        <v>256</v>
      </c>
      <c r="B2" s="952"/>
      <c r="C2" s="952"/>
      <c r="D2" s="952"/>
      <c r="E2" s="952"/>
      <c r="F2" s="952"/>
      <c r="G2" s="952"/>
      <c r="H2" s="952"/>
    </row>
    <row r="3" spans="1:10">
      <c r="A3" s="953" t="str">
        <f>+'Attachment H-26'!D5</f>
        <v>Transource West Virginia, LLC</v>
      </c>
      <c r="B3" s="953"/>
      <c r="C3" s="953"/>
      <c r="D3" s="953"/>
      <c r="E3" s="953"/>
      <c r="F3" s="953"/>
      <c r="G3" s="953"/>
      <c r="H3" s="953"/>
    </row>
    <row r="4" spans="1:10">
      <c r="H4" s="798"/>
    </row>
    <row r="5" spans="1:10">
      <c r="H5" s="798"/>
    </row>
    <row r="7" spans="1:10">
      <c r="A7" s="951"/>
      <c r="B7" s="951"/>
      <c r="C7" s="951"/>
      <c r="D7" s="951"/>
      <c r="E7" s="951"/>
      <c r="F7" s="951"/>
      <c r="G7" s="951"/>
      <c r="H7" s="951"/>
    </row>
    <row r="8" spans="1:10">
      <c r="A8" s="951" t="s">
        <v>446</v>
      </c>
      <c r="B8" s="951"/>
      <c r="C8" s="951"/>
      <c r="D8" s="951"/>
      <c r="E8" s="951"/>
      <c r="F8" s="951"/>
      <c r="G8" s="951"/>
      <c r="H8" s="951"/>
    </row>
    <row r="9" spans="1:10">
      <c r="A9" s="951" t="s">
        <v>447</v>
      </c>
      <c r="B9" s="951"/>
      <c r="C9" s="951"/>
      <c r="D9" s="951"/>
      <c r="E9" s="951"/>
      <c r="F9" s="951"/>
      <c r="G9" s="951"/>
      <c r="H9" s="951"/>
    </row>
    <row r="10" spans="1:10">
      <c r="A10" s="951" t="s">
        <v>726</v>
      </c>
      <c r="B10" s="951"/>
      <c r="C10" s="951"/>
      <c r="D10" s="951"/>
      <c r="E10" s="951"/>
      <c r="F10" s="951"/>
      <c r="G10" s="951"/>
      <c r="H10" s="951"/>
    </row>
    <row r="11" spans="1:10">
      <c r="A11" s="799"/>
    </row>
    <row r="12" spans="1:10" ht="73.5" customHeight="1">
      <c r="C12" s="800" t="s">
        <v>366</v>
      </c>
      <c r="D12" s="800" t="s">
        <v>367</v>
      </c>
      <c r="E12" s="800" t="s">
        <v>368</v>
      </c>
      <c r="F12" s="800" t="s">
        <v>369</v>
      </c>
      <c r="G12" s="800" t="s">
        <v>370</v>
      </c>
      <c r="H12" s="800" t="s">
        <v>728</v>
      </c>
    </row>
    <row r="13" spans="1:10">
      <c r="A13" s="801" t="s">
        <v>371</v>
      </c>
    </row>
    <row r="14" spans="1:10">
      <c r="A14" s="801"/>
    </row>
    <row r="15" spans="1:10">
      <c r="A15" s="802" t="s">
        <v>448</v>
      </c>
      <c r="B15" s="797" t="s">
        <v>449</v>
      </c>
      <c r="C15" s="803">
        <v>15</v>
      </c>
      <c r="D15" s="804" t="s">
        <v>390</v>
      </c>
      <c r="E15" s="805">
        <v>0.05</v>
      </c>
      <c r="F15" s="805">
        <v>0.05</v>
      </c>
      <c r="G15" s="805">
        <f>E15-F15</f>
        <v>0</v>
      </c>
      <c r="H15" s="806">
        <f>(1-G15)/C15</f>
        <v>6.6666666666666666E-2</v>
      </c>
    </row>
    <row r="16" spans="1:10">
      <c r="A16" s="797" t="s">
        <v>373</v>
      </c>
      <c r="B16" s="797" t="s">
        <v>374</v>
      </c>
      <c r="C16" s="803">
        <v>62</v>
      </c>
      <c r="D16" s="804" t="s">
        <v>372</v>
      </c>
      <c r="E16" s="805">
        <v>0.05</v>
      </c>
      <c r="F16" s="805">
        <v>0.15</v>
      </c>
      <c r="G16" s="805">
        <f t="shared" ref="G16:G22" si="0">E16-F16</f>
        <v>-9.9999999999999992E-2</v>
      </c>
      <c r="H16" s="806">
        <f t="shared" ref="H16:H22" si="1">(1-G16)/C16</f>
        <v>1.7741935483870968E-2</v>
      </c>
      <c r="I16" s="807"/>
      <c r="J16" s="808"/>
    </row>
    <row r="17" spans="1:10">
      <c r="A17" s="797" t="s">
        <v>375</v>
      </c>
      <c r="B17" s="797" t="s">
        <v>376</v>
      </c>
      <c r="C17" s="803">
        <v>45</v>
      </c>
      <c r="D17" s="809" t="s">
        <v>450</v>
      </c>
      <c r="E17" s="805">
        <v>0.28000000000000003</v>
      </c>
      <c r="F17" s="805">
        <v>0.13</v>
      </c>
      <c r="G17" s="805">
        <f t="shared" si="0"/>
        <v>0.15000000000000002</v>
      </c>
      <c r="H17" s="806">
        <f t="shared" si="1"/>
        <v>1.8888888888888889E-2</v>
      </c>
      <c r="I17" s="807"/>
      <c r="J17" s="808"/>
    </row>
    <row r="18" spans="1:10">
      <c r="A18" s="797" t="s">
        <v>378</v>
      </c>
      <c r="B18" s="797" t="s">
        <v>379</v>
      </c>
      <c r="C18" s="803">
        <v>68</v>
      </c>
      <c r="D18" s="804" t="s">
        <v>384</v>
      </c>
      <c r="E18" s="805">
        <v>0.25</v>
      </c>
      <c r="F18" s="805">
        <v>0.35</v>
      </c>
      <c r="G18" s="805">
        <f t="shared" si="0"/>
        <v>-9.9999999999999978E-2</v>
      </c>
      <c r="H18" s="806">
        <f t="shared" si="1"/>
        <v>1.6176470588235296E-2</v>
      </c>
      <c r="I18" s="807"/>
      <c r="J18" s="808"/>
    </row>
    <row r="19" spans="1:10">
      <c r="A19" s="797" t="s">
        <v>380</v>
      </c>
      <c r="B19" s="797" t="s">
        <v>381</v>
      </c>
      <c r="C19" s="803">
        <v>42</v>
      </c>
      <c r="D19" s="809" t="s">
        <v>451</v>
      </c>
      <c r="E19" s="805">
        <v>0.05</v>
      </c>
      <c r="F19" s="805">
        <v>0.2</v>
      </c>
      <c r="G19" s="805">
        <f t="shared" si="0"/>
        <v>-0.15000000000000002</v>
      </c>
      <c r="H19" s="806">
        <f t="shared" si="1"/>
        <v>2.7380952380952377E-2</v>
      </c>
      <c r="I19" s="807"/>
      <c r="J19" s="808"/>
    </row>
    <row r="20" spans="1:10">
      <c r="A20" s="797" t="s">
        <v>382</v>
      </c>
      <c r="B20" s="797" t="s">
        <v>383</v>
      </c>
      <c r="C20" s="803">
        <v>64</v>
      </c>
      <c r="D20" s="809" t="s">
        <v>384</v>
      </c>
      <c r="E20" s="805">
        <v>0.3</v>
      </c>
      <c r="F20" s="805">
        <v>0.18</v>
      </c>
      <c r="G20" s="805">
        <f t="shared" si="0"/>
        <v>0.12</v>
      </c>
      <c r="H20" s="806">
        <f t="shared" si="1"/>
        <v>1.375E-2</v>
      </c>
      <c r="I20" s="807"/>
      <c r="J20" s="808"/>
    </row>
    <row r="21" spans="1:10">
      <c r="A21" s="810" t="s">
        <v>452</v>
      </c>
      <c r="B21" s="797" t="s">
        <v>453</v>
      </c>
      <c r="C21" s="803">
        <v>50</v>
      </c>
      <c r="D21" s="809" t="s">
        <v>377</v>
      </c>
      <c r="E21" s="805">
        <v>0</v>
      </c>
      <c r="F21" s="805">
        <v>0</v>
      </c>
      <c r="G21" s="805">
        <f t="shared" si="0"/>
        <v>0</v>
      </c>
      <c r="H21" s="806">
        <f t="shared" si="1"/>
        <v>0.02</v>
      </c>
      <c r="I21" s="807"/>
      <c r="J21" s="808"/>
    </row>
    <row r="22" spans="1:10">
      <c r="A22" s="811">
        <v>358</v>
      </c>
      <c r="B22" s="797" t="s">
        <v>385</v>
      </c>
      <c r="C22" s="803">
        <v>20</v>
      </c>
      <c r="D22" s="809" t="s">
        <v>454</v>
      </c>
      <c r="E22" s="805">
        <v>0</v>
      </c>
      <c r="F22" s="805">
        <v>0</v>
      </c>
      <c r="G22" s="805">
        <f t="shared" si="0"/>
        <v>0</v>
      </c>
      <c r="H22" s="806">
        <f t="shared" si="1"/>
        <v>0.05</v>
      </c>
      <c r="I22" s="807"/>
      <c r="J22" s="808"/>
    </row>
    <row r="23" spans="1:10">
      <c r="C23" s="803"/>
      <c r="D23" s="806"/>
      <c r="E23" s="805"/>
      <c r="F23" s="805"/>
      <c r="G23" s="805"/>
      <c r="H23" s="809"/>
      <c r="I23" s="812"/>
      <c r="J23" s="798"/>
    </row>
    <row r="24" spans="1:10" s="813" customFormat="1">
      <c r="A24" s="801" t="s">
        <v>386</v>
      </c>
      <c r="C24" s="814"/>
      <c r="D24" s="815"/>
      <c r="E24" s="816"/>
      <c r="F24" s="816"/>
      <c r="G24" s="816"/>
      <c r="H24" s="817"/>
    </row>
    <row r="25" spans="1:10" s="813" customFormat="1">
      <c r="A25" s="801"/>
      <c r="C25" s="814"/>
      <c r="D25" s="815"/>
      <c r="E25" s="816"/>
      <c r="F25" s="816"/>
      <c r="G25" s="816"/>
      <c r="H25" s="817"/>
    </row>
    <row r="26" spans="1:10">
      <c r="A26" s="797" t="s">
        <v>387</v>
      </c>
      <c r="B26" s="797" t="s">
        <v>374</v>
      </c>
      <c r="C26" s="803">
        <v>42</v>
      </c>
      <c r="D26" s="809" t="s">
        <v>390</v>
      </c>
      <c r="E26" s="805">
        <v>0.36</v>
      </c>
      <c r="F26" s="805">
        <v>0.11</v>
      </c>
      <c r="G26" s="805">
        <f t="shared" ref="G26:G34" si="2">E26-F26</f>
        <v>0.25</v>
      </c>
      <c r="H26" s="806">
        <f t="shared" ref="H26:H34" si="3">(1-G26)/C26</f>
        <v>1.7857142857142856E-2</v>
      </c>
      <c r="I26" s="807"/>
      <c r="J26" s="808"/>
    </row>
    <row r="27" spans="1:10">
      <c r="A27" s="797" t="s">
        <v>388</v>
      </c>
      <c r="B27" s="797" t="s">
        <v>389</v>
      </c>
      <c r="C27" s="803">
        <v>30</v>
      </c>
      <c r="D27" s="809" t="s">
        <v>390</v>
      </c>
      <c r="E27" s="805">
        <v>0</v>
      </c>
      <c r="F27" s="805">
        <v>0</v>
      </c>
      <c r="G27" s="805">
        <f t="shared" si="2"/>
        <v>0</v>
      </c>
      <c r="H27" s="806">
        <f t="shared" si="3"/>
        <v>3.3333333333333333E-2</v>
      </c>
      <c r="I27" s="807"/>
      <c r="J27" s="808"/>
    </row>
    <row r="28" spans="1:10">
      <c r="A28" s="818" t="s">
        <v>391</v>
      </c>
      <c r="B28" s="797" t="s">
        <v>392</v>
      </c>
      <c r="C28" s="803">
        <v>27</v>
      </c>
      <c r="D28" s="804" t="s">
        <v>390</v>
      </c>
      <c r="E28" s="805">
        <v>0</v>
      </c>
      <c r="F28" s="805">
        <v>0</v>
      </c>
      <c r="G28" s="805">
        <f t="shared" si="2"/>
        <v>0</v>
      </c>
      <c r="H28" s="806">
        <f t="shared" si="3"/>
        <v>3.7037037037037035E-2</v>
      </c>
      <c r="I28" s="807"/>
      <c r="J28" s="808"/>
    </row>
    <row r="29" spans="1:10">
      <c r="A29" s="797" t="s">
        <v>393</v>
      </c>
      <c r="B29" s="797" t="s">
        <v>394</v>
      </c>
      <c r="C29" s="803">
        <v>55</v>
      </c>
      <c r="D29" s="804" t="s">
        <v>390</v>
      </c>
      <c r="E29" s="805">
        <v>0</v>
      </c>
      <c r="F29" s="805">
        <v>0</v>
      </c>
      <c r="G29" s="805">
        <f t="shared" si="2"/>
        <v>0</v>
      </c>
      <c r="H29" s="806">
        <f t="shared" si="3"/>
        <v>1.8181818181818181E-2</v>
      </c>
      <c r="I29" s="807"/>
      <c r="J29" s="808"/>
    </row>
    <row r="30" spans="1:10">
      <c r="A30" s="797" t="s">
        <v>395</v>
      </c>
      <c r="B30" s="797" t="s">
        <v>396</v>
      </c>
      <c r="C30" s="803">
        <v>43</v>
      </c>
      <c r="D30" s="804" t="s">
        <v>390</v>
      </c>
      <c r="E30" s="805">
        <v>0</v>
      </c>
      <c r="F30" s="805">
        <v>0.1</v>
      </c>
      <c r="G30" s="805">
        <f t="shared" si="2"/>
        <v>-0.1</v>
      </c>
      <c r="H30" s="806">
        <f t="shared" si="3"/>
        <v>2.5581395348837212E-2</v>
      </c>
      <c r="I30" s="807"/>
      <c r="J30" s="808"/>
    </row>
    <row r="31" spans="1:10">
      <c r="A31" s="797" t="s">
        <v>397</v>
      </c>
      <c r="B31" s="797" t="s">
        <v>398</v>
      </c>
      <c r="C31" s="803">
        <v>37</v>
      </c>
      <c r="D31" s="804" t="s">
        <v>390</v>
      </c>
      <c r="E31" s="805">
        <v>0</v>
      </c>
      <c r="F31" s="805">
        <v>0</v>
      </c>
      <c r="G31" s="805">
        <f t="shared" si="2"/>
        <v>0</v>
      </c>
      <c r="H31" s="806">
        <f t="shared" si="3"/>
        <v>2.7027027027027029E-2</v>
      </c>
      <c r="I31" s="807"/>
      <c r="J31" s="808"/>
    </row>
    <row r="32" spans="1:10">
      <c r="A32" s="818" t="s">
        <v>399</v>
      </c>
      <c r="B32" s="797" t="s">
        <v>400</v>
      </c>
      <c r="C32" s="803">
        <v>25</v>
      </c>
      <c r="D32" s="804" t="s">
        <v>390</v>
      </c>
      <c r="E32" s="805">
        <v>0</v>
      </c>
      <c r="F32" s="805">
        <v>0</v>
      </c>
      <c r="G32" s="805">
        <f t="shared" si="2"/>
        <v>0</v>
      </c>
      <c r="H32" s="806">
        <f t="shared" si="3"/>
        <v>0.04</v>
      </c>
      <c r="I32" s="807"/>
      <c r="J32" s="808"/>
    </row>
    <row r="33" spans="1:10">
      <c r="A33" s="797" t="s">
        <v>401</v>
      </c>
      <c r="B33" s="797" t="s">
        <v>402</v>
      </c>
      <c r="C33" s="803">
        <v>24</v>
      </c>
      <c r="D33" s="804" t="s">
        <v>390</v>
      </c>
      <c r="E33" s="805">
        <v>0</v>
      </c>
      <c r="F33" s="805">
        <v>0.01</v>
      </c>
      <c r="G33" s="805">
        <f t="shared" si="2"/>
        <v>-0.01</v>
      </c>
      <c r="H33" s="806">
        <f t="shared" si="3"/>
        <v>4.2083333333333334E-2</v>
      </c>
      <c r="I33" s="807"/>
      <c r="J33" s="808"/>
    </row>
    <row r="34" spans="1:10">
      <c r="A34" s="797" t="s">
        <v>403</v>
      </c>
      <c r="B34" s="797" t="s">
        <v>404</v>
      </c>
      <c r="C34" s="803">
        <v>35</v>
      </c>
      <c r="D34" s="804" t="s">
        <v>390</v>
      </c>
      <c r="E34" s="805">
        <v>0</v>
      </c>
      <c r="F34" s="805">
        <v>0</v>
      </c>
      <c r="G34" s="805">
        <f t="shared" si="2"/>
        <v>0</v>
      </c>
      <c r="H34" s="806">
        <f t="shared" si="3"/>
        <v>2.8571428571428571E-2</v>
      </c>
      <c r="I34" s="807"/>
      <c r="J34" s="808"/>
    </row>
    <row r="35" spans="1:10">
      <c r="C35" s="819"/>
      <c r="E35" s="820"/>
      <c r="F35" s="820"/>
      <c r="G35" s="820"/>
    </row>
    <row r="36" spans="1:10">
      <c r="A36" s="801" t="s">
        <v>749</v>
      </c>
      <c r="C36" s="819"/>
      <c r="E36" s="820"/>
      <c r="F36" s="820"/>
      <c r="G36" s="820"/>
    </row>
    <row r="37" spans="1:10">
      <c r="A37" s="865">
        <v>303</v>
      </c>
      <c r="B37" s="797" t="s">
        <v>750</v>
      </c>
      <c r="C37" s="803">
        <v>5</v>
      </c>
      <c r="D37" s="821"/>
      <c r="E37" s="820"/>
      <c r="F37" s="820"/>
      <c r="G37" s="820"/>
      <c r="H37" s="806">
        <v>0.2</v>
      </c>
    </row>
    <row r="38" spans="1:10">
      <c r="C38" s="819"/>
      <c r="E38" s="820"/>
      <c r="F38" s="820"/>
      <c r="G38" s="820"/>
    </row>
    <row r="39" spans="1:10">
      <c r="A39" s="822" t="s">
        <v>579</v>
      </c>
      <c r="C39" s="819"/>
      <c r="E39" s="820"/>
      <c r="F39" s="820"/>
      <c r="G39" s="820"/>
    </row>
    <row r="40" spans="1:10" ht="39" customHeight="1">
      <c r="A40" s="823" t="s">
        <v>62</v>
      </c>
      <c r="B40" s="950" t="s">
        <v>807</v>
      </c>
      <c r="C40" s="950"/>
      <c r="D40" s="950"/>
      <c r="E40" s="950"/>
      <c r="F40" s="950"/>
      <c r="G40" s="950"/>
      <c r="H40" s="950"/>
    </row>
    <row r="41" spans="1:10">
      <c r="A41" s="824" t="s">
        <v>63</v>
      </c>
      <c r="B41" s="825" t="s">
        <v>727</v>
      </c>
      <c r="C41" s="773"/>
      <c r="D41" s="773"/>
      <c r="E41" s="773"/>
      <c r="F41" s="773"/>
      <c r="G41" s="773"/>
      <c r="H41" s="773"/>
    </row>
    <row r="42" spans="1:10">
      <c r="A42" s="773"/>
      <c r="B42" s="773"/>
      <c r="C42" s="773"/>
      <c r="D42" s="773"/>
      <c r="E42" s="773"/>
      <c r="F42" s="773"/>
      <c r="G42" s="773"/>
      <c r="H42" s="773"/>
    </row>
    <row r="43" spans="1:10">
      <c r="C43" s="826"/>
      <c r="E43" s="820"/>
      <c r="F43" s="820"/>
      <c r="G43" s="820"/>
    </row>
    <row r="44" spans="1:10">
      <c r="C44" s="826"/>
      <c r="E44" s="820"/>
      <c r="F44" s="820"/>
      <c r="G44" s="820"/>
    </row>
    <row r="45" spans="1:10">
      <c r="C45" s="826"/>
      <c r="E45" s="820"/>
      <c r="F45" s="820"/>
      <c r="G45" s="820"/>
    </row>
    <row r="46" spans="1:10">
      <c r="C46" s="826"/>
      <c r="E46" s="820"/>
      <c r="F46" s="820"/>
      <c r="G46" s="820"/>
    </row>
    <row r="47" spans="1:10">
      <c r="C47" s="826"/>
      <c r="E47" s="820"/>
      <c r="F47" s="820"/>
      <c r="G47" s="820"/>
    </row>
    <row r="48" spans="1:10">
      <c r="C48" s="826"/>
      <c r="E48" s="820"/>
      <c r="F48" s="820"/>
      <c r="G48" s="820"/>
    </row>
    <row r="49" spans="3:7">
      <c r="C49" s="826"/>
      <c r="E49" s="820"/>
      <c r="F49" s="820"/>
      <c r="G49" s="820"/>
    </row>
    <row r="50" spans="3:7">
      <c r="C50" s="826"/>
      <c r="E50" s="820"/>
      <c r="F50" s="820"/>
      <c r="G50" s="820"/>
    </row>
    <row r="51" spans="3:7">
      <c r="C51" s="826"/>
      <c r="E51" s="820"/>
      <c r="F51" s="820"/>
      <c r="G51" s="820"/>
    </row>
    <row r="52" spans="3:7">
      <c r="E52" s="820"/>
      <c r="F52" s="820"/>
      <c r="G52" s="820"/>
    </row>
    <row r="53" spans="3:7">
      <c r="E53" s="820"/>
      <c r="F53" s="820"/>
      <c r="G53" s="820"/>
    </row>
    <row r="54" spans="3:7">
      <c r="E54" s="820"/>
      <c r="F54" s="820"/>
      <c r="G54" s="820"/>
    </row>
    <row r="55" spans="3:7">
      <c r="E55" s="820"/>
      <c r="F55" s="820"/>
      <c r="G55" s="820"/>
    </row>
    <row r="56" spans="3:7">
      <c r="E56" s="820"/>
      <c r="F56" s="820"/>
      <c r="G56" s="820"/>
    </row>
    <row r="57" spans="3:7">
      <c r="E57" s="820"/>
      <c r="F57" s="820"/>
      <c r="G57" s="820"/>
    </row>
    <row r="58" spans="3:7">
      <c r="E58" s="820"/>
      <c r="F58" s="820"/>
      <c r="G58" s="820"/>
    </row>
    <row r="59" spans="3:7">
      <c r="E59" s="820"/>
      <c r="F59" s="820"/>
      <c r="G59" s="820"/>
    </row>
    <row r="60" spans="3:7">
      <c r="E60" s="820"/>
      <c r="F60" s="820"/>
      <c r="G60" s="820"/>
    </row>
    <row r="61" spans="3:7">
      <c r="E61" s="820"/>
      <c r="F61" s="820"/>
      <c r="G61" s="820"/>
    </row>
    <row r="62" spans="3:7">
      <c r="E62" s="820"/>
      <c r="F62" s="820"/>
      <c r="G62" s="820"/>
    </row>
    <row r="63" spans="3:7">
      <c r="E63" s="820"/>
      <c r="F63" s="820"/>
      <c r="G63" s="820"/>
    </row>
    <row r="64" spans="3:7">
      <c r="E64" s="820"/>
      <c r="F64" s="820"/>
      <c r="G64" s="820"/>
    </row>
    <row r="65" spans="5:7">
      <c r="E65" s="820"/>
      <c r="F65" s="820"/>
      <c r="G65" s="820"/>
    </row>
    <row r="66" spans="5:7">
      <c r="E66" s="820"/>
      <c r="F66" s="820"/>
      <c r="G66" s="820"/>
    </row>
    <row r="67" spans="5:7">
      <c r="E67" s="820"/>
      <c r="F67" s="820"/>
      <c r="G67" s="820"/>
    </row>
    <row r="68" spans="5:7">
      <c r="E68" s="820"/>
      <c r="F68" s="820"/>
      <c r="G68" s="820"/>
    </row>
    <row r="69" spans="5:7">
      <c r="E69" s="820"/>
      <c r="F69" s="820"/>
      <c r="G69" s="820"/>
    </row>
    <row r="70" spans="5:7">
      <c r="E70" s="820"/>
      <c r="F70" s="820"/>
      <c r="G70" s="820"/>
    </row>
    <row r="71" spans="5:7">
      <c r="E71" s="820"/>
      <c r="F71" s="820"/>
      <c r="G71" s="820"/>
    </row>
    <row r="72" spans="5:7">
      <c r="E72" s="820"/>
      <c r="F72" s="820"/>
      <c r="G72" s="820"/>
    </row>
    <row r="73" spans="5:7">
      <c r="E73" s="820"/>
      <c r="F73" s="820"/>
      <c r="G73" s="820"/>
    </row>
    <row r="74" spans="5:7">
      <c r="E74" s="820"/>
      <c r="F74" s="820"/>
      <c r="G74" s="820"/>
    </row>
    <row r="75" spans="5:7">
      <c r="E75" s="820"/>
      <c r="F75" s="820"/>
      <c r="G75" s="820"/>
    </row>
    <row r="76" spans="5:7">
      <c r="E76" s="820"/>
      <c r="F76" s="820"/>
      <c r="G76" s="820"/>
    </row>
    <row r="77" spans="5:7">
      <c r="E77" s="820"/>
      <c r="F77" s="820"/>
      <c r="G77" s="820"/>
    </row>
    <row r="78" spans="5:7">
      <c r="E78" s="820"/>
      <c r="F78" s="820"/>
      <c r="G78" s="820"/>
    </row>
    <row r="79" spans="5:7">
      <c r="E79" s="820"/>
      <c r="F79" s="820"/>
      <c r="G79" s="820"/>
    </row>
    <row r="80" spans="5:7">
      <c r="E80" s="820"/>
      <c r="F80" s="820"/>
      <c r="G80" s="820"/>
    </row>
    <row r="81" spans="5:7">
      <c r="E81" s="820"/>
      <c r="F81" s="820"/>
      <c r="G81" s="820"/>
    </row>
    <row r="82" spans="5:7">
      <c r="E82" s="820"/>
      <c r="F82" s="820"/>
      <c r="G82" s="820"/>
    </row>
    <row r="83" spans="5:7">
      <c r="E83" s="820"/>
      <c r="F83" s="820"/>
      <c r="G83" s="820"/>
    </row>
    <row r="84" spans="5:7">
      <c r="E84" s="820"/>
      <c r="F84" s="820"/>
      <c r="G84" s="820"/>
    </row>
    <row r="85" spans="5:7">
      <c r="E85" s="820"/>
      <c r="F85" s="820"/>
      <c r="G85" s="820"/>
    </row>
    <row r="86" spans="5:7">
      <c r="E86" s="820"/>
      <c r="F86" s="820"/>
      <c r="G86" s="820"/>
    </row>
    <row r="87" spans="5:7">
      <c r="E87" s="820"/>
      <c r="F87" s="820"/>
      <c r="G87" s="820"/>
    </row>
    <row r="88" spans="5:7">
      <c r="E88" s="820"/>
      <c r="F88" s="820"/>
      <c r="G88" s="820"/>
    </row>
    <row r="89" spans="5:7">
      <c r="E89" s="820"/>
      <c r="F89" s="820"/>
      <c r="G89" s="820"/>
    </row>
    <row r="90" spans="5:7">
      <c r="E90" s="820"/>
      <c r="F90" s="820"/>
      <c r="G90" s="820"/>
    </row>
    <row r="91" spans="5:7">
      <c r="E91" s="820"/>
      <c r="F91" s="820"/>
      <c r="G91" s="820"/>
    </row>
    <row r="92" spans="5:7">
      <c r="E92" s="820"/>
      <c r="F92" s="820"/>
      <c r="G92" s="820"/>
    </row>
    <row r="93" spans="5:7">
      <c r="E93" s="820"/>
      <c r="F93" s="820"/>
      <c r="G93" s="820"/>
    </row>
    <row r="94" spans="5:7">
      <c r="E94" s="820"/>
      <c r="F94" s="820"/>
      <c r="G94" s="820"/>
    </row>
    <row r="95" spans="5:7">
      <c r="E95" s="820"/>
      <c r="F95" s="820"/>
      <c r="G95" s="820"/>
    </row>
    <row r="96" spans="5:7">
      <c r="E96" s="820"/>
      <c r="F96" s="820"/>
      <c r="G96" s="820"/>
    </row>
    <row r="97" spans="5:7">
      <c r="E97" s="820"/>
      <c r="F97" s="820"/>
      <c r="G97" s="820"/>
    </row>
    <row r="98" spans="5:7">
      <c r="E98" s="820"/>
      <c r="F98" s="820"/>
      <c r="G98" s="820"/>
    </row>
    <row r="99" spans="5:7">
      <c r="E99" s="820"/>
      <c r="F99" s="820"/>
      <c r="G99" s="820"/>
    </row>
    <row r="100" spans="5:7">
      <c r="E100" s="820"/>
      <c r="F100" s="820"/>
      <c r="G100" s="820"/>
    </row>
    <row r="101" spans="5:7">
      <c r="E101" s="820"/>
      <c r="F101" s="820"/>
      <c r="G101" s="820"/>
    </row>
    <row r="102" spans="5:7">
      <c r="E102" s="820"/>
      <c r="F102" s="820"/>
      <c r="G102" s="820"/>
    </row>
    <row r="103" spans="5:7">
      <c r="E103" s="820"/>
      <c r="F103" s="820"/>
      <c r="G103" s="820"/>
    </row>
    <row r="104" spans="5:7">
      <c r="E104" s="820"/>
      <c r="F104" s="820"/>
      <c r="G104" s="820"/>
    </row>
    <row r="105" spans="5:7">
      <c r="E105" s="820"/>
      <c r="F105" s="820"/>
      <c r="G105" s="820"/>
    </row>
    <row r="106" spans="5:7">
      <c r="E106" s="820"/>
      <c r="F106" s="820"/>
      <c r="G106" s="820"/>
    </row>
    <row r="107" spans="5:7">
      <c r="E107" s="820"/>
      <c r="F107" s="820"/>
      <c r="G107" s="820"/>
    </row>
    <row r="108" spans="5:7">
      <c r="E108" s="820"/>
      <c r="F108" s="820"/>
      <c r="G108" s="820"/>
    </row>
    <row r="109" spans="5:7">
      <c r="E109" s="820"/>
      <c r="F109" s="820"/>
      <c r="G109" s="820"/>
    </row>
    <row r="110" spans="5:7">
      <c r="E110" s="820"/>
      <c r="F110" s="820"/>
      <c r="G110" s="820"/>
    </row>
    <row r="111" spans="5:7">
      <c r="E111" s="820"/>
      <c r="F111" s="820"/>
      <c r="G111" s="820"/>
    </row>
    <row r="112" spans="5:7">
      <c r="E112" s="820"/>
      <c r="F112" s="820"/>
      <c r="G112" s="820"/>
    </row>
    <row r="113" spans="5:7">
      <c r="E113" s="820"/>
      <c r="F113" s="820"/>
      <c r="G113" s="820"/>
    </row>
    <row r="114" spans="5:7">
      <c r="E114" s="820"/>
      <c r="F114" s="820"/>
      <c r="G114" s="820"/>
    </row>
    <row r="115" spans="5:7">
      <c r="E115" s="820"/>
      <c r="F115" s="820"/>
      <c r="G115" s="820"/>
    </row>
    <row r="116" spans="5:7">
      <c r="E116" s="820"/>
      <c r="F116" s="820"/>
      <c r="G116" s="820"/>
    </row>
    <row r="117" spans="5:7">
      <c r="E117" s="820"/>
      <c r="F117" s="820"/>
      <c r="G117" s="820"/>
    </row>
    <row r="118" spans="5:7">
      <c r="E118" s="820"/>
      <c r="F118" s="820"/>
      <c r="G118" s="820"/>
    </row>
    <row r="119" spans="5:7">
      <c r="E119" s="820"/>
      <c r="F119" s="820"/>
      <c r="G119" s="820"/>
    </row>
    <row r="120" spans="5:7">
      <c r="E120" s="820"/>
      <c r="F120" s="820"/>
      <c r="G120" s="820"/>
    </row>
    <row r="121" spans="5:7">
      <c r="E121" s="820"/>
      <c r="F121" s="820"/>
      <c r="G121" s="820"/>
    </row>
    <row r="122" spans="5:7">
      <c r="E122" s="820"/>
      <c r="F122" s="820"/>
      <c r="G122" s="820"/>
    </row>
    <row r="123" spans="5:7">
      <c r="E123" s="820"/>
      <c r="F123" s="820"/>
      <c r="G123" s="820"/>
    </row>
    <row r="124" spans="5:7">
      <c r="E124" s="820"/>
      <c r="F124" s="820"/>
      <c r="G124" s="820"/>
    </row>
    <row r="125" spans="5:7">
      <c r="E125" s="820"/>
      <c r="F125" s="820"/>
      <c r="G125" s="820"/>
    </row>
    <row r="126" spans="5:7">
      <c r="E126" s="820"/>
      <c r="F126" s="820"/>
      <c r="G126" s="820"/>
    </row>
    <row r="127" spans="5:7">
      <c r="E127" s="820"/>
      <c r="F127" s="820"/>
      <c r="G127" s="820"/>
    </row>
    <row r="128" spans="5:7">
      <c r="E128" s="820"/>
      <c r="F128" s="820"/>
      <c r="G128" s="820"/>
    </row>
    <row r="129" spans="5:7">
      <c r="E129" s="820"/>
      <c r="F129" s="820"/>
      <c r="G129" s="820"/>
    </row>
    <row r="130" spans="5:7">
      <c r="E130" s="820"/>
      <c r="F130" s="820"/>
      <c r="G130" s="820"/>
    </row>
    <row r="131" spans="5:7">
      <c r="E131" s="820"/>
      <c r="F131" s="820"/>
      <c r="G131" s="820"/>
    </row>
    <row r="132" spans="5:7">
      <c r="E132" s="820"/>
      <c r="F132" s="820"/>
      <c r="G132" s="820"/>
    </row>
    <row r="133" spans="5:7">
      <c r="E133" s="820"/>
      <c r="F133" s="820"/>
      <c r="G133" s="820"/>
    </row>
    <row r="134" spans="5:7">
      <c r="E134" s="820"/>
      <c r="F134" s="820"/>
      <c r="G134" s="820"/>
    </row>
    <row r="135" spans="5:7">
      <c r="E135" s="820"/>
      <c r="F135" s="820"/>
      <c r="G135" s="820"/>
    </row>
    <row r="136" spans="5:7">
      <c r="E136" s="820"/>
      <c r="F136" s="820"/>
      <c r="G136" s="820"/>
    </row>
    <row r="137" spans="5:7">
      <c r="E137" s="820"/>
      <c r="F137" s="820"/>
      <c r="G137" s="820"/>
    </row>
    <row r="138" spans="5:7">
      <c r="E138" s="820"/>
      <c r="F138" s="820"/>
      <c r="G138" s="820"/>
    </row>
    <row r="139" spans="5:7">
      <c r="E139" s="820"/>
      <c r="F139" s="820"/>
      <c r="G139" s="820"/>
    </row>
    <row r="140" spans="5:7">
      <c r="E140" s="820"/>
      <c r="F140" s="820"/>
      <c r="G140" s="820"/>
    </row>
    <row r="141" spans="5:7">
      <c r="E141" s="820"/>
      <c r="F141" s="820"/>
      <c r="G141" s="820"/>
    </row>
    <row r="142" spans="5:7">
      <c r="E142" s="820"/>
      <c r="F142" s="820"/>
      <c r="G142" s="820"/>
    </row>
    <row r="143" spans="5:7">
      <c r="E143" s="820"/>
      <c r="F143" s="820"/>
      <c r="G143" s="820"/>
    </row>
    <row r="144" spans="5:7">
      <c r="E144" s="820"/>
      <c r="F144" s="820"/>
      <c r="G144" s="820"/>
    </row>
    <row r="145" spans="5:7">
      <c r="E145" s="820"/>
      <c r="F145" s="820"/>
      <c r="G145" s="820"/>
    </row>
    <row r="146" spans="5:7">
      <c r="E146" s="820"/>
      <c r="F146" s="820"/>
      <c r="G146" s="820"/>
    </row>
    <row r="147" spans="5:7">
      <c r="E147" s="820"/>
      <c r="F147" s="820"/>
      <c r="G147" s="820"/>
    </row>
    <row r="148" spans="5:7">
      <c r="E148" s="820"/>
      <c r="F148" s="820"/>
      <c r="G148" s="820"/>
    </row>
    <row r="149" spans="5:7">
      <c r="E149" s="820"/>
      <c r="F149" s="820"/>
      <c r="G149" s="820"/>
    </row>
    <row r="150" spans="5:7">
      <c r="E150" s="820"/>
      <c r="F150" s="820"/>
      <c r="G150" s="820"/>
    </row>
    <row r="151" spans="5:7">
      <c r="E151" s="820"/>
      <c r="F151" s="820"/>
      <c r="G151" s="820"/>
    </row>
    <row r="152" spans="5:7">
      <c r="E152" s="820"/>
      <c r="F152" s="820"/>
      <c r="G152" s="820"/>
    </row>
    <row r="153" spans="5:7">
      <c r="E153" s="820"/>
      <c r="F153" s="820"/>
      <c r="G153" s="820"/>
    </row>
    <row r="154" spans="5:7">
      <c r="E154" s="820"/>
      <c r="F154" s="820"/>
      <c r="G154" s="820"/>
    </row>
    <row r="155" spans="5:7">
      <c r="E155" s="820"/>
      <c r="F155" s="820"/>
      <c r="G155" s="820"/>
    </row>
    <row r="156" spans="5:7">
      <c r="E156" s="820"/>
      <c r="F156" s="820"/>
      <c r="G156" s="820"/>
    </row>
    <row r="157" spans="5:7">
      <c r="E157" s="820"/>
      <c r="F157" s="820"/>
      <c r="G157" s="820"/>
    </row>
    <row r="158" spans="5:7">
      <c r="E158" s="820"/>
      <c r="F158" s="820"/>
      <c r="G158" s="820"/>
    </row>
    <row r="159" spans="5:7">
      <c r="E159" s="820"/>
      <c r="F159" s="820"/>
      <c r="G159" s="820"/>
    </row>
    <row r="160" spans="5:7">
      <c r="E160" s="820"/>
      <c r="F160" s="820"/>
      <c r="G160" s="820"/>
    </row>
    <row r="161" spans="5:7">
      <c r="E161" s="820"/>
      <c r="F161" s="820"/>
      <c r="G161" s="820"/>
    </row>
    <row r="162" spans="5:7">
      <c r="E162" s="820"/>
      <c r="F162" s="820"/>
      <c r="G162" s="820"/>
    </row>
    <row r="163" spans="5:7">
      <c r="E163" s="820"/>
      <c r="F163" s="820"/>
      <c r="G163" s="820"/>
    </row>
    <row r="164" spans="5:7">
      <c r="E164" s="820"/>
      <c r="F164" s="820"/>
      <c r="G164" s="820"/>
    </row>
    <row r="165" spans="5:7">
      <c r="E165" s="820"/>
      <c r="F165" s="820"/>
      <c r="G165" s="820"/>
    </row>
    <row r="166" spans="5:7">
      <c r="E166" s="820"/>
      <c r="F166" s="820"/>
      <c r="G166" s="820"/>
    </row>
    <row r="167" spans="5:7">
      <c r="E167" s="820"/>
      <c r="F167" s="820"/>
      <c r="G167" s="820"/>
    </row>
    <row r="168" spans="5:7">
      <c r="E168" s="820"/>
      <c r="F168" s="820"/>
      <c r="G168" s="820"/>
    </row>
    <row r="169" spans="5:7">
      <c r="E169" s="820"/>
      <c r="F169" s="820"/>
      <c r="G169" s="820"/>
    </row>
    <row r="170" spans="5:7">
      <c r="E170" s="820"/>
      <c r="F170" s="820"/>
      <c r="G170" s="820"/>
    </row>
    <row r="171" spans="5:7">
      <c r="E171" s="820"/>
      <c r="F171" s="820"/>
      <c r="G171" s="820"/>
    </row>
    <row r="172" spans="5:7">
      <c r="E172" s="820"/>
      <c r="F172" s="820"/>
      <c r="G172" s="820"/>
    </row>
    <row r="173" spans="5:7">
      <c r="E173" s="820"/>
      <c r="F173" s="820"/>
      <c r="G173" s="820"/>
    </row>
    <row r="174" spans="5:7">
      <c r="E174" s="820"/>
      <c r="F174" s="820"/>
      <c r="G174" s="820"/>
    </row>
    <row r="175" spans="5:7">
      <c r="E175" s="820"/>
      <c r="F175" s="820"/>
      <c r="G175" s="820"/>
    </row>
    <row r="176" spans="5:7">
      <c r="E176" s="820"/>
      <c r="F176" s="820"/>
      <c r="G176" s="820"/>
    </row>
    <row r="177" spans="5:7">
      <c r="E177" s="820"/>
      <c r="F177" s="820"/>
      <c r="G177" s="820"/>
    </row>
    <row r="178" spans="5:7">
      <c r="E178" s="820"/>
      <c r="F178" s="820"/>
      <c r="G178" s="820"/>
    </row>
    <row r="179" spans="5:7">
      <c r="E179" s="820"/>
      <c r="F179" s="820"/>
      <c r="G179" s="820"/>
    </row>
    <row r="180" spans="5:7">
      <c r="E180" s="820"/>
      <c r="F180" s="820"/>
      <c r="G180" s="820"/>
    </row>
    <row r="181" spans="5:7">
      <c r="E181" s="820"/>
      <c r="F181" s="820"/>
      <c r="G181" s="820"/>
    </row>
    <row r="182" spans="5:7">
      <c r="E182" s="820"/>
      <c r="F182" s="820"/>
      <c r="G182" s="820"/>
    </row>
    <row r="183" spans="5:7">
      <c r="E183" s="820"/>
      <c r="F183" s="820"/>
      <c r="G183" s="820"/>
    </row>
    <row r="184" spans="5:7">
      <c r="E184" s="820"/>
      <c r="F184" s="820"/>
      <c r="G184" s="820"/>
    </row>
    <row r="185" spans="5:7">
      <c r="E185" s="820"/>
      <c r="F185" s="820"/>
      <c r="G185" s="820"/>
    </row>
    <row r="186" spans="5:7">
      <c r="E186" s="820"/>
      <c r="F186" s="820"/>
      <c r="G186" s="820"/>
    </row>
    <row r="187" spans="5:7">
      <c r="E187" s="820"/>
      <c r="F187" s="820"/>
      <c r="G187" s="820"/>
    </row>
    <row r="188" spans="5:7">
      <c r="E188" s="820"/>
      <c r="F188" s="820"/>
      <c r="G188" s="820"/>
    </row>
    <row r="189" spans="5:7">
      <c r="E189" s="820"/>
      <c r="F189" s="820"/>
      <c r="G189" s="820"/>
    </row>
    <row r="190" spans="5:7">
      <c r="E190" s="820"/>
      <c r="F190" s="820"/>
      <c r="G190" s="820"/>
    </row>
    <row r="191" spans="5:7">
      <c r="E191" s="820"/>
      <c r="F191" s="820"/>
      <c r="G191" s="820"/>
    </row>
    <row r="192" spans="5:7">
      <c r="E192" s="820"/>
      <c r="F192" s="820"/>
      <c r="G192" s="820"/>
    </row>
    <row r="193" spans="5:7">
      <c r="E193" s="820"/>
      <c r="F193" s="820"/>
      <c r="G193" s="820"/>
    </row>
    <row r="194" spans="5:7">
      <c r="E194" s="820"/>
      <c r="F194" s="820"/>
      <c r="G194" s="820"/>
    </row>
    <row r="195" spans="5:7">
      <c r="E195" s="820"/>
      <c r="F195" s="820"/>
      <c r="G195" s="820"/>
    </row>
    <row r="196" spans="5:7">
      <c r="E196" s="820"/>
      <c r="F196" s="820"/>
      <c r="G196" s="820"/>
    </row>
    <row r="197" spans="5:7">
      <c r="E197" s="820"/>
      <c r="F197" s="820"/>
      <c r="G197" s="820"/>
    </row>
    <row r="198" spans="5:7">
      <c r="E198" s="820"/>
      <c r="F198" s="820"/>
      <c r="G198" s="820"/>
    </row>
    <row r="199" spans="5:7">
      <c r="E199" s="820"/>
      <c r="F199" s="820"/>
      <c r="G199" s="820"/>
    </row>
    <row r="200" spans="5:7">
      <c r="E200" s="820"/>
      <c r="F200" s="820"/>
      <c r="G200" s="820"/>
    </row>
    <row r="201" spans="5:7">
      <c r="E201" s="820"/>
      <c r="F201" s="820"/>
      <c r="G201" s="820"/>
    </row>
    <row r="202" spans="5:7">
      <c r="E202" s="820"/>
      <c r="F202" s="820"/>
      <c r="G202" s="820"/>
    </row>
    <row r="203" spans="5:7">
      <c r="E203" s="820"/>
      <c r="F203" s="820"/>
      <c r="G203" s="820"/>
    </row>
    <row r="204" spans="5:7">
      <c r="E204" s="820"/>
      <c r="F204" s="820"/>
      <c r="G204" s="820"/>
    </row>
    <row r="205" spans="5:7">
      <c r="E205" s="820"/>
      <c r="F205" s="820"/>
      <c r="G205" s="820"/>
    </row>
    <row r="206" spans="5:7">
      <c r="E206" s="820"/>
      <c r="F206" s="820"/>
      <c r="G206" s="820"/>
    </row>
    <row r="207" spans="5:7">
      <c r="E207" s="820"/>
      <c r="F207" s="820"/>
      <c r="G207" s="820"/>
    </row>
    <row r="208" spans="5:7">
      <c r="E208" s="820"/>
      <c r="F208" s="820"/>
      <c r="G208" s="820"/>
    </row>
    <row r="209" spans="5:7">
      <c r="E209" s="820"/>
      <c r="F209" s="820"/>
      <c r="G209" s="820"/>
    </row>
    <row r="210" spans="5:7">
      <c r="E210" s="820"/>
      <c r="F210" s="820"/>
      <c r="G210" s="820"/>
    </row>
    <row r="211" spans="5:7">
      <c r="E211" s="820"/>
      <c r="F211" s="820"/>
      <c r="G211" s="820"/>
    </row>
    <row r="212" spans="5:7">
      <c r="E212" s="820"/>
      <c r="F212" s="820"/>
      <c r="G212" s="820"/>
    </row>
    <row r="213" spans="5:7">
      <c r="E213" s="820"/>
      <c r="F213" s="820"/>
      <c r="G213" s="820"/>
    </row>
    <row r="214" spans="5:7">
      <c r="E214" s="820"/>
      <c r="F214" s="820"/>
      <c r="G214" s="820"/>
    </row>
    <row r="215" spans="5:7">
      <c r="E215" s="820"/>
      <c r="F215" s="820"/>
      <c r="G215" s="820"/>
    </row>
    <row r="216" spans="5:7">
      <c r="E216" s="820"/>
      <c r="F216" s="820"/>
      <c r="G216" s="820"/>
    </row>
    <row r="217" spans="5:7">
      <c r="E217" s="820"/>
      <c r="F217" s="820"/>
      <c r="G217" s="820"/>
    </row>
    <row r="218" spans="5:7">
      <c r="E218" s="820"/>
      <c r="F218" s="820"/>
      <c r="G218" s="820"/>
    </row>
    <row r="219" spans="5:7">
      <c r="E219" s="820"/>
      <c r="F219" s="820"/>
      <c r="G219" s="820"/>
    </row>
    <row r="220" spans="5:7">
      <c r="E220" s="820"/>
      <c r="F220" s="820"/>
      <c r="G220" s="820"/>
    </row>
    <row r="221" spans="5:7">
      <c r="E221" s="820"/>
      <c r="F221" s="820"/>
      <c r="G221" s="820"/>
    </row>
    <row r="222" spans="5:7">
      <c r="E222" s="820"/>
      <c r="F222" s="820"/>
      <c r="G222" s="820"/>
    </row>
    <row r="223" spans="5:7">
      <c r="E223" s="820"/>
      <c r="F223" s="820"/>
      <c r="G223" s="820"/>
    </row>
    <row r="224" spans="5:7">
      <c r="E224" s="820"/>
      <c r="F224" s="820"/>
      <c r="G224" s="820"/>
    </row>
    <row r="225" spans="5:7">
      <c r="E225" s="820"/>
      <c r="F225" s="820"/>
      <c r="G225" s="820"/>
    </row>
    <row r="226" spans="5:7">
      <c r="E226" s="820"/>
      <c r="F226" s="820"/>
      <c r="G226" s="820"/>
    </row>
    <row r="227" spans="5:7">
      <c r="E227" s="820"/>
      <c r="F227" s="820"/>
      <c r="G227" s="820"/>
    </row>
    <row r="228" spans="5:7">
      <c r="E228" s="820"/>
      <c r="F228" s="820"/>
      <c r="G228" s="820"/>
    </row>
    <row r="229" spans="5:7">
      <c r="E229" s="820"/>
      <c r="F229" s="820"/>
      <c r="G229" s="820"/>
    </row>
    <row r="230" spans="5:7">
      <c r="E230" s="820"/>
      <c r="F230" s="820"/>
      <c r="G230" s="820"/>
    </row>
    <row r="231" spans="5:7">
      <c r="E231" s="820"/>
      <c r="F231" s="820"/>
      <c r="G231" s="820"/>
    </row>
    <row r="232" spans="5:7">
      <c r="E232" s="820"/>
      <c r="F232" s="820"/>
      <c r="G232" s="820"/>
    </row>
    <row r="233" spans="5:7">
      <c r="E233" s="820"/>
      <c r="F233" s="820"/>
      <c r="G233" s="820"/>
    </row>
    <row r="234" spans="5:7">
      <c r="E234" s="820"/>
      <c r="F234" s="820"/>
      <c r="G234" s="820"/>
    </row>
    <row r="235" spans="5:7">
      <c r="E235" s="820"/>
      <c r="F235" s="820"/>
      <c r="G235" s="820"/>
    </row>
    <row r="236" spans="5:7">
      <c r="E236" s="820"/>
      <c r="F236" s="820"/>
      <c r="G236" s="820"/>
    </row>
    <row r="237" spans="5:7">
      <c r="E237" s="820"/>
      <c r="F237" s="820"/>
      <c r="G237" s="820"/>
    </row>
    <row r="238" spans="5:7">
      <c r="E238" s="820"/>
      <c r="F238" s="820"/>
      <c r="G238" s="820"/>
    </row>
    <row r="239" spans="5:7">
      <c r="E239" s="820"/>
      <c r="F239" s="820"/>
      <c r="G239" s="820"/>
    </row>
    <row r="240" spans="5:7">
      <c r="E240" s="820"/>
      <c r="F240" s="820"/>
      <c r="G240" s="820"/>
    </row>
    <row r="241" spans="5:7">
      <c r="E241" s="820"/>
      <c r="F241" s="820"/>
      <c r="G241" s="820"/>
    </row>
    <row r="242" spans="5:7">
      <c r="E242" s="820"/>
      <c r="F242" s="820"/>
      <c r="G242" s="820"/>
    </row>
    <row r="243" spans="5:7">
      <c r="E243" s="820"/>
      <c r="F243" s="820"/>
      <c r="G243" s="820"/>
    </row>
    <row r="244" spans="5:7">
      <c r="E244" s="820"/>
      <c r="F244" s="820"/>
      <c r="G244" s="820"/>
    </row>
    <row r="245" spans="5:7">
      <c r="E245" s="820"/>
      <c r="F245" s="820"/>
      <c r="G245" s="820"/>
    </row>
    <row r="246" spans="5:7">
      <c r="E246" s="820"/>
      <c r="F246" s="820"/>
      <c r="G246" s="820"/>
    </row>
    <row r="247" spans="5:7">
      <c r="E247" s="820"/>
      <c r="F247" s="820"/>
      <c r="G247" s="820"/>
    </row>
    <row r="248" spans="5:7">
      <c r="E248" s="820"/>
      <c r="F248" s="820"/>
      <c r="G248" s="820"/>
    </row>
    <row r="249" spans="5:7">
      <c r="E249" s="820"/>
      <c r="F249" s="820"/>
      <c r="G249" s="820"/>
    </row>
    <row r="250" spans="5:7">
      <c r="E250" s="820"/>
      <c r="F250" s="820"/>
      <c r="G250" s="820"/>
    </row>
    <row r="251" spans="5:7">
      <c r="E251" s="820"/>
      <c r="F251" s="820"/>
      <c r="G251" s="820"/>
    </row>
    <row r="252" spans="5:7">
      <c r="E252" s="820"/>
      <c r="F252" s="820"/>
      <c r="G252" s="820"/>
    </row>
    <row r="253" spans="5:7">
      <c r="E253" s="820"/>
      <c r="F253" s="820"/>
      <c r="G253" s="820"/>
    </row>
    <row r="254" spans="5:7">
      <c r="E254" s="820"/>
      <c r="F254" s="820"/>
      <c r="G254" s="820"/>
    </row>
    <row r="255" spans="5:7">
      <c r="E255" s="820"/>
      <c r="F255" s="820"/>
      <c r="G255" s="820"/>
    </row>
    <row r="256" spans="5:7">
      <c r="E256" s="820"/>
      <c r="F256" s="820"/>
      <c r="G256" s="820"/>
    </row>
    <row r="257" spans="5:7">
      <c r="E257" s="820"/>
      <c r="F257" s="820"/>
      <c r="G257" s="820"/>
    </row>
    <row r="258" spans="5:7">
      <c r="E258" s="820"/>
      <c r="F258" s="820"/>
      <c r="G258" s="820"/>
    </row>
    <row r="259" spans="5:7">
      <c r="E259" s="820"/>
      <c r="F259" s="820"/>
      <c r="G259" s="820"/>
    </row>
    <row r="260" spans="5:7">
      <c r="E260" s="820"/>
      <c r="F260" s="820"/>
      <c r="G260" s="820"/>
    </row>
    <row r="261" spans="5:7">
      <c r="E261" s="820"/>
      <c r="F261" s="820"/>
      <c r="G261" s="820"/>
    </row>
    <row r="262" spans="5:7">
      <c r="E262" s="820"/>
      <c r="F262" s="820"/>
      <c r="G262" s="820"/>
    </row>
    <row r="263" spans="5:7">
      <c r="E263" s="820"/>
      <c r="F263" s="820"/>
      <c r="G263" s="820"/>
    </row>
    <row r="264" spans="5:7">
      <c r="E264" s="820"/>
      <c r="F264" s="820"/>
      <c r="G264" s="820"/>
    </row>
    <row r="265" spans="5:7">
      <c r="E265" s="820"/>
      <c r="F265" s="820"/>
      <c r="G265" s="820"/>
    </row>
    <row r="266" spans="5:7">
      <c r="E266" s="820"/>
      <c r="F266" s="820"/>
      <c r="G266" s="820"/>
    </row>
    <row r="267" spans="5:7">
      <c r="E267" s="820"/>
      <c r="F267" s="820"/>
      <c r="G267" s="820"/>
    </row>
    <row r="268" spans="5:7">
      <c r="E268" s="820"/>
      <c r="F268" s="820"/>
      <c r="G268" s="820"/>
    </row>
    <row r="269" spans="5:7">
      <c r="E269" s="820"/>
      <c r="F269" s="820"/>
      <c r="G269" s="820"/>
    </row>
    <row r="270" spans="5:7">
      <c r="E270" s="820"/>
      <c r="F270" s="820"/>
      <c r="G270" s="820"/>
    </row>
    <row r="271" spans="5:7">
      <c r="E271" s="820"/>
      <c r="F271" s="820"/>
      <c r="G271" s="820"/>
    </row>
    <row r="272" spans="5:7">
      <c r="E272" s="820"/>
      <c r="F272" s="820"/>
      <c r="G272" s="820"/>
    </row>
    <row r="273" spans="5:7">
      <c r="E273" s="820"/>
      <c r="F273" s="820"/>
      <c r="G273" s="820"/>
    </row>
    <row r="274" spans="5:7">
      <c r="E274" s="820"/>
      <c r="F274" s="820"/>
      <c r="G274" s="820"/>
    </row>
    <row r="275" spans="5:7">
      <c r="E275" s="820"/>
      <c r="F275" s="820"/>
      <c r="G275" s="820"/>
    </row>
    <row r="276" spans="5:7">
      <c r="E276" s="820"/>
      <c r="F276" s="820"/>
      <c r="G276" s="820"/>
    </row>
    <row r="277" spans="5:7">
      <c r="E277" s="820"/>
      <c r="F277" s="820"/>
      <c r="G277" s="820"/>
    </row>
    <row r="278" spans="5:7">
      <c r="E278" s="820"/>
      <c r="F278" s="820"/>
      <c r="G278" s="820"/>
    </row>
    <row r="279" spans="5:7">
      <c r="E279" s="820"/>
      <c r="F279" s="820"/>
      <c r="G279" s="820"/>
    </row>
    <row r="280" spans="5:7">
      <c r="E280" s="820"/>
      <c r="F280" s="820"/>
      <c r="G280" s="820"/>
    </row>
    <row r="281" spans="5:7">
      <c r="E281" s="820"/>
      <c r="F281" s="820"/>
      <c r="G281" s="820"/>
    </row>
    <row r="282" spans="5:7">
      <c r="E282" s="820"/>
      <c r="F282" s="820"/>
      <c r="G282" s="820"/>
    </row>
    <row r="283" spans="5:7">
      <c r="E283" s="820"/>
      <c r="F283" s="820"/>
      <c r="G283" s="820"/>
    </row>
    <row r="284" spans="5:7">
      <c r="E284" s="820"/>
      <c r="F284" s="820"/>
      <c r="G284" s="820"/>
    </row>
    <row r="285" spans="5:7">
      <c r="E285" s="820"/>
      <c r="F285" s="820"/>
      <c r="G285" s="820"/>
    </row>
    <row r="286" spans="5:7">
      <c r="E286" s="820"/>
      <c r="F286" s="820"/>
      <c r="G286" s="820"/>
    </row>
    <row r="287" spans="5:7">
      <c r="E287" s="820"/>
      <c r="F287" s="820"/>
      <c r="G287" s="820"/>
    </row>
    <row r="288" spans="5:7">
      <c r="E288" s="820"/>
      <c r="F288" s="820"/>
      <c r="G288" s="820"/>
    </row>
    <row r="289" spans="5:7">
      <c r="E289" s="820"/>
      <c r="F289" s="820"/>
      <c r="G289" s="820"/>
    </row>
    <row r="290" spans="5:7">
      <c r="E290" s="820"/>
      <c r="F290" s="820"/>
      <c r="G290" s="820"/>
    </row>
    <row r="291" spans="5:7">
      <c r="E291" s="820"/>
      <c r="F291" s="820"/>
      <c r="G291" s="820"/>
    </row>
    <row r="292" spans="5:7">
      <c r="E292" s="820"/>
      <c r="F292" s="820"/>
      <c r="G292" s="820"/>
    </row>
    <row r="293" spans="5:7">
      <c r="E293" s="820"/>
      <c r="F293" s="820"/>
      <c r="G293" s="820"/>
    </row>
    <row r="294" spans="5:7">
      <c r="E294" s="820"/>
      <c r="F294" s="820"/>
      <c r="G294" s="820"/>
    </row>
    <row r="295" spans="5:7">
      <c r="E295" s="820"/>
      <c r="F295" s="820"/>
      <c r="G295" s="820"/>
    </row>
    <row r="296" spans="5:7">
      <c r="E296" s="820"/>
      <c r="F296" s="820"/>
      <c r="G296" s="820"/>
    </row>
    <row r="297" spans="5:7">
      <c r="E297" s="820"/>
      <c r="F297" s="820"/>
      <c r="G297" s="820"/>
    </row>
    <row r="298" spans="5:7">
      <c r="E298" s="820"/>
      <c r="F298" s="820"/>
      <c r="G298" s="820"/>
    </row>
    <row r="299" spans="5:7">
      <c r="E299" s="820"/>
      <c r="F299" s="820"/>
      <c r="G299" s="820"/>
    </row>
    <row r="300" spans="5:7">
      <c r="E300" s="820"/>
      <c r="F300" s="820"/>
      <c r="G300" s="820"/>
    </row>
    <row r="301" spans="5:7">
      <c r="E301" s="820"/>
      <c r="F301" s="820"/>
      <c r="G301" s="820"/>
    </row>
    <row r="302" spans="5:7">
      <c r="E302" s="820"/>
      <c r="F302" s="820"/>
      <c r="G302" s="820"/>
    </row>
    <row r="303" spans="5:7">
      <c r="E303" s="820"/>
      <c r="F303" s="820"/>
      <c r="G303" s="820"/>
    </row>
    <row r="304" spans="5:7">
      <c r="E304" s="820"/>
      <c r="F304" s="820"/>
      <c r="G304" s="820"/>
    </row>
    <row r="305" spans="5:7">
      <c r="E305" s="820"/>
      <c r="F305" s="820"/>
      <c r="G305" s="820"/>
    </row>
    <row r="306" spans="5:7">
      <c r="E306" s="820"/>
      <c r="F306" s="820"/>
      <c r="G306" s="820"/>
    </row>
    <row r="307" spans="5:7">
      <c r="E307" s="820"/>
      <c r="F307" s="820"/>
      <c r="G307" s="820"/>
    </row>
    <row r="308" spans="5:7">
      <c r="E308" s="820"/>
      <c r="F308" s="820"/>
      <c r="G308" s="820"/>
    </row>
    <row r="309" spans="5:7">
      <c r="E309" s="820"/>
      <c r="F309" s="820"/>
      <c r="G309" s="820"/>
    </row>
    <row r="310" spans="5:7">
      <c r="E310" s="820"/>
      <c r="F310" s="820"/>
      <c r="G310" s="820"/>
    </row>
    <row r="311" spans="5:7">
      <c r="E311" s="820"/>
      <c r="F311" s="820"/>
      <c r="G311" s="820"/>
    </row>
    <row r="312" spans="5:7">
      <c r="E312" s="820"/>
      <c r="F312" s="820"/>
      <c r="G312" s="820"/>
    </row>
    <row r="313" spans="5:7">
      <c r="E313" s="820"/>
      <c r="F313" s="820"/>
      <c r="G313" s="820"/>
    </row>
    <row r="314" spans="5:7">
      <c r="E314" s="820"/>
      <c r="F314" s="820"/>
      <c r="G314" s="820"/>
    </row>
    <row r="315" spans="5:7">
      <c r="E315" s="820"/>
      <c r="F315" s="820"/>
      <c r="G315" s="820"/>
    </row>
    <row r="316" spans="5:7">
      <c r="E316" s="820"/>
      <c r="F316" s="820"/>
      <c r="G316" s="820"/>
    </row>
    <row r="317" spans="5:7">
      <c r="E317" s="820"/>
      <c r="F317" s="820"/>
      <c r="G317" s="820"/>
    </row>
    <row r="318" spans="5:7">
      <c r="E318" s="820"/>
      <c r="F318" s="820"/>
      <c r="G318" s="820"/>
    </row>
    <row r="319" spans="5:7">
      <c r="E319" s="820"/>
      <c r="F319" s="820"/>
      <c r="G319" s="820"/>
    </row>
    <row r="320" spans="5:7">
      <c r="E320" s="820"/>
      <c r="F320" s="820"/>
      <c r="G320" s="820"/>
    </row>
    <row r="321" spans="5:7">
      <c r="E321" s="820"/>
      <c r="F321" s="820"/>
      <c r="G321" s="820"/>
    </row>
    <row r="322" spans="5:7">
      <c r="E322" s="820"/>
      <c r="F322" s="820"/>
      <c r="G322" s="820"/>
    </row>
    <row r="323" spans="5:7">
      <c r="E323" s="820"/>
      <c r="F323" s="820"/>
      <c r="G323" s="820"/>
    </row>
    <row r="324" spans="5:7">
      <c r="E324" s="820"/>
      <c r="F324" s="820"/>
      <c r="G324" s="820"/>
    </row>
    <row r="325" spans="5:7">
      <c r="E325" s="820"/>
      <c r="F325" s="820"/>
      <c r="G325" s="820"/>
    </row>
    <row r="326" spans="5:7">
      <c r="E326" s="820"/>
      <c r="F326" s="820"/>
      <c r="G326" s="820"/>
    </row>
    <row r="327" spans="5:7">
      <c r="E327" s="820"/>
      <c r="F327" s="820"/>
      <c r="G327" s="820"/>
    </row>
    <row r="328" spans="5:7">
      <c r="E328" s="820"/>
      <c r="F328" s="820"/>
      <c r="G328" s="820"/>
    </row>
    <row r="329" spans="5:7">
      <c r="E329" s="820"/>
      <c r="F329" s="820"/>
      <c r="G329" s="820"/>
    </row>
    <row r="330" spans="5:7">
      <c r="E330" s="820"/>
      <c r="F330" s="820"/>
      <c r="G330" s="820"/>
    </row>
    <row r="331" spans="5:7">
      <c r="E331" s="820"/>
      <c r="F331" s="820"/>
      <c r="G331" s="820"/>
    </row>
    <row r="332" spans="5:7">
      <c r="E332" s="820"/>
      <c r="F332" s="820"/>
      <c r="G332" s="820"/>
    </row>
    <row r="333" spans="5:7">
      <c r="E333" s="820"/>
      <c r="F333" s="820"/>
      <c r="G333" s="820"/>
    </row>
    <row r="334" spans="5:7">
      <c r="E334" s="820"/>
      <c r="F334" s="820"/>
      <c r="G334" s="820"/>
    </row>
    <row r="335" spans="5:7">
      <c r="E335" s="820"/>
      <c r="F335" s="820"/>
      <c r="G335" s="820"/>
    </row>
    <row r="336" spans="5:7">
      <c r="E336" s="820"/>
      <c r="F336" s="820"/>
      <c r="G336" s="820"/>
    </row>
    <row r="337" spans="5:7">
      <c r="E337" s="820"/>
      <c r="F337" s="820"/>
      <c r="G337" s="820"/>
    </row>
    <row r="338" spans="5:7">
      <c r="E338" s="820"/>
      <c r="F338" s="820"/>
      <c r="G338" s="820"/>
    </row>
    <row r="339" spans="5:7">
      <c r="E339" s="820"/>
      <c r="F339" s="820"/>
      <c r="G339" s="820"/>
    </row>
    <row r="340" spans="5:7">
      <c r="E340" s="820"/>
      <c r="F340" s="820"/>
      <c r="G340" s="820"/>
    </row>
    <row r="341" spans="5:7">
      <c r="E341" s="820"/>
      <c r="F341" s="820"/>
      <c r="G341" s="820"/>
    </row>
    <row r="342" spans="5:7">
      <c r="E342" s="820"/>
      <c r="F342" s="820"/>
      <c r="G342" s="820"/>
    </row>
    <row r="343" spans="5:7">
      <c r="E343" s="820"/>
      <c r="F343" s="820"/>
      <c r="G343" s="820"/>
    </row>
    <row r="344" spans="5:7">
      <c r="E344" s="820"/>
      <c r="F344" s="820"/>
      <c r="G344" s="820"/>
    </row>
    <row r="345" spans="5:7">
      <c r="E345" s="820"/>
      <c r="F345" s="820"/>
      <c r="G345" s="820"/>
    </row>
    <row r="346" spans="5:7">
      <c r="E346" s="820"/>
      <c r="F346" s="820"/>
      <c r="G346" s="820"/>
    </row>
    <row r="347" spans="5:7">
      <c r="E347" s="820"/>
      <c r="F347" s="820"/>
      <c r="G347" s="820"/>
    </row>
    <row r="348" spans="5:7">
      <c r="E348" s="820"/>
      <c r="F348" s="820"/>
      <c r="G348" s="820"/>
    </row>
    <row r="349" spans="5:7">
      <c r="E349" s="820"/>
      <c r="F349" s="820"/>
      <c r="G349" s="820"/>
    </row>
    <row r="350" spans="5:7">
      <c r="E350" s="820"/>
      <c r="F350" s="820"/>
      <c r="G350" s="820"/>
    </row>
    <row r="351" spans="5:7">
      <c r="E351" s="820"/>
      <c r="F351" s="820"/>
      <c r="G351" s="820"/>
    </row>
    <row r="352" spans="5:7">
      <c r="E352" s="820"/>
      <c r="F352" s="820"/>
      <c r="G352" s="820"/>
    </row>
    <row r="353" spans="5:7">
      <c r="E353" s="820"/>
      <c r="F353" s="820"/>
      <c r="G353" s="820"/>
    </row>
    <row r="354" spans="5:7">
      <c r="E354" s="820"/>
      <c r="F354" s="820"/>
      <c r="G354" s="820"/>
    </row>
    <row r="355" spans="5:7">
      <c r="E355" s="820"/>
      <c r="F355" s="820"/>
      <c r="G355" s="820"/>
    </row>
    <row r="356" spans="5:7">
      <c r="E356" s="820"/>
      <c r="F356" s="820"/>
      <c r="G356" s="820"/>
    </row>
    <row r="357" spans="5:7">
      <c r="E357" s="820"/>
      <c r="F357" s="820"/>
      <c r="G357" s="820"/>
    </row>
    <row r="358" spans="5:7">
      <c r="E358" s="820"/>
      <c r="F358" s="820"/>
      <c r="G358" s="820"/>
    </row>
    <row r="359" spans="5:7">
      <c r="E359" s="820"/>
      <c r="F359" s="820"/>
      <c r="G359" s="820"/>
    </row>
    <row r="360" spans="5:7">
      <c r="E360" s="820"/>
      <c r="F360" s="820"/>
      <c r="G360" s="820"/>
    </row>
    <row r="361" spans="5:7">
      <c r="E361" s="820"/>
      <c r="F361" s="820"/>
      <c r="G361" s="820"/>
    </row>
    <row r="362" spans="5:7">
      <c r="E362" s="820"/>
      <c r="F362" s="820"/>
      <c r="G362" s="820"/>
    </row>
    <row r="363" spans="5:7">
      <c r="E363" s="820"/>
      <c r="F363" s="820"/>
      <c r="G363" s="820"/>
    </row>
    <row r="364" spans="5:7">
      <c r="E364" s="820"/>
      <c r="F364" s="820"/>
      <c r="G364" s="820"/>
    </row>
    <row r="365" spans="5:7">
      <c r="E365" s="820"/>
      <c r="F365" s="820"/>
      <c r="G365" s="820"/>
    </row>
    <row r="366" spans="5:7">
      <c r="E366" s="820"/>
      <c r="F366" s="820"/>
      <c r="G366" s="820"/>
    </row>
    <row r="367" spans="5:7">
      <c r="E367" s="820"/>
      <c r="F367" s="820"/>
      <c r="G367" s="820"/>
    </row>
    <row r="368" spans="5:7">
      <c r="E368" s="820"/>
      <c r="F368" s="820"/>
      <c r="G368" s="820"/>
    </row>
    <row r="369" spans="5:7">
      <c r="E369" s="820"/>
      <c r="F369" s="820"/>
      <c r="G369" s="820"/>
    </row>
    <row r="370" spans="5:7">
      <c r="E370" s="820"/>
      <c r="F370" s="820"/>
      <c r="G370" s="820"/>
    </row>
    <row r="371" spans="5:7">
      <c r="E371" s="820"/>
      <c r="F371" s="820"/>
      <c r="G371" s="820"/>
    </row>
    <row r="372" spans="5:7">
      <c r="E372" s="820"/>
      <c r="F372" s="820"/>
      <c r="G372" s="820"/>
    </row>
    <row r="373" spans="5:7">
      <c r="E373" s="820"/>
      <c r="F373" s="820"/>
      <c r="G373" s="820"/>
    </row>
    <row r="374" spans="5:7">
      <c r="E374" s="820"/>
      <c r="F374" s="820"/>
      <c r="G374" s="820"/>
    </row>
    <row r="375" spans="5:7">
      <c r="E375" s="820"/>
      <c r="F375" s="820"/>
      <c r="G375" s="820"/>
    </row>
    <row r="376" spans="5:7">
      <c r="E376" s="820"/>
      <c r="F376" s="820"/>
      <c r="G376" s="820"/>
    </row>
    <row r="377" spans="5:7">
      <c r="E377" s="820"/>
      <c r="F377" s="820"/>
      <c r="G377" s="820"/>
    </row>
    <row r="378" spans="5:7">
      <c r="E378" s="820"/>
      <c r="F378" s="820"/>
      <c r="G378" s="820"/>
    </row>
    <row r="379" spans="5:7">
      <c r="E379" s="820"/>
      <c r="F379" s="820"/>
      <c r="G379" s="820"/>
    </row>
    <row r="380" spans="5:7">
      <c r="E380" s="820"/>
      <c r="F380" s="820"/>
      <c r="G380" s="820"/>
    </row>
    <row r="381" spans="5:7">
      <c r="E381" s="820"/>
      <c r="F381" s="820"/>
      <c r="G381" s="820"/>
    </row>
    <row r="382" spans="5:7">
      <c r="E382" s="820"/>
      <c r="F382" s="820"/>
      <c r="G382" s="820"/>
    </row>
    <row r="383" spans="5:7">
      <c r="E383" s="820"/>
      <c r="F383" s="820"/>
      <c r="G383" s="820"/>
    </row>
    <row r="384" spans="5:7">
      <c r="E384" s="820"/>
      <c r="F384" s="820"/>
      <c r="G384" s="820"/>
    </row>
    <row r="385" spans="5:7">
      <c r="E385" s="820"/>
      <c r="F385" s="820"/>
      <c r="G385" s="820"/>
    </row>
    <row r="386" spans="5:7">
      <c r="E386" s="820"/>
      <c r="F386" s="820"/>
      <c r="G386" s="820"/>
    </row>
    <row r="387" spans="5:7">
      <c r="E387" s="820"/>
      <c r="F387" s="820"/>
      <c r="G387" s="820"/>
    </row>
    <row r="388" spans="5:7">
      <c r="E388" s="820"/>
      <c r="F388" s="820"/>
      <c r="G388" s="820"/>
    </row>
    <row r="389" spans="5:7">
      <c r="E389" s="820"/>
      <c r="F389" s="820"/>
      <c r="G389" s="820"/>
    </row>
    <row r="390" spans="5:7">
      <c r="E390" s="820"/>
      <c r="F390" s="820"/>
      <c r="G390" s="820"/>
    </row>
    <row r="391" spans="5:7">
      <c r="E391" s="820"/>
      <c r="F391" s="820"/>
      <c r="G391" s="820"/>
    </row>
    <row r="392" spans="5:7">
      <c r="E392" s="820"/>
      <c r="F392" s="820"/>
      <c r="G392" s="820"/>
    </row>
    <row r="393" spans="5:7">
      <c r="E393" s="820"/>
      <c r="F393" s="820"/>
      <c r="G393" s="820"/>
    </row>
    <row r="394" spans="5:7">
      <c r="E394" s="820"/>
      <c r="F394" s="820"/>
      <c r="G394" s="820"/>
    </row>
    <row r="395" spans="5:7">
      <c r="E395" s="820"/>
      <c r="F395" s="820"/>
      <c r="G395" s="820"/>
    </row>
    <row r="396" spans="5:7">
      <c r="E396" s="820"/>
      <c r="F396" s="820"/>
      <c r="G396" s="820"/>
    </row>
    <row r="397" spans="5:7">
      <c r="E397" s="820"/>
      <c r="F397" s="820"/>
      <c r="G397" s="820"/>
    </row>
    <row r="398" spans="5:7">
      <c r="E398" s="820"/>
      <c r="F398" s="820"/>
      <c r="G398" s="820"/>
    </row>
    <row r="399" spans="5:7">
      <c r="E399" s="820"/>
      <c r="F399" s="820"/>
      <c r="G399" s="820"/>
    </row>
    <row r="400" spans="5:7">
      <c r="E400" s="820"/>
      <c r="F400" s="820"/>
      <c r="G400" s="820"/>
    </row>
    <row r="401" spans="5:7">
      <c r="E401" s="820"/>
      <c r="F401" s="820"/>
      <c r="G401" s="820"/>
    </row>
    <row r="402" spans="5:7">
      <c r="E402" s="820"/>
      <c r="F402" s="820"/>
      <c r="G402" s="820"/>
    </row>
    <row r="403" spans="5:7">
      <c r="E403" s="820"/>
      <c r="F403" s="820"/>
      <c r="G403" s="820"/>
    </row>
    <row r="404" spans="5:7">
      <c r="E404" s="820"/>
      <c r="F404" s="820"/>
      <c r="G404" s="820"/>
    </row>
    <row r="405" spans="5:7">
      <c r="E405" s="820"/>
      <c r="F405" s="820"/>
      <c r="G405" s="820"/>
    </row>
    <row r="406" spans="5:7">
      <c r="E406" s="820"/>
      <c r="F406" s="820"/>
      <c r="G406" s="820"/>
    </row>
    <row r="407" spans="5:7">
      <c r="E407" s="820"/>
      <c r="F407" s="820"/>
      <c r="G407" s="820"/>
    </row>
    <row r="408" spans="5:7">
      <c r="E408" s="820"/>
      <c r="F408" s="820"/>
      <c r="G408" s="820"/>
    </row>
    <row r="409" spans="5:7">
      <c r="E409" s="820"/>
      <c r="F409" s="820"/>
      <c r="G409" s="820"/>
    </row>
    <row r="410" spans="5:7">
      <c r="E410" s="820"/>
      <c r="F410" s="820"/>
      <c r="G410" s="820"/>
    </row>
    <row r="411" spans="5:7">
      <c r="E411" s="820"/>
      <c r="F411" s="820"/>
      <c r="G411" s="820"/>
    </row>
    <row r="412" spans="5:7">
      <c r="E412" s="820"/>
      <c r="F412" s="820"/>
      <c r="G412" s="820"/>
    </row>
    <row r="413" spans="5:7">
      <c r="E413" s="820"/>
      <c r="F413" s="820"/>
      <c r="G413" s="820"/>
    </row>
    <row r="414" spans="5:7">
      <c r="E414" s="820"/>
      <c r="F414" s="820"/>
      <c r="G414" s="820"/>
    </row>
    <row r="415" spans="5:7">
      <c r="E415" s="820"/>
      <c r="F415" s="820"/>
      <c r="G415" s="820"/>
    </row>
    <row r="416" spans="5:7">
      <c r="E416" s="820"/>
      <c r="F416" s="820"/>
      <c r="G416" s="820"/>
    </row>
    <row r="417" spans="5:7">
      <c r="E417" s="820"/>
      <c r="F417" s="820"/>
      <c r="G417" s="820"/>
    </row>
    <row r="418" spans="5:7">
      <c r="E418" s="820"/>
      <c r="F418" s="820"/>
      <c r="G418" s="820"/>
    </row>
    <row r="419" spans="5:7">
      <c r="E419" s="820"/>
      <c r="F419" s="820"/>
      <c r="G419" s="820"/>
    </row>
    <row r="420" spans="5:7">
      <c r="E420" s="820"/>
      <c r="F420" s="820"/>
      <c r="G420" s="820"/>
    </row>
    <row r="421" spans="5:7">
      <c r="E421" s="820"/>
      <c r="F421" s="820"/>
      <c r="G421" s="820"/>
    </row>
    <row r="422" spans="5:7">
      <c r="E422" s="820"/>
      <c r="F422" s="820"/>
      <c r="G422" s="820"/>
    </row>
    <row r="423" spans="5:7">
      <c r="E423" s="820"/>
      <c r="F423" s="820"/>
      <c r="G423" s="820"/>
    </row>
    <row r="424" spans="5:7">
      <c r="E424" s="820"/>
      <c r="F424" s="820"/>
      <c r="G424" s="820"/>
    </row>
    <row r="425" spans="5:7">
      <c r="E425" s="820"/>
      <c r="F425" s="820"/>
      <c r="G425" s="820"/>
    </row>
    <row r="426" spans="5:7">
      <c r="E426" s="820"/>
      <c r="F426" s="820"/>
      <c r="G426" s="820"/>
    </row>
    <row r="427" spans="5:7">
      <c r="E427" s="820"/>
      <c r="F427" s="820"/>
      <c r="G427" s="820"/>
    </row>
    <row r="428" spans="5:7">
      <c r="E428" s="820"/>
      <c r="F428" s="820"/>
      <c r="G428" s="820"/>
    </row>
    <row r="429" spans="5:7">
      <c r="E429" s="820"/>
      <c r="F429" s="820"/>
      <c r="G429" s="820"/>
    </row>
    <row r="430" spans="5:7">
      <c r="E430" s="820"/>
      <c r="F430" s="820"/>
      <c r="G430" s="820"/>
    </row>
    <row r="431" spans="5:7">
      <c r="E431" s="820"/>
      <c r="F431" s="820"/>
      <c r="G431" s="820"/>
    </row>
    <row r="432" spans="5:7">
      <c r="E432" s="820"/>
      <c r="F432" s="820"/>
      <c r="G432" s="820"/>
    </row>
    <row r="433" spans="5:7">
      <c r="E433" s="820"/>
      <c r="F433" s="820"/>
      <c r="G433" s="820"/>
    </row>
    <row r="434" spans="5:7">
      <c r="E434" s="820"/>
      <c r="F434" s="820"/>
      <c r="G434" s="820"/>
    </row>
    <row r="435" spans="5:7">
      <c r="E435" s="820"/>
      <c r="F435" s="820"/>
      <c r="G435" s="820"/>
    </row>
    <row r="436" spans="5:7">
      <c r="E436" s="820"/>
      <c r="F436" s="820"/>
      <c r="G436" s="820"/>
    </row>
    <row r="437" spans="5:7">
      <c r="E437" s="820"/>
      <c r="F437" s="820"/>
      <c r="G437" s="820"/>
    </row>
    <row r="438" spans="5:7">
      <c r="E438" s="820"/>
      <c r="F438" s="820"/>
      <c r="G438" s="820"/>
    </row>
    <row r="439" spans="5:7">
      <c r="E439" s="820"/>
      <c r="F439" s="820"/>
      <c r="G439" s="820"/>
    </row>
    <row r="440" spans="5:7">
      <c r="E440" s="820"/>
      <c r="F440" s="820"/>
      <c r="G440" s="820"/>
    </row>
    <row r="441" spans="5:7">
      <c r="E441" s="820"/>
      <c r="F441" s="820"/>
      <c r="G441" s="820"/>
    </row>
    <row r="442" spans="5:7">
      <c r="E442" s="820"/>
      <c r="F442" s="820"/>
      <c r="G442" s="820"/>
    </row>
    <row r="443" spans="5:7">
      <c r="E443" s="820"/>
      <c r="F443" s="820"/>
      <c r="G443" s="820"/>
    </row>
    <row r="444" spans="5:7">
      <c r="E444" s="820"/>
      <c r="F444" s="820"/>
      <c r="G444" s="820"/>
    </row>
    <row r="445" spans="5:7">
      <c r="E445" s="820"/>
      <c r="F445" s="820"/>
      <c r="G445" s="820"/>
    </row>
    <row r="446" spans="5:7">
      <c r="E446" s="820"/>
      <c r="F446" s="820"/>
      <c r="G446" s="820"/>
    </row>
    <row r="447" spans="5:7">
      <c r="E447" s="820"/>
      <c r="F447" s="820"/>
      <c r="G447" s="820"/>
    </row>
    <row r="448" spans="5:7">
      <c r="E448" s="820"/>
      <c r="F448" s="820"/>
      <c r="G448" s="820"/>
    </row>
    <row r="449" spans="5:7">
      <c r="E449" s="820"/>
      <c r="F449" s="820"/>
      <c r="G449" s="820"/>
    </row>
    <row r="450" spans="5:7">
      <c r="E450" s="820"/>
      <c r="F450" s="820"/>
      <c r="G450" s="820"/>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2"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A3" sqref="A3:H3"/>
    </sheetView>
  </sheetViews>
  <sheetFormatPr defaultColWidth="8.81640625" defaultRowHeight="15.6"/>
  <cols>
    <col min="1" max="1" width="8.81640625" style="231"/>
    <col min="2" max="2" width="51.81640625" style="231" customWidth="1"/>
    <col min="3" max="3" width="15.6328125" style="231" customWidth="1"/>
    <col min="4" max="4" width="14.81640625" style="231" bestFit="1" customWidth="1"/>
    <col min="5" max="5" width="1.6328125" style="231" customWidth="1"/>
    <col min="6" max="6" width="15.90625" style="231" customWidth="1"/>
    <col min="7" max="7" width="1.453125" style="231" customWidth="1"/>
    <col min="8" max="8" width="8.81640625" style="231"/>
    <col min="9" max="9" width="35.36328125" style="231" customWidth="1"/>
    <col min="10" max="10" width="16.08984375" style="231" customWidth="1"/>
    <col min="11" max="11" width="9.08984375" style="231" bestFit="1" customWidth="1"/>
    <col min="12" max="12" width="10.08984375" style="231" bestFit="1" customWidth="1"/>
    <col min="13" max="13" width="10.81640625" style="231" customWidth="1"/>
    <col min="14" max="257" width="8.81640625" style="231"/>
    <col min="258" max="258" width="35.1796875" style="231" customWidth="1"/>
    <col min="259" max="259" width="15.6328125" style="231" customWidth="1"/>
    <col min="260" max="260" width="14.81640625" style="231" bestFit="1" customWidth="1"/>
    <col min="261" max="261" width="1.6328125" style="231" customWidth="1"/>
    <col min="262" max="262" width="15.90625" style="231" customWidth="1"/>
    <col min="263" max="263" width="1.453125" style="231" customWidth="1"/>
    <col min="264" max="264" width="8.81640625" style="231"/>
    <col min="265" max="265" width="35.36328125" style="231" customWidth="1"/>
    <col min="266" max="266" width="16.08984375" style="231" customWidth="1"/>
    <col min="267" max="267" width="9.08984375" style="231" bestFit="1" customWidth="1"/>
    <col min="268" max="268" width="10.08984375" style="231" bestFit="1" customWidth="1"/>
    <col min="269" max="269" width="10.81640625" style="231" customWidth="1"/>
    <col min="270" max="513" width="8.81640625" style="231"/>
    <col min="514" max="514" width="35.1796875" style="231" customWidth="1"/>
    <col min="515" max="515" width="15.6328125" style="231" customWidth="1"/>
    <col min="516" max="516" width="14.81640625" style="231" bestFit="1" customWidth="1"/>
    <col min="517" max="517" width="1.6328125" style="231" customWidth="1"/>
    <col min="518" max="518" width="15.90625" style="231" customWidth="1"/>
    <col min="519" max="519" width="1.453125" style="231" customWidth="1"/>
    <col min="520" max="520" width="8.81640625" style="231"/>
    <col min="521" max="521" width="35.36328125" style="231" customWidth="1"/>
    <col min="522" max="522" width="16.08984375" style="231" customWidth="1"/>
    <col min="523" max="523" width="9.08984375" style="231" bestFit="1" customWidth="1"/>
    <col min="524" max="524" width="10.08984375" style="231" bestFit="1" customWidth="1"/>
    <col min="525" max="525" width="10.81640625" style="231" customWidth="1"/>
    <col min="526" max="769" width="8.81640625" style="231"/>
    <col min="770" max="770" width="35.1796875" style="231" customWidth="1"/>
    <col min="771" max="771" width="15.6328125" style="231" customWidth="1"/>
    <col min="772" max="772" width="14.81640625" style="231" bestFit="1" customWidth="1"/>
    <col min="773" max="773" width="1.6328125" style="231" customWidth="1"/>
    <col min="774" max="774" width="15.90625" style="231" customWidth="1"/>
    <col min="775" max="775" width="1.453125" style="231" customWidth="1"/>
    <col min="776" max="776" width="8.81640625" style="231"/>
    <col min="777" max="777" width="35.36328125" style="231" customWidth="1"/>
    <col min="778" max="778" width="16.08984375" style="231" customWidth="1"/>
    <col min="779" max="779" width="9.08984375" style="231" bestFit="1" customWidth="1"/>
    <col min="780" max="780" width="10.08984375" style="231" bestFit="1" customWidth="1"/>
    <col min="781" max="781" width="10.81640625" style="231" customWidth="1"/>
    <col min="782" max="1025" width="8.81640625" style="231"/>
    <col min="1026" max="1026" width="35.1796875" style="231" customWidth="1"/>
    <col min="1027" max="1027" width="15.6328125" style="231" customWidth="1"/>
    <col min="1028" max="1028" width="14.81640625" style="231" bestFit="1" customWidth="1"/>
    <col min="1029" max="1029" width="1.6328125" style="231" customWidth="1"/>
    <col min="1030" max="1030" width="15.90625" style="231" customWidth="1"/>
    <col min="1031" max="1031" width="1.453125" style="231" customWidth="1"/>
    <col min="1032" max="1032" width="8.81640625" style="231"/>
    <col min="1033" max="1033" width="35.36328125" style="231" customWidth="1"/>
    <col min="1034" max="1034" width="16.08984375" style="231" customWidth="1"/>
    <col min="1035" max="1035" width="9.08984375" style="231" bestFit="1" customWidth="1"/>
    <col min="1036" max="1036" width="10.08984375" style="231" bestFit="1" customWidth="1"/>
    <col min="1037" max="1037" width="10.81640625" style="231" customWidth="1"/>
    <col min="1038" max="1281" width="8.81640625" style="231"/>
    <col min="1282" max="1282" width="35.1796875" style="231" customWidth="1"/>
    <col min="1283" max="1283" width="15.6328125" style="231" customWidth="1"/>
    <col min="1284" max="1284" width="14.81640625" style="231" bestFit="1" customWidth="1"/>
    <col min="1285" max="1285" width="1.6328125" style="231" customWidth="1"/>
    <col min="1286" max="1286" width="15.90625" style="231" customWidth="1"/>
    <col min="1287" max="1287" width="1.453125" style="231" customWidth="1"/>
    <col min="1288" max="1288" width="8.81640625" style="231"/>
    <col min="1289" max="1289" width="35.36328125" style="231" customWidth="1"/>
    <col min="1290" max="1290" width="16.08984375" style="231" customWidth="1"/>
    <col min="1291" max="1291" width="9.08984375" style="231" bestFit="1" customWidth="1"/>
    <col min="1292" max="1292" width="10.08984375" style="231" bestFit="1" customWidth="1"/>
    <col min="1293" max="1293" width="10.81640625" style="231" customWidth="1"/>
    <col min="1294" max="1537" width="8.81640625" style="231"/>
    <col min="1538" max="1538" width="35.1796875" style="231" customWidth="1"/>
    <col min="1539" max="1539" width="15.6328125" style="231" customWidth="1"/>
    <col min="1540" max="1540" width="14.81640625" style="231" bestFit="1" customWidth="1"/>
    <col min="1541" max="1541" width="1.6328125" style="231" customWidth="1"/>
    <col min="1542" max="1542" width="15.90625" style="231" customWidth="1"/>
    <col min="1543" max="1543" width="1.453125" style="231" customWidth="1"/>
    <col min="1544" max="1544" width="8.81640625" style="231"/>
    <col min="1545" max="1545" width="35.36328125" style="231" customWidth="1"/>
    <col min="1546" max="1546" width="16.08984375" style="231" customWidth="1"/>
    <col min="1547" max="1547" width="9.08984375" style="231" bestFit="1" customWidth="1"/>
    <col min="1548" max="1548" width="10.08984375" style="231" bestFit="1" customWidth="1"/>
    <col min="1549" max="1549" width="10.81640625" style="231" customWidth="1"/>
    <col min="1550" max="1793" width="8.81640625" style="231"/>
    <col min="1794" max="1794" width="35.1796875" style="231" customWidth="1"/>
    <col min="1795" max="1795" width="15.6328125" style="231" customWidth="1"/>
    <col min="1796" max="1796" width="14.81640625" style="231" bestFit="1" customWidth="1"/>
    <col min="1797" max="1797" width="1.6328125" style="231" customWidth="1"/>
    <col min="1798" max="1798" width="15.90625" style="231" customWidth="1"/>
    <col min="1799" max="1799" width="1.453125" style="231" customWidth="1"/>
    <col min="1800" max="1800" width="8.81640625" style="231"/>
    <col min="1801" max="1801" width="35.36328125" style="231" customWidth="1"/>
    <col min="1802" max="1802" width="16.08984375" style="231" customWidth="1"/>
    <col min="1803" max="1803" width="9.08984375" style="231" bestFit="1" customWidth="1"/>
    <col min="1804" max="1804" width="10.08984375" style="231" bestFit="1" customWidth="1"/>
    <col min="1805" max="1805" width="10.81640625" style="231" customWidth="1"/>
    <col min="1806" max="2049" width="8.81640625" style="231"/>
    <col min="2050" max="2050" width="35.1796875" style="231" customWidth="1"/>
    <col min="2051" max="2051" width="15.6328125" style="231" customWidth="1"/>
    <col min="2052" max="2052" width="14.81640625" style="231" bestFit="1" customWidth="1"/>
    <col min="2053" max="2053" width="1.6328125" style="231" customWidth="1"/>
    <col min="2054" max="2054" width="15.90625" style="231" customWidth="1"/>
    <col min="2055" max="2055" width="1.453125" style="231" customWidth="1"/>
    <col min="2056" max="2056" width="8.81640625" style="231"/>
    <col min="2057" max="2057" width="35.36328125" style="231" customWidth="1"/>
    <col min="2058" max="2058" width="16.08984375" style="231" customWidth="1"/>
    <col min="2059" max="2059" width="9.08984375" style="231" bestFit="1" customWidth="1"/>
    <col min="2060" max="2060" width="10.08984375" style="231" bestFit="1" customWidth="1"/>
    <col min="2061" max="2061" width="10.81640625" style="231" customWidth="1"/>
    <col min="2062" max="2305" width="8.81640625" style="231"/>
    <col min="2306" max="2306" width="35.1796875" style="231" customWidth="1"/>
    <col min="2307" max="2307" width="15.6328125" style="231" customWidth="1"/>
    <col min="2308" max="2308" width="14.81640625" style="231" bestFit="1" customWidth="1"/>
    <col min="2309" max="2309" width="1.6328125" style="231" customWidth="1"/>
    <col min="2310" max="2310" width="15.90625" style="231" customWidth="1"/>
    <col min="2311" max="2311" width="1.453125" style="231" customWidth="1"/>
    <col min="2312" max="2312" width="8.81640625" style="231"/>
    <col min="2313" max="2313" width="35.36328125" style="231" customWidth="1"/>
    <col min="2314" max="2314" width="16.08984375" style="231" customWidth="1"/>
    <col min="2315" max="2315" width="9.08984375" style="231" bestFit="1" customWidth="1"/>
    <col min="2316" max="2316" width="10.08984375" style="231" bestFit="1" customWidth="1"/>
    <col min="2317" max="2317" width="10.81640625" style="231" customWidth="1"/>
    <col min="2318" max="2561" width="8.81640625" style="231"/>
    <col min="2562" max="2562" width="35.1796875" style="231" customWidth="1"/>
    <col min="2563" max="2563" width="15.6328125" style="231" customWidth="1"/>
    <col min="2564" max="2564" width="14.81640625" style="231" bestFit="1" customWidth="1"/>
    <col min="2565" max="2565" width="1.6328125" style="231" customWidth="1"/>
    <col min="2566" max="2566" width="15.90625" style="231" customWidth="1"/>
    <col min="2567" max="2567" width="1.453125" style="231" customWidth="1"/>
    <col min="2568" max="2568" width="8.81640625" style="231"/>
    <col min="2569" max="2569" width="35.36328125" style="231" customWidth="1"/>
    <col min="2570" max="2570" width="16.08984375" style="231" customWidth="1"/>
    <col min="2571" max="2571" width="9.08984375" style="231" bestFit="1" customWidth="1"/>
    <col min="2572" max="2572" width="10.08984375" style="231" bestFit="1" customWidth="1"/>
    <col min="2573" max="2573" width="10.81640625" style="231" customWidth="1"/>
    <col min="2574" max="2817" width="8.81640625" style="231"/>
    <col min="2818" max="2818" width="35.1796875" style="231" customWidth="1"/>
    <col min="2819" max="2819" width="15.6328125" style="231" customWidth="1"/>
    <col min="2820" max="2820" width="14.81640625" style="231" bestFit="1" customWidth="1"/>
    <col min="2821" max="2821" width="1.6328125" style="231" customWidth="1"/>
    <col min="2822" max="2822" width="15.90625" style="231" customWidth="1"/>
    <col min="2823" max="2823" width="1.453125" style="231" customWidth="1"/>
    <col min="2824" max="2824" width="8.81640625" style="231"/>
    <col min="2825" max="2825" width="35.36328125" style="231" customWidth="1"/>
    <col min="2826" max="2826" width="16.08984375" style="231" customWidth="1"/>
    <col min="2827" max="2827" width="9.08984375" style="231" bestFit="1" customWidth="1"/>
    <col min="2828" max="2828" width="10.08984375" style="231" bestFit="1" customWidth="1"/>
    <col min="2829" max="2829" width="10.81640625" style="231" customWidth="1"/>
    <col min="2830" max="3073" width="8.81640625" style="231"/>
    <col min="3074" max="3074" width="35.1796875" style="231" customWidth="1"/>
    <col min="3075" max="3075" width="15.6328125" style="231" customWidth="1"/>
    <col min="3076" max="3076" width="14.81640625" style="231" bestFit="1" customWidth="1"/>
    <col min="3077" max="3077" width="1.6328125" style="231" customWidth="1"/>
    <col min="3078" max="3078" width="15.90625" style="231" customWidth="1"/>
    <col min="3079" max="3079" width="1.453125" style="231" customWidth="1"/>
    <col min="3080" max="3080" width="8.81640625" style="231"/>
    <col min="3081" max="3081" width="35.36328125" style="231" customWidth="1"/>
    <col min="3082" max="3082" width="16.08984375" style="231" customWidth="1"/>
    <col min="3083" max="3083" width="9.08984375" style="231" bestFit="1" customWidth="1"/>
    <col min="3084" max="3084" width="10.08984375" style="231" bestFit="1" customWidth="1"/>
    <col min="3085" max="3085" width="10.81640625" style="231" customWidth="1"/>
    <col min="3086" max="3329" width="8.81640625" style="231"/>
    <col min="3330" max="3330" width="35.1796875" style="231" customWidth="1"/>
    <col min="3331" max="3331" width="15.6328125" style="231" customWidth="1"/>
    <col min="3332" max="3332" width="14.81640625" style="231" bestFit="1" customWidth="1"/>
    <col min="3333" max="3333" width="1.6328125" style="231" customWidth="1"/>
    <col min="3334" max="3334" width="15.90625" style="231" customWidth="1"/>
    <col min="3335" max="3335" width="1.453125" style="231" customWidth="1"/>
    <col min="3336" max="3336" width="8.81640625" style="231"/>
    <col min="3337" max="3337" width="35.36328125" style="231" customWidth="1"/>
    <col min="3338" max="3338" width="16.08984375" style="231" customWidth="1"/>
    <col min="3339" max="3339" width="9.08984375" style="231" bestFit="1" customWidth="1"/>
    <col min="3340" max="3340" width="10.08984375" style="231" bestFit="1" customWidth="1"/>
    <col min="3341" max="3341" width="10.81640625" style="231" customWidth="1"/>
    <col min="3342" max="3585" width="8.81640625" style="231"/>
    <col min="3586" max="3586" width="35.1796875" style="231" customWidth="1"/>
    <col min="3587" max="3587" width="15.6328125" style="231" customWidth="1"/>
    <col min="3588" max="3588" width="14.81640625" style="231" bestFit="1" customWidth="1"/>
    <col min="3589" max="3589" width="1.6328125" style="231" customWidth="1"/>
    <col min="3590" max="3590" width="15.90625" style="231" customWidth="1"/>
    <col min="3591" max="3591" width="1.453125" style="231" customWidth="1"/>
    <col min="3592" max="3592" width="8.81640625" style="231"/>
    <col min="3593" max="3593" width="35.36328125" style="231" customWidth="1"/>
    <col min="3594" max="3594" width="16.08984375" style="231" customWidth="1"/>
    <col min="3595" max="3595" width="9.08984375" style="231" bestFit="1" customWidth="1"/>
    <col min="3596" max="3596" width="10.08984375" style="231" bestFit="1" customWidth="1"/>
    <col min="3597" max="3597" width="10.81640625" style="231" customWidth="1"/>
    <col min="3598" max="3841" width="8.81640625" style="231"/>
    <col min="3842" max="3842" width="35.1796875" style="231" customWidth="1"/>
    <col min="3843" max="3843" width="15.6328125" style="231" customWidth="1"/>
    <col min="3844" max="3844" width="14.81640625" style="231" bestFit="1" customWidth="1"/>
    <col min="3845" max="3845" width="1.6328125" style="231" customWidth="1"/>
    <col min="3846" max="3846" width="15.90625" style="231" customWidth="1"/>
    <col min="3847" max="3847" width="1.453125" style="231" customWidth="1"/>
    <col min="3848" max="3848" width="8.81640625" style="231"/>
    <col min="3849" max="3849" width="35.36328125" style="231" customWidth="1"/>
    <col min="3850" max="3850" width="16.08984375" style="231" customWidth="1"/>
    <col min="3851" max="3851" width="9.08984375" style="231" bestFit="1" customWidth="1"/>
    <col min="3852" max="3852" width="10.08984375" style="231" bestFit="1" customWidth="1"/>
    <col min="3853" max="3853" width="10.81640625" style="231" customWidth="1"/>
    <col min="3854" max="4097" width="8.81640625" style="231"/>
    <col min="4098" max="4098" width="35.1796875" style="231" customWidth="1"/>
    <col min="4099" max="4099" width="15.6328125" style="231" customWidth="1"/>
    <col min="4100" max="4100" width="14.81640625" style="231" bestFit="1" customWidth="1"/>
    <col min="4101" max="4101" width="1.6328125" style="231" customWidth="1"/>
    <col min="4102" max="4102" width="15.90625" style="231" customWidth="1"/>
    <col min="4103" max="4103" width="1.453125" style="231" customWidth="1"/>
    <col min="4104" max="4104" width="8.81640625" style="231"/>
    <col min="4105" max="4105" width="35.36328125" style="231" customWidth="1"/>
    <col min="4106" max="4106" width="16.08984375" style="231" customWidth="1"/>
    <col min="4107" max="4107" width="9.08984375" style="231" bestFit="1" customWidth="1"/>
    <col min="4108" max="4108" width="10.08984375" style="231" bestFit="1" customWidth="1"/>
    <col min="4109" max="4109" width="10.81640625" style="231" customWidth="1"/>
    <col min="4110" max="4353" width="8.81640625" style="231"/>
    <col min="4354" max="4354" width="35.1796875" style="231" customWidth="1"/>
    <col min="4355" max="4355" width="15.6328125" style="231" customWidth="1"/>
    <col min="4356" max="4356" width="14.81640625" style="231" bestFit="1" customWidth="1"/>
    <col min="4357" max="4357" width="1.6328125" style="231" customWidth="1"/>
    <col min="4358" max="4358" width="15.90625" style="231" customWidth="1"/>
    <col min="4359" max="4359" width="1.453125" style="231" customWidth="1"/>
    <col min="4360" max="4360" width="8.81640625" style="231"/>
    <col min="4361" max="4361" width="35.36328125" style="231" customWidth="1"/>
    <col min="4362" max="4362" width="16.08984375" style="231" customWidth="1"/>
    <col min="4363" max="4363" width="9.08984375" style="231" bestFit="1" customWidth="1"/>
    <col min="4364" max="4364" width="10.08984375" style="231" bestFit="1" customWidth="1"/>
    <col min="4365" max="4365" width="10.81640625" style="231" customWidth="1"/>
    <col min="4366" max="4609" width="8.81640625" style="231"/>
    <col min="4610" max="4610" width="35.1796875" style="231" customWidth="1"/>
    <col min="4611" max="4611" width="15.6328125" style="231" customWidth="1"/>
    <col min="4612" max="4612" width="14.81640625" style="231" bestFit="1" customWidth="1"/>
    <col min="4613" max="4613" width="1.6328125" style="231" customWidth="1"/>
    <col min="4614" max="4614" width="15.90625" style="231" customWidth="1"/>
    <col min="4615" max="4615" width="1.453125" style="231" customWidth="1"/>
    <col min="4616" max="4616" width="8.81640625" style="231"/>
    <col min="4617" max="4617" width="35.36328125" style="231" customWidth="1"/>
    <col min="4618" max="4618" width="16.08984375" style="231" customWidth="1"/>
    <col min="4619" max="4619" width="9.08984375" style="231" bestFit="1" customWidth="1"/>
    <col min="4620" max="4620" width="10.08984375" style="231" bestFit="1" customWidth="1"/>
    <col min="4621" max="4621" width="10.81640625" style="231" customWidth="1"/>
    <col min="4622" max="4865" width="8.81640625" style="231"/>
    <col min="4866" max="4866" width="35.1796875" style="231" customWidth="1"/>
    <col min="4867" max="4867" width="15.6328125" style="231" customWidth="1"/>
    <col min="4868" max="4868" width="14.81640625" style="231" bestFit="1" customWidth="1"/>
    <col min="4869" max="4869" width="1.6328125" style="231" customWidth="1"/>
    <col min="4870" max="4870" width="15.90625" style="231" customWidth="1"/>
    <col min="4871" max="4871" width="1.453125" style="231" customWidth="1"/>
    <col min="4872" max="4872" width="8.81640625" style="231"/>
    <col min="4873" max="4873" width="35.36328125" style="231" customWidth="1"/>
    <col min="4874" max="4874" width="16.08984375" style="231" customWidth="1"/>
    <col min="4875" max="4875" width="9.08984375" style="231" bestFit="1" customWidth="1"/>
    <col min="4876" max="4876" width="10.08984375" style="231" bestFit="1" customWidth="1"/>
    <col min="4877" max="4877" width="10.81640625" style="231" customWidth="1"/>
    <col min="4878" max="5121" width="8.81640625" style="231"/>
    <col min="5122" max="5122" width="35.1796875" style="231" customWidth="1"/>
    <col min="5123" max="5123" width="15.6328125" style="231" customWidth="1"/>
    <col min="5124" max="5124" width="14.81640625" style="231" bestFit="1" customWidth="1"/>
    <col min="5125" max="5125" width="1.6328125" style="231" customWidth="1"/>
    <col min="5126" max="5126" width="15.90625" style="231" customWidth="1"/>
    <col min="5127" max="5127" width="1.453125" style="231" customWidth="1"/>
    <col min="5128" max="5128" width="8.81640625" style="231"/>
    <col min="5129" max="5129" width="35.36328125" style="231" customWidth="1"/>
    <col min="5130" max="5130" width="16.08984375" style="231" customWidth="1"/>
    <col min="5131" max="5131" width="9.08984375" style="231" bestFit="1" customWidth="1"/>
    <col min="5132" max="5132" width="10.08984375" style="231" bestFit="1" customWidth="1"/>
    <col min="5133" max="5133" width="10.81640625" style="231" customWidth="1"/>
    <col min="5134" max="5377" width="8.81640625" style="231"/>
    <col min="5378" max="5378" width="35.1796875" style="231" customWidth="1"/>
    <col min="5379" max="5379" width="15.6328125" style="231" customWidth="1"/>
    <col min="5380" max="5380" width="14.81640625" style="231" bestFit="1" customWidth="1"/>
    <col min="5381" max="5381" width="1.6328125" style="231" customWidth="1"/>
    <col min="5382" max="5382" width="15.90625" style="231" customWidth="1"/>
    <col min="5383" max="5383" width="1.453125" style="231" customWidth="1"/>
    <col min="5384" max="5384" width="8.81640625" style="231"/>
    <col min="5385" max="5385" width="35.36328125" style="231" customWidth="1"/>
    <col min="5386" max="5386" width="16.08984375" style="231" customWidth="1"/>
    <col min="5387" max="5387" width="9.08984375" style="231" bestFit="1" customWidth="1"/>
    <col min="5388" max="5388" width="10.08984375" style="231" bestFit="1" customWidth="1"/>
    <col min="5389" max="5389" width="10.81640625" style="231" customWidth="1"/>
    <col min="5390" max="5633" width="8.81640625" style="231"/>
    <col min="5634" max="5634" width="35.1796875" style="231" customWidth="1"/>
    <col min="5635" max="5635" width="15.6328125" style="231" customWidth="1"/>
    <col min="5636" max="5636" width="14.81640625" style="231" bestFit="1" customWidth="1"/>
    <col min="5637" max="5637" width="1.6328125" style="231" customWidth="1"/>
    <col min="5638" max="5638" width="15.90625" style="231" customWidth="1"/>
    <col min="5639" max="5639" width="1.453125" style="231" customWidth="1"/>
    <col min="5640" max="5640" width="8.81640625" style="231"/>
    <col min="5641" max="5641" width="35.36328125" style="231" customWidth="1"/>
    <col min="5642" max="5642" width="16.08984375" style="231" customWidth="1"/>
    <col min="5643" max="5643" width="9.08984375" style="231" bestFit="1" customWidth="1"/>
    <col min="5644" max="5644" width="10.08984375" style="231" bestFit="1" customWidth="1"/>
    <col min="5645" max="5645" width="10.81640625" style="231" customWidth="1"/>
    <col min="5646" max="5889" width="8.81640625" style="231"/>
    <col min="5890" max="5890" width="35.1796875" style="231" customWidth="1"/>
    <col min="5891" max="5891" width="15.6328125" style="231" customWidth="1"/>
    <col min="5892" max="5892" width="14.81640625" style="231" bestFit="1" customWidth="1"/>
    <col min="5893" max="5893" width="1.6328125" style="231" customWidth="1"/>
    <col min="5894" max="5894" width="15.90625" style="231" customWidth="1"/>
    <col min="5895" max="5895" width="1.453125" style="231" customWidth="1"/>
    <col min="5896" max="5896" width="8.81640625" style="231"/>
    <col min="5897" max="5897" width="35.36328125" style="231" customWidth="1"/>
    <col min="5898" max="5898" width="16.08984375" style="231" customWidth="1"/>
    <col min="5899" max="5899" width="9.08984375" style="231" bestFit="1" customWidth="1"/>
    <col min="5900" max="5900" width="10.08984375" style="231" bestFit="1" customWidth="1"/>
    <col min="5901" max="5901" width="10.81640625" style="231" customWidth="1"/>
    <col min="5902" max="6145" width="8.81640625" style="231"/>
    <col min="6146" max="6146" width="35.1796875" style="231" customWidth="1"/>
    <col min="6147" max="6147" width="15.6328125" style="231" customWidth="1"/>
    <col min="6148" max="6148" width="14.81640625" style="231" bestFit="1" customWidth="1"/>
    <col min="6149" max="6149" width="1.6328125" style="231" customWidth="1"/>
    <col min="6150" max="6150" width="15.90625" style="231" customWidth="1"/>
    <col min="6151" max="6151" width="1.453125" style="231" customWidth="1"/>
    <col min="6152" max="6152" width="8.81640625" style="231"/>
    <col min="6153" max="6153" width="35.36328125" style="231" customWidth="1"/>
    <col min="6154" max="6154" width="16.08984375" style="231" customWidth="1"/>
    <col min="6155" max="6155" width="9.08984375" style="231" bestFit="1" customWidth="1"/>
    <col min="6156" max="6156" width="10.08984375" style="231" bestFit="1" customWidth="1"/>
    <col min="6157" max="6157" width="10.81640625" style="231" customWidth="1"/>
    <col min="6158" max="6401" width="8.81640625" style="231"/>
    <col min="6402" max="6402" width="35.1796875" style="231" customWidth="1"/>
    <col min="6403" max="6403" width="15.6328125" style="231" customWidth="1"/>
    <col min="6404" max="6404" width="14.81640625" style="231" bestFit="1" customWidth="1"/>
    <col min="6405" max="6405" width="1.6328125" style="231" customWidth="1"/>
    <col min="6406" max="6406" width="15.90625" style="231" customWidth="1"/>
    <col min="6407" max="6407" width="1.453125" style="231" customWidth="1"/>
    <col min="6408" max="6408" width="8.81640625" style="231"/>
    <col min="6409" max="6409" width="35.36328125" style="231" customWidth="1"/>
    <col min="6410" max="6410" width="16.08984375" style="231" customWidth="1"/>
    <col min="6411" max="6411" width="9.08984375" style="231" bestFit="1" customWidth="1"/>
    <col min="6412" max="6412" width="10.08984375" style="231" bestFit="1" customWidth="1"/>
    <col min="6413" max="6413" width="10.81640625" style="231" customWidth="1"/>
    <col min="6414" max="6657" width="8.81640625" style="231"/>
    <col min="6658" max="6658" width="35.1796875" style="231" customWidth="1"/>
    <col min="6659" max="6659" width="15.6328125" style="231" customWidth="1"/>
    <col min="6660" max="6660" width="14.81640625" style="231" bestFit="1" customWidth="1"/>
    <col min="6661" max="6661" width="1.6328125" style="231" customWidth="1"/>
    <col min="6662" max="6662" width="15.90625" style="231" customWidth="1"/>
    <col min="6663" max="6663" width="1.453125" style="231" customWidth="1"/>
    <col min="6664" max="6664" width="8.81640625" style="231"/>
    <col min="6665" max="6665" width="35.36328125" style="231" customWidth="1"/>
    <col min="6666" max="6666" width="16.08984375" style="231" customWidth="1"/>
    <col min="6667" max="6667" width="9.08984375" style="231" bestFit="1" customWidth="1"/>
    <col min="6668" max="6668" width="10.08984375" style="231" bestFit="1" customWidth="1"/>
    <col min="6669" max="6669" width="10.81640625" style="231" customWidth="1"/>
    <col min="6670" max="6913" width="8.81640625" style="231"/>
    <col min="6914" max="6914" width="35.1796875" style="231" customWidth="1"/>
    <col min="6915" max="6915" width="15.6328125" style="231" customWidth="1"/>
    <col min="6916" max="6916" width="14.81640625" style="231" bestFit="1" customWidth="1"/>
    <col min="6917" max="6917" width="1.6328125" style="231" customWidth="1"/>
    <col min="6918" max="6918" width="15.90625" style="231" customWidth="1"/>
    <col min="6919" max="6919" width="1.453125" style="231" customWidth="1"/>
    <col min="6920" max="6920" width="8.81640625" style="231"/>
    <col min="6921" max="6921" width="35.36328125" style="231" customWidth="1"/>
    <col min="6922" max="6922" width="16.08984375" style="231" customWidth="1"/>
    <col min="6923" max="6923" width="9.08984375" style="231" bestFit="1" customWidth="1"/>
    <col min="6924" max="6924" width="10.08984375" style="231" bestFit="1" customWidth="1"/>
    <col min="6925" max="6925" width="10.81640625" style="231" customWidth="1"/>
    <col min="6926" max="7169" width="8.81640625" style="231"/>
    <col min="7170" max="7170" width="35.1796875" style="231" customWidth="1"/>
    <col min="7171" max="7171" width="15.6328125" style="231" customWidth="1"/>
    <col min="7172" max="7172" width="14.81640625" style="231" bestFit="1" customWidth="1"/>
    <col min="7173" max="7173" width="1.6328125" style="231" customWidth="1"/>
    <col min="7174" max="7174" width="15.90625" style="231" customWidth="1"/>
    <col min="7175" max="7175" width="1.453125" style="231" customWidth="1"/>
    <col min="7176" max="7176" width="8.81640625" style="231"/>
    <col min="7177" max="7177" width="35.36328125" style="231" customWidth="1"/>
    <col min="7178" max="7178" width="16.08984375" style="231" customWidth="1"/>
    <col min="7179" max="7179" width="9.08984375" style="231" bestFit="1" customWidth="1"/>
    <col min="7180" max="7180" width="10.08984375" style="231" bestFit="1" customWidth="1"/>
    <col min="7181" max="7181" width="10.81640625" style="231" customWidth="1"/>
    <col min="7182" max="7425" width="8.81640625" style="231"/>
    <col min="7426" max="7426" width="35.1796875" style="231" customWidth="1"/>
    <col min="7427" max="7427" width="15.6328125" style="231" customWidth="1"/>
    <col min="7428" max="7428" width="14.81640625" style="231" bestFit="1" customWidth="1"/>
    <col min="7429" max="7429" width="1.6328125" style="231" customWidth="1"/>
    <col min="7430" max="7430" width="15.90625" style="231" customWidth="1"/>
    <col min="7431" max="7431" width="1.453125" style="231" customWidth="1"/>
    <col min="7432" max="7432" width="8.81640625" style="231"/>
    <col min="7433" max="7433" width="35.36328125" style="231" customWidth="1"/>
    <col min="7434" max="7434" width="16.08984375" style="231" customWidth="1"/>
    <col min="7435" max="7435" width="9.08984375" style="231" bestFit="1" customWidth="1"/>
    <col min="7436" max="7436" width="10.08984375" style="231" bestFit="1" customWidth="1"/>
    <col min="7437" max="7437" width="10.81640625" style="231" customWidth="1"/>
    <col min="7438" max="7681" width="8.81640625" style="231"/>
    <col min="7682" max="7682" width="35.1796875" style="231" customWidth="1"/>
    <col min="7683" max="7683" width="15.6328125" style="231" customWidth="1"/>
    <col min="7684" max="7684" width="14.81640625" style="231" bestFit="1" customWidth="1"/>
    <col min="7685" max="7685" width="1.6328125" style="231" customWidth="1"/>
    <col min="7686" max="7686" width="15.90625" style="231" customWidth="1"/>
    <col min="7687" max="7687" width="1.453125" style="231" customWidth="1"/>
    <col min="7688" max="7688" width="8.81640625" style="231"/>
    <col min="7689" max="7689" width="35.36328125" style="231" customWidth="1"/>
    <col min="7690" max="7690" width="16.08984375" style="231" customWidth="1"/>
    <col min="7691" max="7691" width="9.08984375" style="231" bestFit="1" customWidth="1"/>
    <col min="7692" max="7692" width="10.08984375" style="231" bestFit="1" customWidth="1"/>
    <col min="7693" max="7693" width="10.81640625" style="231" customWidth="1"/>
    <col min="7694" max="7937" width="8.81640625" style="231"/>
    <col min="7938" max="7938" width="35.1796875" style="231" customWidth="1"/>
    <col min="7939" max="7939" width="15.6328125" style="231" customWidth="1"/>
    <col min="7940" max="7940" width="14.81640625" style="231" bestFit="1" customWidth="1"/>
    <col min="7941" max="7941" width="1.6328125" style="231" customWidth="1"/>
    <col min="7942" max="7942" width="15.90625" style="231" customWidth="1"/>
    <col min="7943" max="7943" width="1.453125" style="231" customWidth="1"/>
    <col min="7944" max="7944" width="8.81640625" style="231"/>
    <col min="7945" max="7945" width="35.36328125" style="231" customWidth="1"/>
    <col min="7946" max="7946" width="16.08984375" style="231" customWidth="1"/>
    <col min="7947" max="7947" width="9.08984375" style="231" bestFit="1" customWidth="1"/>
    <col min="7948" max="7948" width="10.08984375" style="231" bestFit="1" customWidth="1"/>
    <col min="7949" max="7949" width="10.81640625" style="231" customWidth="1"/>
    <col min="7950" max="8193" width="8.81640625" style="231"/>
    <col min="8194" max="8194" width="35.1796875" style="231" customWidth="1"/>
    <col min="8195" max="8195" width="15.6328125" style="231" customWidth="1"/>
    <col min="8196" max="8196" width="14.81640625" style="231" bestFit="1" customWidth="1"/>
    <col min="8197" max="8197" width="1.6328125" style="231" customWidth="1"/>
    <col min="8198" max="8198" width="15.90625" style="231" customWidth="1"/>
    <col min="8199" max="8199" width="1.453125" style="231" customWidth="1"/>
    <col min="8200" max="8200" width="8.81640625" style="231"/>
    <col min="8201" max="8201" width="35.36328125" style="231" customWidth="1"/>
    <col min="8202" max="8202" width="16.08984375" style="231" customWidth="1"/>
    <col min="8203" max="8203" width="9.08984375" style="231" bestFit="1" customWidth="1"/>
    <col min="8204" max="8204" width="10.08984375" style="231" bestFit="1" customWidth="1"/>
    <col min="8205" max="8205" width="10.81640625" style="231" customWidth="1"/>
    <col min="8206" max="8449" width="8.81640625" style="231"/>
    <col min="8450" max="8450" width="35.1796875" style="231" customWidth="1"/>
    <col min="8451" max="8451" width="15.6328125" style="231" customWidth="1"/>
    <col min="8452" max="8452" width="14.81640625" style="231" bestFit="1" customWidth="1"/>
    <col min="8453" max="8453" width="1.6328125" style="231" customWidth="1"/>
    <col min="8454" max="8454" width="15.90625" style="231" customWidth="1"/>
    <col min="8455" max="8455" width="1.453125" style="231" customWidth="1"/>
    <col min="8456" max="8456" width="8.81640625" style="231"/>
    <col min="8457" max="8457" width="35.36328125" style="231" customWidth="1"/>
    <col min="8458" max="8458" width="16.08984375" style="231" customWidth="1"/>
    <col min="8459" max="8459" width="9.08984375" style="231" bestFit="1" customWidth="1"/>
    <col min="8460" max="8460" width="10.08984375" style="231" bestFit="1" customWidth="1"/>
    <col min="8461" max="8461" width="10.81640625" style="231" customWidth="1"/>
    <col min="8462" max="8705" width="8.81640625" style="231"/>
    <col min="8706" max="8706" width="35.1796875" style="231" customWidth="1"/>
    <col min="8707" max="8707" width="15.6328125" style="231" customWidth="1"/>
    <col min="8708" max="8708" width="14.81640625" style="231" bestFit="1" customWidth="1"/>
    <col min="8709" max="8709" width="1.6328125" style="231" customWidth="1"/>
    <col min="8710" max="8710" width="15.90625" style="231" customWidth="1"/>
    <col min="8711" max="8711" width="1.453125" style="231" customWidth="1"/>
    <col min="8712" max="8712" width="8.81640625" style="231"/>
    <col min="8713" max="8713" width="35.36328125" style="231" customWidth="1"/>
    <col min="8714" max="8714" width="16.08984375" style="231" customWidth="1"/>
    <col min="8715" max="8715" width="9.08984375" style="231" bestFit="1" customWidth="1"/>
    <col min="8716" max="8716" width="10.08984375" style="231" bestFit="1" customWidth="1"/>
    <col min="8717" max="8717" width="10.81640625" style="231" customWidth="1"/>
    <col min="8718" max="8961" width="8.81640625" style="231"/>
    <col min="8962" max="8962" width="35.1796875" style="231" customWidth="1"/>
    <col min="8963" max="8963" width="15.6328125" style="231" customWidth="1"/>
    <col min="8964" max="8964" width="14.81640625" style="231" bestFit="1" customWidth="1"/>
    <col min="8965" max="8965" width="1.6328125" style="231" customWidth="1"/>
    <col min="8966" max="8966" width="15.90625" style="231" customWidth="1"/>
    <col min="8967" max="8967" width="1.453125" style="231" customWidth="1"/>
    <col min="8968" max="8968" width="8.81640625" style="231"/>
    <col min="8969" max="8969" width="35.36328125" style="231" customWidth="1"/>
    <col min="8970" max="8970" width="16.08984375" style="231" customWidth="1"/>
    <col min="8971" max="8971" width="9.08984375" style="231" bestFit="1" customWidth="1"/>
    <col min="8972" max="8972" width="10.08984375" style="231" bestFit="1" customWidth="1"/>
    <col min="8973" max="8973" width="10.81640625" style="231" customWidth="1"/>
    <col min="8974" max="9217" width="8.81640625" style="231"/>
    <col min="9218" max="9218" width="35.1796875" style="231" customWidth="1"/>
    <col min="9219" max="9219" width="15.6328125" style="231" customWidth="1"/>
    <col min="9220" max="9220" width="14.81640625" style="231" bestFit="1" customWidth="1"/>
    <col min="9221" max="9221" width="1.6328125" style="231" customWidth="1"/>
    <col min="9222" max="9222" width="15.90625" style="231" customWidth="1"/>
    <col min="9223" max="9223" width="1.453125" style="231" customWidth="1"/>
    <col min="9224" max="9224" width="8.81640625" style="231"/>
    <col min="9225" max="9225" width="35.36328125" style="231" customWidth="1"/>
    <col min="9226" max="9226" width="16.08984375" style="231" customWidth="1"/>
    <col min="9227" max="9227" width="9.08984375" style="231" bestFit="1" customWidth="1"/>
    <col min="9228" max="9228" width="10.08984375" style="231" bestFit="1" customWidth="1"/>
    <col min="9229" max="9229" width="10.81640625" style="231" customWidth="1"/>
    <col min="9230" max="9473" width="8.81640625" style="231"/>
    <col min="9474" max="9474" width="35.1796875" style="231" customWidth="1"/>
    <col min="9475" max="9475" width="15.6328125" style="231" customWidth="1"/>
    <col min="9476" max="9476" width="14.81640625" style="231" bestFit="1" customWidth="1"/>
    <col min="9477" max="9477" width="1.6328125" style="231" customWidth="1"/>
    <col min="9478" max="9478" width="15.90625" style="231" customWidth="1"/>
    <col min="9479" max="9479" width="1.453125" style="231" customWidth="1"/>
    <col min="9480" max="9480" width="8.81640625" style="231"/>
    <col min="9481" max="9481" width="35.36328125" style="231" customWidth="1"/>
    <col min="9482" max="9482" width="16.08984375" style="231" customWidth="1"/>
    <col min="9483" max="9483" width="9.08984375" style="231" bestFit="1" customWidth="1"/>
    <col min="9484" max="9484" width="10.08984375" style="231" bestFit="1" customWidth="1"/>
    <col min="9485" max="9485" width="10.81640625" style="231" customWidth="1"/>
    <col min="9486" max="9729" width="8.81640625" style="231"/>
    <col min="9730" max="9730" width="35.1796875" style="231" customWidth="1"/>
    <col min="9731" max="9731" width="15.6328125" style="231" customWidth="1"/>
    <col min="9732" max="9732" width="14.81640625" style="231" bestFit="1" customWidth="1"/>
    <col min="9733" max="9733" width="1.6328125" style="231" customWidth="1"/>
    <col min="9734" max="9734" width="15.90625" style="231" customWidth="1"/>
    <col min="9735" max="9735" width="1.453125" style="231" customWidth="1"/>
    <col min="9736" max="9736" width="8.81640625" style="231"/>
    <col min="9737" max="9737" width="35.36328125" style="231" customWidth="1"/>
    <col min="9738" max="9738" width="16.08984375" style="231" customWidth="1"/>
    <col min="9739" max="9739" width="9.08984375" style="231" bestFit="1" customWidth="1"/>
    <col min="9740" max="9740" width="10.08984375" style="231" bestFit="1" customWidth="1"/>
    <col min="9741" max="9741" width="10.81640625" style="231" customWidth="1"/>
    <col min="9742" max="9985" width="8.81640625" style="231"/>
    <col min="9986" max="9986" width="35.1796875" style="231" customWidth="1"/>
    <col min="9987" max="9987" width="15.6328125" style="231" customWidth="1"/>
    <col min="9988" max="9988" width="14.81640625" style="231" bestFit="1" customWidth="1"/>
    <col min="9989" max="9989" width="1.6328125" style="231" customWidth="1"/>
    <col min="9990" max="9990" width="15.90625" style="231" customWidth="1"/>
    <col min="9991" max="9991" width="1.453125" style="231" customWidth="1"/>
    <col min="9992" max="9992" width="8.81640625" style="231"/>
    <col min="9993" max="9993" width="35.36328125" style="231" customWidth="1"/>
    <col min="9994" max="9994" width="16.08984375" style="231" customWidth="1"/>
    <col min="9995" max="9995" width="9.08984375" style="231" bestFit="1" customWidth="1"/>
    <col min="9996" max="9996" width="10.08984375" style="231" bestFit="1" customWidth="1"/>
    <col min="9997" max="9997" width="10.81640625" style="231" customWidth="1"/>
    <col min="9998" max="10241" width="8.81640625" style="231"/>
    <col min="10242" max="10242" width="35.1796875" style="231" customWidth="1"/>
    <col min="10243" max="10243" width="15.6328125" style="231" customWidth="1"/>
    <col min="10244" max="10244" width="14.81640625" style="231" bestFit="1" customWidth="1"/>
    <col min="10245" max="10245" width="1.6328125" style="231" customWidth="1"/>
    <col min="10246" max="10246" width="15.90625" style="231" customWidth="1"/>
    <col min="10247" max="10247" width="1.453125" style="231" customWidth="1"/>
    <col min="10248" max="10248" width="8.81640625" style="231"/>
    <col min="10249" max="10249" width="35.36328125" style="231" customWidth="1"/>
    <col min="10250" max="10250" width="16.08984375" style="231" customWidth="1"/>
    <col min="10251" max="10251" width="9.08984375" style="231" bestFit="1" customWidth="1"/>
    <col min="10252" max="10252" width="10.08984375" style="231" bestFit="1" customWidth="1"/>
    <col min="10253" max="10253" width="10.81640625" style="231" customWidth="1"/>
    <col min="10254" max="10497" width="8.81640625" style="231"/>
    <col min="10498" max="10498" width="35.1796875" style="231" customWidth="1"/>
    <col min="10499" max="10499" width="15.6328125" style="231" customWidth="1"/>
    <col min="10500" max="10500" width="14.81640625" style="231" bestFit="1" customWidth="1"/>
    <col min="10501" max="10501" width="1.6328125" style="231" customWidth="1"/>
    <col min="10502" max="10502" width="15.90625" style="231" customWidth="1"/>
    <col min="10503" max="10503" width="1.453125" style="231" customWidth="1"/>
    <col min="10504" max="10504" width="8.81640625" style="231"/>
    <col min="10505" max="10505" width="35.36328125" style="231" customWidth="1"/>
    <col min="10506" max="10506" width="16.08984375" style="231" customWidth="1"/>
    <col min="10507" max="10507" width="9.08984375" style="231" bestFit="1" customWidth="1"/>
    <col min="10508" max="10508" width="10.08984375" style="231" bestFit="1" customWidth="1"/>
    <col min="10509" max="10509" width="10.81640625" style="231" customWidth="1"/>
    <col min="10510" max="10753" width="8.81640625" style="231"/>
    <col min="10754" max="10754" width="35.1796875" style="231" customWidth="1"/>
    <col min="10755" max="10755" width="15.6328125" style="231" customWidth="1"/>
    <col min="10756" max="10756" width="14.81640625" style="231" bestFit="1" customWidth="1"/>
    <col min="10757" max="10757" width="1.6328125" style="231" customWidth="1"/>
    <col min="10758" max="10758" width="15.90625" style="231" customWidth="1"/>
    <col min="10759" max="10759" width="1.453125" style="231" customWidth="1"/>
    <col min="10760" max="10760" width="8.81640625" style="231"/>
    <col min="10761" max="10761" width="35.36328125" style="231" customWidth="1"/>
    <col min="10762" max="10762" width="16.08984375" style="231" customWidth="1"/>
    <col min="10763" max="10763" width="9.08984375" style="231" bestFit="1" customWidth="1"/>
    <col min="10764" max="10764" width="10.08984375" style="231" bestFit="1" customWidth="1"/>
    <col min="10765" max="10765" width="10.81640625" style="231" customWidth="1"/>
    <col min="10766" max="11009" width="8.81640625" style="231"/>
    <col min="11010" max="11010" width="35.1796875" style="231" customWidth="1"/>
    <col min="11011" max="11011" width="15.6328125" style="231" customWidth="1"/>
    <col min="11012" max="11012" width="14.81640625" style="231" bestFit="1" customWidth="1"/>
    <col min="11013" max="11013" width="1.6328125" style="231" customWidth="1"/>
    <col min="11014" max="11014" width="15.90625" style="231" customWidth="1"/>
    <col min="11015" max="11015" width="1.453125" style="231" customWidth="1"/>
    <col min="11016" max="11016" width="8.81640625" style="231"/>
    <col min="11017" max="11017" width="35.36328125" style="231" customWidth="1"/>
    <col min="11018" max="11018" width="16.08984375" style="231" customWidth="1"/>
    <col min="11019" max="11019" width="9.08984375" style="231" bestFit="1" customWidth="1"/>
    <col min="11020" max="11020" width="10.08984375" style="231" bestFit="1" customWidth="1"/>
    <col min="11021" max="11021" width="10.81640625" style="231" customWidth="1"/>
    <col min="11022" max="11265" width="8.81640625" style="231"/>
    <col min="11266" max="11266" width="35.1796875" style="231" customWidth="1"/>
    <col min="11267" max="11267" width="15.6328125" style="231" customWidth="1"/>
    <col min="11268" max="11268" width="14.81640625" style="231" bestFit="1" customWidth="1"/>
    <col min="11269" max="11269" width="1.6328125" style="231" customWidth="1"/>
    <col min="11270" max="11270" width="15.90625" style="231" customWidth="1"/>
    <col min="11271" max="11271" width="1.453125" style="231" customWidth="1"/>
    <col min="11272" max="11272" width="8.81640625" style="231"/>
    <col min="11273" max="11273" width="35.36328125" style="231" customWidth="1"/>
    <col min="11274" max="11274" width="16.08984375" style="231" customWidth="1"/>
    <col min="11275" max="11275" width="9.08984375" style="231" bestFit="1" customWidth="1"/>
    <col min="11276" max="11276" width="10.08984375" style="231" bestFit="1" customWidth="1"/>
    <col min="11277" max="11277" width="10.81640625" style="231" customWidth="1"/>
    <col min="11278" max="11521" width="8.81640625" style="231"/>
    <col min="11522" max="11522" width="35.1796875" style="231" customWidth="1"/>
    <col min="11523" max="11523" width="15.6328125" style="231" customWidth="1"/>
    <col min="11524" max="11524" width="14.81640625" style="231" bestFit="1" customWidth="1"/>
    <col min="11525" max="11525" width="1.6328125" style="231" customWidth="1"/>
    <col min="11526" max="11526" width="15.90625" style="231" customWidth="1"/>
    <col min="11527" max="11527" width="1.453125" style="231" customWidth="1"/>
    <col min="11528" max="11528" width="8.81640625" style="231"/>
    <col min="11529" max="11529" width="35.36328125" style="231" customWidth="1"/>
    <col min="11530" max="11530" width="16.08984375" style="231" customWidth="1"/>
    <col min="11531" max="11531" width="9.08984375" style="231" bestFit="1" customWidth="1"/>
    <col min="11532" max="11532" width="10.08984375" style="231" bestFit="1" customWidth="1"/>
    <col min="11533" max="11533" width="10.81640625" style="231" customWidth="1"/>
    <col min="11534" max="11777" width="8.81640625" style="231"/>
    <col min="11778" max="11778" width="35.1796875" style="231" customWidth="1"/>
    <col min="11779" max="11779" width="15.6328125" style="231" customWidth="1"/>
    <col min="11780" max="11780" width="14.81640625" style="231" bestFit="1" customWidth="1"/>
    <col min="11781" max="11781" width="1.6328125" style="231" customWidth="1"/>
    <col min="11782" max="11782" width="15.90625" style="231" customWidth="1"/>
    <col min="11783" max="11783" width="1.453125" style="231" customWidth="1"/>
    <col min="11784" max="11784" width="8.81640625" style="231"/>
    <col min="11785" max="11785" width="35.36328125" style="231" customWidth="1"/>
    <col min="11786" max="11786" width="16.08984375" style="231" customWidth="1"/>
    <col min="11787" max="11787" width="9.08984375" style="231" bestFit="1" customWidth="1"/>
    <col min="11788" max="11788" width="10.08984375" style="231" bestFit="1" customWidth="1"/>
    <col min="11789" max="11789" width="10.81640625" style="231" customWidth="1"/>
    <col min="11790" max="12033" width="8.81640625" style="231"/>
    <col min="12034" max="12034" width="35.1796875" style="231" customWidth="1"/>
    <col min="12035" max="12035" width="15.6328125" style="231" customWidth="1"/>
    <col min="12036" max="12036" width="14.81640625" style="231" bestFit="1" customWidth="1"/>
    <col min="12037" max="12037" width="1.6328125" style="231" customWidth="1"/>
    <col min="12038" max="12038" width="15.90625" style="231" customWidth="1"/>
    <col min="12039" max="12039" width="1.453125" style="231" customWidth="1"/>
    <col min="12040" max="12040" width="8.81640625" style="231"/>
    <col min="12041" max="12041" width="35.36328125" style="231" customWidth="1"/>
    <col min="12042" max="12042" width="16.08984375" style="231" customWidth="1"/>
    <col min="12043" max="12043" width="9.08984375" style="231" bestFit="1" customWidth="1"/>
    <col min="12044" max="12044" width="10.08984375" style="231" bestFit="1" customWidth="1"/>
    <col min="12045" max="12045" width="10.81640625" style="231" customWidth="1"/>
    <col min="12046" max="12289" width="8.81640625" style="231"/>
    <col min="12290" max="12290" width="35.1796875" style="231" customWidth="1"/>
    <col min="12291" max="12291" width="15.6328125" style="231" customWidth="1"/>
    <col min="12292" max="12292" width="14.81640625" style="231" bestFit="1" customWidth="1"/>
    <col min="12293" max="12293" width="1.6328125" style="231" customWidth="1"/>
    <col min="12294" max="12294" width="15.90625" style="231" customWidth="1"/>
    <col min="12295" max="12295" width="1.453125" style="231" customWidth="1"/>
    <col min="12296" max="12296" width="8.81640625" style="231"/>
    <col min="12297" max="12297" width="35.36328125" style="231" customWidth="1"/>
    <col min="12298" max="12298" width="16.08984375" style="231" customWidth="1"/>
    <col min="12299" max="12299" width="9.08984375" style="231" bestFit="1" customWidth="1"/>
    <col min="12300" max="12300" width="10.08984375" style="231" bestFit="1" customWidth="1"/>
    <col min="12301" max="12301" width="10.81640625" style="231" customWidth="1"/>
    <col min="12302" max="12545" width="8.81640625" style="231"/>
    <col min="12546" max="12546" width="35.1796875" style="231" customWidth="1"/>
    <col min="12547" max="12547" width="15.6328125" style="231" customWidth="1"/>
    <col min="12548" max="12548" width="14.81640625" style="231" bestFit="1" customWidth="1"/>
    <col min="12549" max="12549" width="1.6328125" style="231" customWidth="1"/>
    <col min="12550" max="12550" width="15.90625" style="231" customWidth="1"/>
    <col min="12551" max="12551" width="1.453125" style="231" customWidth="1"/>
    <col min="12552" max="12552" width="8.81640625" style="231"/>
    <col min="12553" max="12553" width="35.36328125" style="231" customWidth="1"/>
    <col min="12554" max="12554" width="16.08984375" style="231" customWidth="1"/>
    <col min="12555" max="12555" width="9.08984375" style="231" bestFit="1" customWidth="1"/>
    <col min="12556" max="12556" width="10.08984375" style="231" bestFit="1" customWidth="1"/>
    <col min="12557" max="12557" width="10.81640625" style="231" customWidth="1"/>
    <col min="12558" max="12801" width="8.81640625" style="231"/>
    <col min="12802" max="12802" width="35.1796875" style="231" customWidth="1"/>
    <col min="12803" max="12803" width="15.6328125" style="231" customWidth="1"/>
    <col min="12804" max="12804" width="14.81640625" style="231" bestFit="1" customWidth="1"/>
    <col min="12805" max="12805" width="1.6328125" style="231" customWidth="1"/>
    <col min="12806" max="12806" width="15.90625" style="231" customWidth="1"/>
    <col min="12807" max="12807" width="1.453125" style="231" customWidth="1"/>
    <col min="12808" max="12808" width="8.81640625" style="231"/>
    <col min="12809" max="12809" width="35.36328125" style="231" customWidth="1"/>
    <col min="12810" max="12810" width="16.08984375" style="231" customWidth="1"/>
    <col min="12811" max="12811" width="9.08984375" style="231" bestFit="1" customWidth="1"/>
    <col min="12812" max="12812" width="10.08984375" style="231" bestFit="1" customWidth="1"/>
    <col min="12813" max="12813" width="10.81640625" style="231" customWidth="1"/>
    <col min="12814" max="13057" width="8.81640625" style="231"/>
    <col min="13058" max="13058" width="35.1796875" style="231" customWidth="1"/>
    <col min="13059" max="13059" width="15.6328125" style="231" customWidth="1"/>
    <col min="13060" max="13060" width="14.81640625" style="231" bestFit="1" customWidth="1"/>
    <col min="13061" max="13061" width="1.6328125" style="231" customWidth="1"/>
    <col min="13062" max="13062" width="15.90625" style="231" customWidth="1"/>
    <col min="13063" max="13063" width="1.453125" style="231" customWidth="1"/>
    <col min="13064" max="13064" width="8.81640625" style="231"/>
    <col min="13065" max="13065" width="35.36328125" style="231" customWidth="1"/>
    <col min="13066" max="13066" width="16.08984375" style="231" customWidth="1"/>
    <col min="13067" max="13067" width="9.08984375" style="231" bestFit="1" customWidth="1"/>
    <col min="13068" max="13068" width="10.08984375" style="231" bestFit="1" customWidth="1"/>
    <col min="13069" max="13069" width="10.81640625" style="231" customWidth="1"/>
    <col min="13070" max="13313" width="8.81640625" style="231"/>
    <col min="13314" max="13314" width="35.1796875" style="231" customWidth="1"/>
    <col min="13315" max="13315" width="15.6328125" style="231" customWidth="1"/>
    <col min="13316" max="13316" width="14.81640625" style="231" bestFit="1" customWidth="1"/>
    <col min="13317" max="13317" width="1.6328125" style="231" customWidth="1"/>
    <col min="13318" max="13318" width="15.90625" style="231" customWidth="1"/>
    <col min="13319" max="13319" width="1.453125" style="231" customWidth="1"/>
    <col min="13320" max="13320" width="8.81640625" style="231"/>
    <col min="13321" max="13321" width="35.36328125" style="231" customWidth="1"/>
    <col min="13322" max="13322" width="16.08984375" style="231" customWidth="1"/>
    <col min="13323" max="13323" width="9.08984375" style="231" bestFit="1" customWidth="1"/>
    <col min="13324" max="13324" width="10.08984375" style="231" bestFit="1" customWidth="1"/>
    <col min="13325" max="13325" width="10.81640625" style="231" customWidth="1"/>
    <col min="13326" max="13569" width="8.81640625" style="231"/>
    <col min="13570" max="13570" width="35.1796875" style="231" customWidth="1"/>
    <col min="13571" max="13571" width="15.6328125" style="231" customWidth="1"/>
    <col min="13572" max="13572" width="14.81640625" style="231" bestFit="1" customWidth="1"/>
    <col min="13573" max="13573" width="1.6328125" style="231" customWidth="1"/>
    <col min="13574" max="13574" width="15.90625" style="231" customWidth="1"/>
    <col min="13575" max="13575" width="1.453125" style="231" customWidth="1"/>
    <col min="13576" max="13576" width="8.81640625" style="231"/>
    <col min="13577" max="13577" width="35.36328125" style="231" customWidth="1"/>
    <col min="13578" max="13578" width="16.08984375" style="231" customWidth="1"/>
    <col min="13579" max="13579" width="9.08984375" style="231" bestFit="1" customWidth="1"/>
    <col min="13580" max="13580" width="10.08984375" style="231" bestFit="1" customWidth="1"/>
    <col min="13581" max="13581" width="10.81640625" style="231" customWidth="1"/>
    <col min="13582" max="13825" width="8.81640625" style="231"/>
    <col min="13826" max="13826" width="35.1796875" style="231" customWidth="1"/>
    <col min="13827" max="13827" width="15.6328125" style="231" customWidth="1"/>
    <col min="13828" max="13828" width="14.81640625" style="231" bestFit="1" customWidth="1"/>
    <col min="13829" max="13829" width="1.6328125" style="231" customWidth="1"/>
    <col min="13830" max="13830" width="15.90625" style="231" customWidth="1"/>
    <col min="13831" max="13831" width="1.453125" style="231" customWidth="1"/>
    <col min="13832" max="13832" width="8.81640625" style="231"/>
    <col min="13833" max="13833" width="35.36328125" style="231" customWidth="1"/>
    <col min="13834" max="13834" width="16.08984375" style="231" customWidth="1"/>
    <col min="13835" max="13835" width="9.08984375" style="231" bestFit="1" customWidth="1"/>
    <col min="13836" max="13836" width="10.08984375" style="231" bestFit="1" customWidth="1"/>
    <col min="13837" max="13837" width="10.81640625" style="231" customWidth="1"/>
    <col min="13838" max="14081" width="8.81640625" style="231"/>
    <col min="14082" max="14082" width="35.1796875" style="231" customWidth="1"/>
    <col min="14083" max="14083" width="15.6328125" style="231" customWidth="1"/>
    <col min="14084" max="14084" width="14.81640625" style="231" bestFit="1" customWidth="1"/>
    <col min="14085" max="14085" width="1.6328125" style="231" customWidth="1"/>
    <col min="14086" max="14086" width="15.90625" style="231" customWidth="1"/>
    <col min="14087" max="14087" width="1.453125" style="231" customWidth="1"/>
    <col min="14088" max="14088" width="8.81640625" style="231"/>
    <col min="14089" max="14089" width="35.36328125" style="231" customWidth="1"/>
    <col min="14090" max="14090" width="16.08984375" style="231" customWidth="1"/>
    <col min="14091" max="14091" width="9.08984375" style="231" bestFit="1" customWidth="1"/>
    <col min="14092" max="14092" width="10.08984375" style="231" bestFit="1" customWidth="1"/>
    <col min="14093" max="14093" width="10.81640625" style="231" customWidth="1"/>
    <col min="14094" max="14337" width="8.81640625" style="231"/>
    <col min="14338" max="14338" width="35.1796875" style="231" customWidth="1"/>
    <col min="14339" max="14339" width="15.6328125" style="231" customWidth="1"/>
    <col min="14340" max="14340" width="14.81640625" style="231" bestFit="1" customWidth="1"/>
    <col min="14341" max="14341" width="1.6328125" style="231" customWidth="1"/>
    <col min="14342" max="14342" width="15.90625" style="231" customWidth="1"/>
    <col min="14343" max="14343" width="1.453125" style="231" customWidth="1"/>
    <col min="14344" max="14344" width="8.81640625" style="231"/>
    <col min="14345" max="14345" width="35.36328125" style="231" customWidth="1"/>
    <col min="14346" max="14346" width="16.08984375" style="231" customWidth="1"/>
    <col min="14347" max="14347" width="9.08984375" style="231" bestFit="1" customWidth="1"/>
    <col min="14348" max="14348" width="10.08984375" style="231" bestFit="1" customWidth="1"/>
    <col min="14349" max="14349" width="10.81640625" style="231" customWidth="1"/>
    <col min="14350" max="14593" width="8.81640625" style="231"/>
    <col min="14594" max="14594" width="35.1796875" style="231" customWidth="1"/>
    <col min="14595" max="14595" width="15.6328125" style="231" customWidth="1"/>
    <col min="14596" max="14596" width="14.81640625" style="231" bestFit="1" customWidth="1"/>
    <col min="14597" max="14597" width="1.6328125" style="231" customWidth="1"/>
    <col min="14598" max="14598" width="15.90625" style="231" customWidth="1"/>
    <col min="14599" max="14599" width="1.453125" style="231" customWidth="1"/>
    <col min="14600" max="14600" width="8.81640625" style="231"/>
    <col min="14601" max="14601" width="35.36328125" style="231" customWidth="1"/>
    <col min="14602" max="14602" width="16.08984375" style="231" customWidth="1"/>
    <col min="14603" max="14603" width="9.08984375" style="231" bestFit="1" customWidth="1"/>
    <col min="14604" max="14604" width="10.08984375" style="231" bestFit="1" customWidth="1"/>
    <col min="14605" max="14605" width="10.81640625" style="231" customWidth="1"/>
    <col min="14606" max="14849" width="8.81640625" style="231"/>
    <col min="14850" max="14850" width="35.1796875" style="231" customWidth="1"/>
    <col min="14851" max="14851" width="15.6328125" style="231" customWidth="1"/>
    <col min="14852" max="14852" width="14.81640625" style="231" bestFit="1" customWidth="1"/>
    <col min="14853" max="14853" width="1.6328125" style="231" customWidth="1"/>
    <col min="14854" max="14854" width="15.90625" style="231" customWidth="1"/>
    <col min="14855" max="14855" width="1.453125" style="231" customWidth="1"/>
    <col min="14856" max="14856" width="8.81640625" style="231"/>
    <col min="14857" max="14857" width="35.36328125" style="231" customWidth="1"/>
    <col min="14858" max="14858" width="16.08984375" style="231" customWidth="1"/>
    <col min="14859" max="14859" width="9.08984375" style="231" bestFit="1" customWidth="1"/>
    <col min="14860" max="14860" width="10.08984375" style="231" bestFit="1" customWidth="1"/>
    <col min="14861" max="14861" width="10.81640625" style="231" customWidth="1"/>
    <col min="14862" max="15105" width="8.81640625" style="231"/>
    <col min="15106" max="15106" width="35.1796875" style="231" customWidth="1"/>
    <col min="15107" max="15107" width="15.6328125" style="231" customWidth="1"/>
    <col min="15108" max="15108" width="14.81640625" style="231" bestFit="1" customWidth="1"/>
    <col min="15109" max="15109" width="1.6328125" style="231" customWidth="1"/>
    <col min="15110" max="15110" width="15.90625" style="231" customWidth="1"/>
    <col min="15111" max="15111" width="1.453125" style="231" customWidth="1"/>
    <col min="15112" max="15112" width="8.81640625" style="231"/>
    <col min="15113" max="15113" width="35.36328125" style="231" customWidth="1"/>
    <col min="15114" max="15114" width="16.08984375" style="231" customWidth="1"/>
    <col min="15115" max="15115" width="9.08984375" style="231" bestFit="1" customWidth="1"/>
    <col min="15116" max="15116" width="10.08984375" style="231" bestFit="1" customWidth="1"/>
    <col min="15117" max="15117" width="10.81640625" style="231" customWidth="1"/>
    <col min="15118" max="15361" width="8.81640625" style="231"/>
    <col min="15362" max="15362" width="35.1796875" style="231" customWidth="1"/>
    <col min="15363" max="15363" width="15.6328125" style="231" customWidth="1"/>
    <col min="15364" max="15364" width="14.81640625" style="231" bestFit="1" customWidth="1"/>
    <col min="15365" max="15365" width="1.6328125" style="231" customWidth="1"/>
    <col min="15366" max="15366" width="15.90625" style="231" customWidth="1"/>
    <col min="15367" max="15367" width="1.453125" style="231" customWidth="1"/>
    <col min="15368" max="15368" width="8.81640625" style="231"/>
    <col min="15369" max="15369" width="35.36328125" style="231" customWidth="1"/>
    <col min="15370" max="15370" width="16.08984375" style="231" customWidth="1"/>
    <col min="15371" max="15371" width="9.08984375" style="231" bestFit="1" customWidth="1"/>
    <col min="15372" max="15372" width="10.08984375" style="231" bestFit="1" customWidth="1"/>
    <col min="15373" max="15373" width="10.81640625" style="231" customWidth="1"/>
    <col min="15374" max="15617" width="8.81640625" style="231"/>
    <col min="15618" max="15618" width="35.1796875" style="231" customWidth="1"/>
    <col min="15619" max="15619" width="15.6328125" style="231" customWidth="1"/>
    <col min="15620" max="15620" width="14.81640625" style="231" bestFit="1" customWidth="1"/>
    <col min="15621" max="15621" width="1.6328125" style="231" customWidth="1"/>
    <col min="15622" max="15622" width="15.90625" style="231" customWidth="1"/>
    <col min="15623" max="15623" width="1.453125" style="231" customWidth="1"/>
    <col min="15624" max="15624" width="8.81640625" style="231"/>
    <col min="15625" max="15625" width="35.36328125" style="231" customWidth="1"/>
    <col min="15626" max="15626" width="16.08984375" style="231" customWidth="1"/>
    <col min="15627" max="15627" width="9.08984375" style="231" bestFit="1" customWidth="1"/>
    <col min="15628" max="15628" width="10.08984375" style="231" bestFit="1" customWidth="1"/>
    <col min="15629" max="15629" width="10.81640625" style="231" customWidth="1"/>
    <col min="15630" max="15873" width="8.81640625" style="231"/>
    <col min="15874" max="15874" width="35.1796875" style="231" customWidth="1"/>
    <col min="15875" max="15875" width="15.6328125" style="231" customWidth="1"/>
    <col min="15876" max="15876" width="14.81640625" style="231" bestFit="1" customWidth="1"/>
    <col min="15877" max="15877" width="1.6328125" style="231" customWidth="1"/>
    <col min="15878" max="15878" width="15.90625" style="231" customWidth="1"/>
    <col min="15879" max="15879" width="1.453125" style="231" customWidth="1"/>
    <col min="15880" max="15880" width="8.81640625" style="231"/>
    <col min="15881" max="15881" width="35.36328125" style="231" customWidth="1"/>
    <col min="15882" max="15882" width="16.08984375" style="231" customWidth="1"/>
    <col min="15883" max="15883" width="9.08984375" style="231" bestFit="1" customWidth="1"/>
    <col min="15884" max="15884" width="10.08984375" style="231" bestFit="1" customWidth="1"/>
    <col min="15885" max="15885" width="10.81640625" style="231" customWidth="1"/>
    <col min="15886" max="16129" width="8.81640625" style="231"/>
    <col min="16130" max="16130" width="35.1796875" style="231" customWidth="1"/>
    <col min="16131" max="16131" width="15.6328125" style="231" customWidth="1"/>
    <col min="16132" max="16132" width="14.81640625" style="231" bestFit="1" customWidth="1"/>
    <col min="16133" max="16133" width="1.6328125" style="231" customWidth="1"/>
    <col min="16134" max="16134" width="15.90625" style="231" customWidth="1"/>
    <col min="16135" max="16135" width="1.453125" style="231" customWidth="1"/>
    <col min="16136" max="16136" width="8.81640625" style="231"/>
    <col min="16137" max="16137" width="35.36328125" style="231" customWidth="1"/>
    <col min="16138" max="16138" width="16.08984375" style="231" customWidth="1"/>
    <col min="16139" max="16139" width="9.08984375" style="231" bestFit="1" customWidth="1"/>
    <col min="16140" max="16140" width="10.08984375" style="231" bestFit="1" customWidth="1"/>
    <col min="16141" max="16141" width="10.81640625" style="231" customWidth="1"/>
    <col min="16142" max="16384" width="8.81640625" style="231"/>
  </cols>
  <sheetData>
    <row r="1" spans="1:8">
      <c r="A1" s="932" t="s">
        <v>531</v>
      </c>
      <c r="B1" s="932"/>
      <c r="C1" s="932"/>
      <c r="D1" s="932"/>
      <c r="E1" s="932"/>
      <c r="F1" s="932"/>
      <c r="G1" s="932"/>
      <c r="H1" s="932"/>
    </row>
    <row r="2" spans="1:8">
      <c r="A2" s="952" t="s">
        <v>794</v>
      </c>
      <c r="B2" s="952"/>
      <c r="C2" s="952"/>
      <c r="D2" s="952"/>
      <c r="E2" s="952"/>
      <c r="F2" s="952"/>
      <c r="G2" s="952"/>
      <c r="H2" s="952"/>
    </row>
    <row r="3" spans="1:8">
      <c r="A3" s="953" t="str">
        <f>+'Attachment H-26'!D5</f>
        <v>Transource West Virginia, LLC</v>
      </c>
      <c r="B3" s="953"/>
      <c r="C3" s="953"/>
      <c r="D3" s="953"/>
      <c r="E3" s="953"/>
      <c r="F3" s="953"/>
      <c r="G3" s="953"/>
      <c r="H3" s="953"/>
    </row>
    <row r="4" spans="1:8">
      <c r="A4" s="743"/>
      <c r="F4" s="744"/>
    </row>
    <row r="5" spans="1:8">
      <c r="A5" s="743"/>
    </row>
    <row r="6" spans="1:8">
      <c r="A6" s="743"/>
    </row>
    <row r="7" spans="1:8">
      <c r="A7" s="745"/>
      <c r="B7" s="746"/>
      <c r="C7" s="745"/>
      <c r="D7" s="774" t="s">
        <v>196</v>
      </c>
      <c r="E7" s="745"/>
      <c r="F7" s="774" t="s">
        <v>197</v>
      </c>
      <c r="G7" s="745"/>
    </row>
    <row r="8" spans="1:8">
      <c r="F8" s="747" t="s">
        <v>527</v>
      </c>
      <c r="G8" s="748"/>
    </row>
    <row r="9" spans="1:8">
      <c r="D9" s="749" t="s">
        <v>302</v>
      </c>
      <c r="F9" s="827"/>
    </row>
    <row r="10" spans="1:8">
      <c r="A10" s="749" t="s">
        <v>8</v>
      </c>
      <c r="D10" s="749" t="s">
        <v>528</v>
      </c>
      <c r="F10" s="749" t="s">
        <v>302</v>
      </c>
    </row>
    <row r="11" spans="1:8">
      <c r="A11" s="750" t="s">
        <v>10</v>
      </c>
      <c r="B11" s="751" t="s">
        <v>514</v>
      </c>
      <c r="C11" s="750" t="s">
        <v>205</v>
      </c>
      <c r="D11" s="750" t="s">
        <v>518</v>
      </c>
      <c r="F11" s="750" t="s">
        <v>331</v>
      </c>
    </row>
    <row r="12" spans="1:8">
      <c r="F12" s="750"/>
    </row>
    <row r="13" spans="1:8">
      <c r="A13" s="752">
        <v>1</v>
      </c>
      <c r="B13" s="753" t="s">
        <v>532</v>
      </c>
      <c r="D13" s="267"/>
      <c r="E13" s="267"/>
      <c r="F13" s="754">
        <v>0</v>
      </c>
    </row>
    <row r="14" spans="1:8">
      <c r="A14" s="752">
        <f>+A13+1</f>
        <v>2</v>
      </c>
      <c r="B14" s="231" t="s">
        <v>730</v>
      </c>
      <c r="D14" s="267"/>
      <c r="E14" s="267"/>
      <c r="F14" s="754">
        <v>0</v>
      </c>
    </row>
    <row r="15" spans="1:8">
      <c r="A15" s="752">
        <f t="shared" ref="A15:A30" si="0">+A14+1</f>
        <v>3</v>
      </c>
      <c r="D15" s="755"/>
      <c r="E15" s="755"/>
      <c r="F15" s="755"/>
    </row>
    <row r="16" spans="1:8" ht="21.6" customHeight="1">
      <c r="A16" s="752">
        <f t="shared" si="0"/>
        <v>4</v>
      </c>
      <c r="B16" s="756" t="s">
        <v>533</v>
      </c>
      <c r="D16"/>
      <c r="E16" s="267"/>
      <c r="F16" s="757"/>
    </row>
    <row r="17" spans="1:14">
      <c r="A17" s="752">
        <f t="shared" si="0"/>
        <v>5</v>
      </c>
      <c r="B17" s="756" t="s">
        <v>534</v>
      </c>
      <c r="D17"/>
      <c r="E17" s="267"/>
      <c r="F17" s="754">
        <v>0</v>
      </c>
    </row>
    <row r="18" spans="1:14">
      <c r="A18" s="752">
        <f t="shared" si="0"/>
        <v>6</v>
      </c>
      <c r="D18"/>
      <c r="E18" s="267"/>
      <c r="F18" s="267"/>
    </row>
    <row r="19" spans="1:14">
      <c r="A19" s="752">
        <f t="shared" si="0"/>
        <v>7</v>
      </c>
      <c r="B19" s="231" t="s">
        <v>535</v>
      </c>
      <c r="C19" s="231" t="s">
        <v>732</v>
      </c>
      <c r="D19"/>
      <c r="E19" s="267"/>
      <c r="F19" s="758">
        <f>+F16+F17</f>
        <v>0</v>
      </c>
    </row>
    <row r="20" spans="1:14">
      <c r="A20" s="752">
        <f t="shared" si="0"/>
        <v>8</v>
      </c>
      <c r="D20" s="267"/>
      <c r="E20" s="267"/>
      <c r="F20" s="267"/>
      <c r="I20" s="759"/>
      <c r="J20" s="760"/>
      <c r="K20" s="760"/>
      <c r="L20" s="760"/>
      <c r="M20" s="760"/>
      <c r="N20" s="760"/>
    </row>
    <row r="21" spans="1:14">
      <c r="A21" s="752">
        <f t="shared" si="0"/>
        <v>9</v>
      </c>
      <c r="B21" s="231" t="s">
        <v>529</v>
      </c>
      <c r="C21" s="231" t="s">
        <v>733</v>
      </c>
      <c r="D21" s="267"/>
      <c r="E21" s="267"/>
      <c r="F21" s="267">
        <f>+F14+F19</f>
        <v>0</v>
      </c>
    </row>
    <row r="22" spans="1:14">
      <c r="A22" s="752">
        <f t="shared" si="0"/>
        <v>10</v>
      </c>
      <c r="D22" s="267"/>
      <c r="E22" s="267"/>
      <c r="F22" s="267"/>
    </row>
    <row r="23" spans="1:14">
      <c r="A23" s="752">
        <f t="shared" si="0"/>
        <v>11</v>
      </c>
      <c r="D23" s="267"/>
      <c r="E23" s="267"/>
      <c r="F23" s="267"/>
    </row>
    <row r="24" spans="1:14">
      <c r="A24" s="752">
        <f t="shared" si="0"/>
        <v>12</v>
      </c>
      <c r="B24" s="231" t="s">
        <v>535</v>
      </c>
      <c r="C24" s="231" t="s">
        <v>731</v>
      </c>
      <c r="D24" s="267"/>
      <c r="E24" s="267"/>
      <c r="F24" s="267">
        <f>+F19</f>
        <v>0</v>
      </c>
    </row>
    <row r="25" spans="1:14">
      <c r="A25" s="752">
        <f t="shared" si="0"/>
        <v>13</v>
      </c>
    </row>
    <row r="26" spans="1:14">
      <c r="A26" s="752">
        <f t="shared" si="0"/>
        <v>14</v>
      </c>
      <c r="B26" s="231" t="s">
        <v>739</v>
      </c>
      <c r="C26" s="231" t="s">
        <v>316</v>
      </c>
      <c r="F26" s="775">
        <v>2.5000000000000001E-3</v>
      </c>
    </row>
    <row r="27" spans="1:14">
      <c r="A27" s="752">
        <f t="shared" si="0"/>
        <v>15</v>
      </c>
      <c r="B27" s="231" t="s">
        <v>737</v>
      </c>
      <c r="C27" s="231" t="s">
        <v>317</v>
      </c>
      <c r="F27" s="757">
        <v>30</v>
      </c>
    </row>
    <row r="28" spans="1:14">
      <c r="A28" s="752">
        <f t="shared" si="0"/>
        <v>16</v>
      </c>
      <c r="B28" s="231" t="s">
        <v>536</v>
      </c>
      <c r="C28" s="231" t="s">
        <v>738</v>
      </c>
      <c r="F28" s="758">
        <f>+F24*F26*F27</f>
        <v>0</v>
      </c>
    </row>
    <row r="29" spans="1:14">
      <c r="A29" s="752">
        <f t="shared" si="0"/>
        <v>17</v>
      </c>
    </row>
    <row r="30" spans="1:14">
      <c r="A30" s="752">
        <f t="shared" si="0"/>
        <v>18</v>
      </c>
      <c r="B30" s="760" t="s">
        <v>734</v>
      </c>
      <c r="C30" s="760" t="s">
        <v>735</v>
      </c>
      <c r="D30" s="760"/>
      <c r="E30" s="760"/>
      <c r="F30" s="267">
        <f>+F24+F28</f>
        <v>0</v>
      </c>
      <c r="G30" s="760"/>
    </row>
    <row r="31" spans="1:14">
      <c r="A31" s="752"/>
      <c r="B31" s="760"/>
      <c r="C31" s="760"/>
      <c r="D31" s="760"/>
      <c r="E31" s="760"/>
      <c r="F31" s="760"/>
      <c r="G31" s="760"/>
    </row>
    <row r="33" spans="1:8">
      <c r="A33" s="777" t="s">
        <v>182</v>
      </c>
    </row>
    <row r="34" spans="1:8" ht="56.25" customHeight="1">
      <c r="A34" s="778" t="s">
        <v>62</v>
      </c>
      <c r="B34" s="954" t="s">
        <v>729</v>
      </c>
      <c r="C34" s="954"/>
      <c r="D34" s="954"/>
      <c r="E34" s="954"/>
      <c r="F34" s="954"/>
      <c r="G34" s="875"/>
      <c r="H34" s="875"/>
    </row>
    <row r="35" spans="1:8" ht="86.25" customHeight="1">
      <c r="A35" s="778" t="s">
        <v>63</v>
      </c>
      <c r="B35" s="954" t="s">
        <v>736</v>
      </c>
      <c r="C35" s="954"/>
      <c r="D35" s="954"/>
      <c r="E35" s="954"/>
      <c r="F35" s="954"/>
      <c r="G35" s="875"/>
      <c r="H35" s="875"/>
    </row>
    <row r="36" spans="1:8">
      <c r="A36" s="776"/>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A3" sqref="A3:G3"/>
    </sheetView>
  </sheetViews>
  <sheetFormatPr defaultColWidth="8.90625" defaultRowHeight="15.6"/>
  <cols>
    <col min="1" max="1" width="7.36328125" style="356" customWidth="1"/>
    <col min="2" max="2" width="49.6328125" style="356" customWidth="1"/>
    <col min="3" max="3" width="14.81640625" style="356" customWidth="1"/>
    <col min="4" max="4" width="11.6328125" style="356" customWidth="1"/>
    <col min="5" max="5" width="10.90625" style="848" bestFit="1" customWidth="1"/>
    <col min="6" max="6" width="10.453125" style="356" customWidth="1"/>
    <col min="7" max="16384" width="8.90625" style="356"/>
  </cols>
  <sheetData>
    <row r="1" spans="1:9" ht="13.2">
      <c r="A1" s="932" t="s">
        <v>765</v>
      </c>
      <c r="B1" s="932"/>
      <c r="C1" s="932"/>
      <c r="D1" s="932"/>
      <c r="E1" s="932"/>
      <c r="F1" s="932"/>
      <c r="G1" s="932"/>
      <c r="H1" s="424"/>
      <c r="I1" s="424"/>
    </row>
    <row r="2" spans="1:9" ht="13.2">
      <c r="A2" s="952" t="s">
        <v>766</v>
      </c>
      <c r="B2" s="952"/>
      <c r="C2" s="952"/>
      <c r="D2" s="952"/>
      <c r="E2" s="952"/>
      <c r="F2" s="952"/>
      <c r="G2" s="952"/>
      <c r="H2" s="784"/>
      <c r="I2" s="784"/>
    </row>
    <row r="3" spans="1:9" ht="13.2">
      <c r="A3" s="953" t="str">
        <f>+'Attachment H-26'!D5</f>
        <v>Transource West Virginia, LLC</v>
      </c>
      <c r="B3" s="953"/>
      <c r="C3" s="953"/>
      <c r="D3" s="953"/>
      <c r="E3" s="953"/>
      <c r="F3" s="953"/>
      <c r="G3" s="953"/>
      <c r="H3" s="383"/>
      <c r="I3" s="383"/>
    </row>
    <row r="4" spans="1:9" ht="13.2">
      <c r="A4" s="783"/>
      <c r="B4" s="783"/>
      <c r="C4" s="783"/>
      <c r="D4" s="783"/>
      <c r="E4" s="783"/>
      <c r="F4" s="783"/>
      <c r="G4" s="783"/>
      <c r="H4" s="383"/>
      <c r="I4" s="383"/>
    </row>
    <row r="5" spans="1:9">
      <c r="A5" s="829"/>
      <c r="D5" s="830"/>
      <c r="E5" s="831"/>
      <c r="F5" s="829"/>
      <c r="H5" s="832"/>
    </row>
    <row r="6" spans="1:9" ht="13.2">
      <c r="A6" s="781" t="s">
        <v>154</v>
      </c>
      <c r="B6" s="598" t="s">
        <v>779</v>
      </c>
      <c r="C6" s="598"/>
      <c r="D6" s="222" t="s">
        <v>196</v>
      </c>
      <c r="E6" s="222" t="s">
        <v>197</v>
      </c>
      <c r="F6" s="395" t="s">
        <v>777</v>
      </c>
      <c r="G6" s="833"/>
      <c r="H6" s="833"/>
      <c r="I6" s="833"/>
    </row>
    <row r="7" spans="1:9" ht="26.4">
      <c r="A7" s="355">
        <v>1</v>
      </c>
      <c r="B7" s="834" t="s">
        <v>757</v>
      </c>
      <c r="C7" s="415" t="s">
        <v>205</v>
      </c>
      <c r="D7" s="851" t="s">
        <v>18</v>
      </c>
      <c r="E7" s="394" t="s">
        <v>776</v>
      </c>
      <c r="F7" s="394" t="s">
        <v>775</v>
      </c>
    </row>
    <row r="8" spans="1:9" ht="13.2">
      <c r="A8" s="355">
        <f>+A7+1</f>
        <v>2</v>
      </c>
      <c r="B8" s="340" t="s">
        <v>760</v>
      </c>
      <c r="C8" s="340" t="s">
        <v>768</v>
      </c>
      <c r="D8" s="837">
        <v>0</v>
      </c>
      <c r="E8" s="837">
        <v>0</v>
      </c>
      <c r="F8" s="850">
        <f>+D8-E8</f>
        <v>0</v>
      </c>
    </row>
    <row r="9" spans="1:9" ht="13.2">
      <c r="A9" s="355">
        <f>+A8+1</f>
        <v>3</v>
      </c>
      <c r="B9" s="340" t="s">
        <v>761</v>
      </c>
      <c r="C9" s="340" t="s">
        <v>768</v>
      </c>
      <c r="D9" s="837">
        <v>0</v>
      </c>
      <c r="E9" s="837">
        <v>0</v>
      </c>
      <c r="F9" s="850">
        <f t="shared" ref="F9:F14" si="0">+D9-E9</f>
        <v>0</v>
      </c>
    </row>
    <row r="10" spans="1:9" ht="13.2">
      <c r="A10" s="355">
        <f t="shared" ref="A10:A14" si="1">+A9+1</f>
        <v>4</v>
      </c>
      <c r="B10" s="340" t="s">
        <v>762</v>
      </c>
      <c r="C10" s="340" t="s">
        <v>768</v>
      </c>
      <c r="D10" s="837">
        <v>0</v>
      </c>
      <c r="E10" s="837">
        <v>0</v>
      </c>
      <c r="F10" s="850">
        <f t="shared" si="0"/>
        <v>0</v>
      </c>
    </row>
    <row r="11" spans="1:9" ht="13.2">
      <c r="A11" s="355">
        <f t="shared" si="1"/>
        <v>5</v>
      </c>
      <c r="B11" s="340" t="s">
        <v>763</v>
      </c>
      <c r="C11" s="340" t="s">
        <v>768</v>
      </c>
      <c r="D11" s="837">
        <v>0</v>
      </c>
      <c r="E11" s="837">
        <v>0</v>
      </c>
      <c r="F11" s="850">
        <f t="shared" si="0"/>
        <v>0</v>
      </c>
    </row>
    <row r="12" spans="1:9" ht="13.2">
      <c r="A12" s="355">
        <f t="shared" si="1"/>
        <v>6</v>
      </c>
      <c r="B12" s="340" t="s">
        <v>764</v>
      </c>
      <c r="C12" s="340" t="s">
        <v>768</v>
      </c>
      <c r="D12" s="838">
        <v>0</v>
      </c>
      <c r="E12" s="838">
        <v>0</v>
      </c>
      <c r="F12" s="850">
        <f t="shared" si="0"/>
        <v>0</v>
      </c>
    </row>
    <row r="13" spans="1:9" ht="13.2">
      <c r="A13" s="355">
        <f t="shared" si="1"/>
        <v>7</v>
      </c>
      <c r="B13" s="340" t="s">
        <v>764</v>
      </c>
      <c r="C13" s="340" t="s">
        <v>768</v>
      </c>
      <c r="D13" s="838">
        <v>0</v>
      </c>
      <c r="E13" s="838">
        <v>0</v>
      </c>
      <c r="F13" s="850">
        <f t="shared" si="0"/>
        <v>0</v>
      </c>
    </row>
    <row r="14" spans="1:9" ht="13.2">
      <c r="A14" s="355">
        <f t="shared" si="1"/>
        <v>8</v>
      </c>
      <c r="B14" s="840" t="s">
        <v>774</v>
      </c>
      <c r="C14" s="340" t="s">
        <v>772</v>
      </c>
      <c r="D14" s="839">
        <f>+SUM(D8:D13)</f>
        <v>0</v>
      </c>
      <c r="E14" s="839">
        <f>+SUM(E8:E13)</f>
        <v>0</v>
      </c>
      <c r="F14" s="852">
        <f t="shared" si="0"/>
        <v>0</v>
      </c>
    </row>
    <row r="15" spans="1:9" ht="13.2">
      <c r="A15" s="355"/>
      <c r="B15" s="840"/>
      <c r="C15" s="840"/>
      <c r="D15" s="842"/>
      <c r="E15" s="842"/>
    </row>
    <row r="16" spans="1:9" ht="13.2">
      <c r="A16" s="309">
        <f>+A14+1</f>
        <v>9</v>
      </c>
      <c r="B16" s="840" t="s">
        <v>784</v>
      </c>
      <c r="C16" s="835"/>
      <c r="D16" s="836"/>
      <c r="E16" s="356"/>
    </row>
    <row r="17" spans="1:9" ht="13.2">
      <c r="A17" s="355">
        <f>+A16+1</f>
        <v>10</v>
      </c>
      <c r="B17" s="340" t="s">
        <v>770</v>
      </c>
      <c r="C17" s="340" t="s">
        <v>768</v>
      </c>
      <c r="D17" s="837">
        <v>0</v>
      </c>
      <c r="E17" s="837">
        <v>0</v>
      </c>
      <c r="F17" s="850">
        <f t="shared" ref="F17:F25" si="2">+D17-E17</f>
        <v>0</v>
      </c>
    </row>
    <row r="18" spans="1:9" ht="13.2">
      <c r="A18" s="355">
        <f>+A17+1</f>
        <v>11</v>
      </c>
      <c r="B18" s="340" t="s">
        <v>771</v>
      </c>
      <c r="C18" s="340" t="s">
        <v>768</v>
      </c>
      <c r="D18" s="837">
        <v>0</v>
      </c>
      <c r="E18" s="837">
        <v>0</v>
      </c>
      <c r="F18" s="850">
        <f t="shared" si="2"/>
        <v>0</v>
      </c>
    </row>
    <row r="19" spans="1:9" ht="13.2">
      <c r="A19" s="355">
        <f t="shared" ref="A19:A21" si="3">+A18+1</f>
        <v>12</v>
      </c>
      <c r="B19" s="340" t="s">
        <v>769</v>
      </c>
      <c r="C19" s="340" t="s">
        <v>768</v>
      </c>
      <c r="D19" s="837">
        <v>0</v>
      </c>
      <c r="E19" s="837">
        <v>0</v>
      </c>
      <c r="F19" s="850">
        <f t="shared" si="2"/>
        <v>0</v>
      </c>
    </row>
    <row r="20" spans="1:9" ht="13.2">
      <c r="A20" s="355">
        <f t="shared" si="3"/>
        <v>13</v>
      </c>
      <c r="B20" s="340" t="s">
        <v>778</v>
      </c>
      <c r="C20" s="340" t="s">
        <v>768</v>
      </c>
      <c r="D20" s="837">
        <v>0</v>
      </c>
      <c r="E20" s="837">
        <v>0</v>
      </c>
      <c r="F20" s="850">
        <f t="shared" si="2"/>
        <v>0</v>
      </c>
    </row>
    <row r="21" spans="1:9" ht="13.2">
      <c r="A21" s="355">
        <f t="shared" si="3"/>
        <v>14</v>
      </c>
      <c r="B21" s="340" t="s">
        <v>435</v>
      </c>
      <c r="C21" s="340" t="s">
        <v>768</v>
      </c>
      <c r="D21" s="838">
        <v>0</v>
      </c>
      <c r="E21" s="838">
        <v>0</v>
      </c>
      <c r="F21" s="850">
        <f t="shared" si="2"/>
        <v>0</v>
      </c>
    </row>
    <row r="22" spans="1:9" ht="13.2">
      <c r="A22" s="355">
        <f>+A21+1</f>
        <v>15</v>
      </c>
      <c r="B22" s="340" t="s">
        <v>782</v>
      </c>
      <c r="C22" s="340" t="s">
        <v>773</v>
      </c>
      <c r="D22" s="839">
        <f>+SUM(D17:D21)</f>
        <v>0</v>
      </c>
      <c r="E22" s="839">
        <f>+SUM(E17:E21)</f>
        <v>0</v>
      </c>
      <c r="F22" s="852">
        <f t="shared" si="2"/>
        <v>0</v>
      </c>
    </row>
    <row r="23" spans="1:9" ht="13.2">
      <c r="A23" s="355">
        <f>+A22+1</f>
        <v>16</v>
      </c>
      <c r="B23" s="340" t="s">
        <v>780</v>
      </c>
      <c r="C23" s="840"/>
      <c r="D23" s="841"/>
      <c r="E23" s="841"/>
      <c r="F23" s="850">
        <f t="shared" si="2"/>
        <v>0</v>
      </c>
    </row>
    <row r="24" spans="1:9" ht="13.2">
      <c r="A24" s="355">
        <f t="shared" ref="A24:A25" si="4">+A23+1</f>
        <v>17</v>
      </c>
      <c r="B24" s="340" t="s">
        <v>788</v>
      </c>
      <c r="C24" s="840"/>
      <c r="D24" s="841"/>
      <c r="E24" s="841"/>
      <c r="F24" s="850">
        <f t="shared" si="2"/>
        <v>0</v>
      </c>
    </row>
    <row r="25" spans="1:9" ht="13.2">
      <c r="A25" s="355">
        <f t="shared" si="4"/>
        <v>18</v>
      </c>
      <c r="B25" s="840" t="s">
        <v>785</v>
      </c>
      <c r="C25" s="569" t="str">
        <f>"(Line "&amp;A22&amp;" - line "&amp;A23&amp;")"</f>
        <v>(Line 15 - line 16)</v>
      </c>
      <c r="D25" s="839">
        <f>+D22-D23-D24</f>
        <v>0</v>
      </c>
      <c r="E25" s="839">
        <f>+E22-E23-E24</f>
        <v>0</v>
      </c>
      <c r="F25" s="852">
        <f t="shared" si="2"/>
        <v>0</v>
      </c>
    </row>
    <row r="26" spans="1:9" ht="13.2">
      <c r="A26" s="355"/>
      <c r="B26" s="840"/>
      <c r="C26" s="840"/>
      <c r="D26" s="842"/>
      <c r="E26" s="842"/>
    </row>
    <row r="27" spans="1:9" ht="13.2">
      <c r="A27" s="782">
        <f>+A25+1</f>
        <v>19</v>
      </c>
      <c r="B27" s="853" t="s">
        <v>758</v>
      </c>
      <c r="C27" s="569" t="str">
        <f>"(Line "&amp;A14&amp;" + line "&amp;A25&amp;")"</f>
        <v>(Line 8 + line 18)</v>
      </c>
      <c r="D27" s="844">
        <f>+D14+D25</f>
        <v>0</v>
      </c>
      <c r="E27" s="844">
        <f>+E14+E25</f>
        <v>0</v>
      </c>
      <c r="F27" s="844">
        <f>+F14+F25</f>
        <v>0</v>
      </c>
    </row>
    <row r="28" spans="1:9" ht="14.25" customHeight="1">
      <c r="A28" s="340"/>
      <c r="B28" s="340"/>
      <c r="C28" s="340"/>
      <c r="E28" s="849"/>
      <c r="F28" s="355"/>
    </row>
    <row r="29" spans="1:9" s="845" customFormat="1" ht="13.2">
      <c r="A29" s="340"/>
      <c r="B29" s="340"/>
      <c r="C29" s="340"/>
      <c r="D29" s="340"/>
      <c r="E29" s="844"/>
      <c r="F29" s="842"/>
    </row>
    <row r="30" spans="1:9" ht="41.25" customHeight="1">
      <c r="A30" s="846" t="s">
        <v>759</v>
      </c>
      <c r="B30" s="945" t="s">
        <v>786</v>
      </c>
      <c r="C30" s="945"/>
      <c r="D30" s="945"/>
      <c r="E30" s="945"/>
      <c r="F30" s="945"/>
      <c r="G30" s="945"/>
    </row>
    <row r="31" spans="1:9" ht="13.2">
      <c r="A31" s="598"/>
      <c r="B31" s="598"/>
      <c r="C31" s="598"/>
      <c r="D31" s="598"/>
      <c r="E31" s="598"/>
      <c r="F31" s="598"/>
      <c r="G31" s="598"/>
      <c r="H31" s="598"/>
      <c r="I31" s="598"/>
    </row>
    <row r="35" spans="1:5" ht="13.2">
      <c r="A35" s="355"/>
      <c r="B35" s="340"/>
      <c r="C35" s="340"/>
      <c r="D35" s="847"/>
      <c r="E35" s="356"/>
    </row>
    <row r="106" spans="5:5">
      <c r="E106" s="231"/>
    </row>
    <row r="225" spans="4:8">
      <c r="D225" s="843"/>
      <c r="F225" s="843"/>
      <c r="G225" s="843"/>
      <c r="H225" s="843"/>
    </row>
    <row r="226" spans="4:8" ht="99.75" customHeight="1">
      <c r="D226" s="843"/>
      <c r="F226" s="843"/>
      <c r="G226" s="843"/>
      <c r="H226" s="843"/>
    </row>
    <row r="227" spans="4:8">
      <c r="D227" s="843"/>
      <c r="F227" s="843"/>
      <c r="G227" s="843"/>
      <c r="H227" s="843"/>
    </row>
    <row r="228" spans="4:8">
      <c r="D228" s="843"/>
      <c r="F228" s="843"/>
      <c r="G228" s="843"/>
      <c r="H228" s="843"/>
    </row>
    <row r="229" spans="4:8">
      <c r="D229" s="843"/>
      <c r="F229" s="843"/>
      <c r="G229" s="843"/>
      <c r="H229" s="843"/>
    </row>
    <row r="230" spans="4:8">
      <c r="D230" s="843"/>
      <c r="F230" s="843"/>
      <c r="G230" s="843"/>
      <c r="H230" s="843"/>
    </row>
    <row r="231" spans="4:8">
      <c r="D231" s="843"/>
      <c r="F231" s="843"/>
      <c r="G231" s="843"/>
      <c r="H231" s="843"/>
    </row>
    <row r="232" spans="4:8">
      <c r="D232" s="843"/>
      <c r="F232" s="843"/>
      <c r="G232" s="843"/>
      <c r="H232" s="843"/>
    </row>
    <row r="233" spans="4:8">
      <c r="D233" s="843"/>
      <c r="F233" s="843"/>
      <c r="G233" s="843"/>
      <c r="H233" s="843"/>
    </row>
    <row r="234" spans="4:8">
      <c r="D234" s="843"/>
      <c r="F234" s="843"/>
      <c r="G234" s="843"/>
      <c r="H234" s="843"/>
    </row>
    <row r="235" spans="4:8">
      <c r="D235" s="843"/>
      <c r="F235" s="843"/>
      <c r="G235" s="843"/>
      <c r="H235" s="843"/>
    </row>
    <row r="236" spans="4:8">
      <c r="D236" s="843"/>
      <c r="F236" s="843"/>
      <c r="G236" s="843"/>
      <c r="H236" s="843"/>
    </row>
    <row r="237" spans="4:8">
      <c r="D237" s="843"/>
      <c r="F237" s="843"/>
      <c r="G237" s="843"/>
      <c r="H237" s="843"/>
    </row>
    <row r="238" spans="4:8">
      <c r="D238" s="843"/>
      <c r="F238" s="843"/>
      <c r="G238" s="843"/>
      <c r="H238" s="843"/>
    </row>
    <row r="239" spans="4:8">
      <c r="D239" s="843"/>
      <c r="F239" s="843"/>
      <c r="G239" s="843"/>
      <c r="H239" s="843"/>
    </row>
    <row r="240" spans="4:8">
      <c r="D240" s="843"/>
      <c r="F240" s="843"/>
      <c r="G240" s="843"/>
      <c r="H240" s="843"/>
    </row>
    <row r="241" spans="4:8">
      <c r="D241" s="843"/>
      <c r="F241" s="843"/>
      <c r="G241" s="843"/>
      <c r="H241" s="843"/>
    </row>
    <row r="242" spans="4:8">
      <c r="D242" s="843"/>
      <c r="F242" s="843"/>
      <c r="G242" s="843"/>
      <c r="H242" s="843"/>
    </row>
    <row r="243" spans="4:8">
      <c r="D243" s="843"/>
      <c r="F243" s="843"/>
      <c r="G243" s="843"/>
      <c r="H243" s="843"/>
    </row>
    <row r="244" spans="4:8">
      <c r="D244" s="843"/>
      <c r="F244" s="843"/>
      <c r="G244" s="843"/>
      <c r="H244" s="843"/>
    </row>
    <row r="245" spans="4:8">
      <c r="D245" s="843"/>
      <c r="F245" s="843"/>
      <c r="G245" s="843"/>
      <c r="H245" s="843"/>
    </row>
    <row r="246" spans="4:8">
      <c r="D246" s="843"/>
      <c r="F246" s="843"/>
      <c r="G246" s="843"/>
      <c r="H246" s="843"/>
    </row>
    <row r="247" spans="4:8" ht="40.5" customHeight="1">
      <c r="D247" s="843"/>
      <c r="F247" s="843"/>
      <c r="G247" s="843"/>
      <c r="H247" s="843"/>
    </row>
    <row r="248" spans="4:8">
      <c r="D248" s="843"/>
      <c r="F248" s="843"/>
      <c r="G248" s="843"/>
      <c r="H248" s="843"/>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zoomScale="90" zoomScaleNormal="90" zoomScaleSheetLayoutView="90" workbookViewId="0">
      <selection activeCell="E12" sqref="E12"/>
    </sheetView>
  </sheetViews>
  <sheetFormatPr defaultColWidth="8.90625" defaultRowHeight="13.2"/>
  <cols>
    <col min="1" max="1" width="6" style="22" customWidth="1"/>
    <col min="2" max="2" width="1.453125" style="22" customWidth="1"/>
    <col min="3" max="3" width="13.453125" style="22" customWidth="1"/>
    <col min="4" max="4" width="13.54296875" style="567" customWidth="1"/>
    <col min="5" max="5" width="12.54296875" style="22" bestFit="1" customWidth="1"/>
    <col min="6" max="6" width="17.1796875" style="22" customWidth="1"/>
    <col min="7" max="7" width="10.36328125" style="22" customWidth="1"/>
    <col min="8" max="8" width="11.453125" style="22" customWidth="1"/>
    <col min="9" max="9" width="11.1796875" style="22" bestFit="1" customWidth="1"/>
    <col min="10" max="10" width="9.08984375" style="22" customWidth="1"/>
    <col min="11" max="11" width="10.36328125" style="22" customWidth="1"/>
    <col min="12" max="12" width="5.81640625" style="428" customWidth="1"/>
    <col min="13" max="13" width="13.54296875" style="22" customWidth="1"/>
    <col min="14" max="14" width="12.54296875" style="22" customWidth="1"/>
    <col min="15" max="15" width="12.453125" style="22" bestFit="1" customWidth="1"/>
    <col min="16" max="16" width="12.453125" style="22" customWidth="1"/>
    <col min="17" max="17" width="11.6328125" style="22" bestFit="1" customWidth="1"/>
    <col min="18" max="18" width="10.36328125" style="22" bestFit="1" customWidth="1"/>
    <col min="19" max="19" width="11.81640625" style="22" customWidth="1"/>
    <col min="20" max="20" width="9.36328125" style="22" customWidth="1"/>
    <col min="21" max="21" width="10.81640625" style="22" customWidth="1"/>
    <col min="22" max="16384" width="8.90625" style="22"/>
  </cols>
  <sheetData>
    <row r="1" spans="1:23">
      <c r="S1" s="50"/>
    </row>
    <row r="2" spans="1:23">
      <c r="K2" s="22" t="s">
        <v>329</v>
      </c>
      <c r="S2" s="50"/>
    </row>
    <row r="3" spans="1:23">
      <c r="F3" s="17" t="s">
        <v>187</v>
      </c>
      <c r="S3" s="50"/>
    </row>
    <row r="4" spans="1:23">
      <c r="E4" s="16"/>
      <c r="F4" s="17" t="s">
        <v>651</v>
      </c>
      <c r="G4" s="16"/>
      <c r="I4" s="16"/>
      <c r="J4" s="16"/>
      <c r="K4" s="16"/>
      <c r="L4" s="424"/>
      <c r="M4" s="21"/>
      <c r="N4" s="51"/>
      <c r="O4" s="52"/>
      <c r="P4" s="52"/>
      <c r="Q4" s="52"/>
      <c r="R4" s="52"/>
      <c r="S4" s="52"/>
      <c r="T4" s="23"/>
      <c r="U4" s="53"/>
      <c r="V4" s="53"/>
      <c r="W4" s="23"/>
    </row>
    <row r="5" spans="1:23">
      <c r="E5" s="16"/>
      <c r="F5" s="218" t="str">
        <f>+'Attachment H-26'!D5</f>
        <v>Transource West Virginia, LLC</v>
      </c>
      <c r="G5" s="19"/>
      <c r="I5" s="19"/>
      <c r="J5" s="19"/>
      <c r="K5" s="19"/>
      <c r="L5" s="426"/>
      <c r="M5" s="21"/>
      <c r="R5" s="23"/>
      <c r="S5" s="21"/>
      <c r="T5" s="23"/>
      <c r="U5" s="54"/>
      <c r="V5" s="53"/>
      <c r="W5" s="23"/>
    </row>
    <row r="6" spans="1:23">
      <c r="C6" s="23"/>
      <c r="D6" s="568"/>
      <c r="E6" s="23"/>
      <c r="G6" s="23"/>
      <c r="I6" s="23"/>
      <c r="J6" s="23"/>
      <c r="K6" s="23"/>
      <c r="L6" s="23"/>
      <c r="M6" s="23"/>
      <c r="R6" s="23"/>
      <c r="S6" s="23"/>
      <c r="T6" s="23"/>
      <c r="U6" s="53"/>
      <c r="V6" s="53"/>
      <c r="W6" s="23"/>
    </row>
    <row r="7" spans="1:23">
      <c r="A7" s="17"/>
      <c r="C7" s="23"/>
      <c r="D7" s="568"/>
      <c r="E7" s="23"/>
      <c r="F7" s="23"/>
      <c r="G7" s="23"/>
      <c r="H7" s="55"/>
      <c r="I7" s="23"/>
      <c r="J7" s="23"/>
      <c r="K7" s="23"/>
      <c r="L7" s="23"/>
      <c r="M7" s="23"/>
      <c r="N7" s="23"/>
      <c r="O7" s="23"/>
      <c r="P7" s="23"/>
      <c r="Q7" s="23"/>
      <c r="R7" s="23"/>
      <c r="S7" s="23"/>
      <c r="T7" s="23"/>
      <c r="U7" s="53"/>
      <c r="V7" s="53"/>
      <c r="W7" s="23"/>
    </row>
    <row r="8" spans="1:23">
      <c r="A8" s="17"/>
      <c r="C8" s="23" t="s">
        <v>817</v>
      </c>
      <c r="D8" s="568"/>
      <c r="E8" s="23"/>
      <c r="F8" s="23"/>
      <c r="G8" s="23"/>
      <c r="H8" s="55"/>
      <c r="I8" s="23"/>
      <c r="J8" s="23"/>
      <c r="K8" s="23"/>
      <c r="L8" s="23"/>
      <c r="M8" s="23"/>
      <c r="N8" s="23"/>
      <c r="O8" s="23"/>
      <c r="P8" s="23"/>
      <c r="Q8" s="23"/>
      <c r="R8" s="23"/>
      <c r="S8" s="23"/>
      <c r="T8" s="23"/>
      <c r="U8" s="53"/>
      <c r="V8" s="53"/>
      <c r="W8" s="23"/>
    </row>
    <row r="9" spans="1:23">
      <c r="A9" s="17"/>
      <c r="C9" s="23"/>
      <c r="D9" s="568"/>
      <c r="E9" s="23"/>
      <c r="F9" s="23"/>
      <c r="G9" s="23"/>
      <c r="H9" s="23"/>
      <c r="N9" s="56"/>
      <c r="O9" s="56"/>
      <c r="P9" s="56"/>
      <c r="Q9" s="56"/>
      <c r="R9" s="23"/>
      <c r="S9" s="23"/>
      <c r="T9" s="23"/>
      <c r="U9" s="23"/>
      <c r="V9" s="23"/>
      <c r="W9" s="23"/>
    </row>
    <row r="10" spans="1:23">
      <c r="C10" s="57" t="s">
        <v>3</v>
      </c>
      <c r="D10" s="575"/>
      <c r="E10" s="57"/>
      <c r="F10" s="57" t="s">
        <v>4</v>
      </c>
      <c r="G10" s="57"/>
      <c r="I10" s="57" t="s">
        <v>5</v>
      </c>
      <c r="K10" s="58" t="s">
        <v>6</v>
      </c>
      <c r="L10" s="58"/>
      <c r="O10" s="58"/>
      <c r="P10" s="58"/>
      <c r="Q10" s="58"/>
      <c r="R10" s="19"/>
      <c r="S10" s="58"/>
      <c r="T10" s="19"/>
      <c r="U10" s="58"/>
      <c r="V10" s="19"/>
      <c r="W10" s="59"/>
    </row>
    <row r="11" spans="1:23">
      <c r="C11" s="59"/>
      <c r="D11" s="576"/>
      <c r="E11" s="59"/>
      <c r="F11" s="60" t="s">
        <v>822</v>
      </c>
      <c r="G11" s="60"/>
      <c r="I11" s="19"/>
      <c r="R11" s="19"/>
      <c r="T11" s="19"/>
      <c r="U11" s="57"/>
      <c r="V11" s="57"/>
      <c r="W11" s="59"/>
    </row>
    <row r="12" spans="1:23">
      <c r="A12" s="17" t="s">
        <v>8</v>
      </c>
      <c r="C12" s="59"/>
      <c r="D12" s="576"/>
      <c r="E12" s="59"/>
      <c r="F12" s="61" t="s">
        <v>17</v>
      </c>
      <c r="G12" s="61"/>
      <c r="I12" s="62" t="s">
        <v>16</v>
      </c>
      <c r="K12" s="62" t="s">
        <v>14</v>
      </c>
      <c r="L12" s="62"/>
      <c r="O12" s="62"/>
      <c r="P12" s="62"/>
      <c r="Q12" s="62"/>
      <c r="R12" s="19"/>
      <c r="T12" s="23"/>
      <c r="U12" s="63"/>
      <c r="V12" s="57"/>
      <c r="W12" s="59"/>
    </row>
    <row r="13" spans="1:23">
      <c r="A13" s="17" t="s">
        <v>10</v>
      </c>
      <c r="C13" s="64"/>
      <c r="D13" s="577"/>
      <c r="E13" s="64"/>
      <c r="F13" s="19"/>
      <c r="G13" s="19"/>
      <c r="I13" s="19"/>
      <c r="K13" s="19"/>
      <c r="L13" s="426"/>
      <c r="O13" s="19"/>
      <c r="P13" s="19"/>
      <c r="Q13" s="19"/>
      <c r="R13" s="19"/>
      <c r="S13" s="19"/>
      <c r="T13" s="23"/>
      <c r="U13" s="19"/>
      <c r="V13" s="19"/>
      <c r="W13" s="59"/>
    </row>
    <row r="14" spans="1:23">
      <c r="A14" s="65"/>
      <c r="C14" s="59"/>
      <c r="D14" s="576"/>
      <c r="E14" s="59"/>
      <c r="F14" s="19"/>
      <c r="G14" s="19"/>
      <c r="I14" s="19"/>
      <c r="K14" s="19"/>
      <c r="L14" s="426"/>
      <c r="O14" s="19"/>
      <c r="P14" s="19"/>
      <c r="Q14" s="19"/>
      <c r="R14" s="19"/>
      <c r="S14" s="19"/>
      <c r="T14" s="23"/>
      <c r="U14" s="19"/>
      <c r="V14" s="19"/>
      <c r="W14" s="59"/>
    </row>
    <row r="15" spans="1:23">
      <c r="A15" s="20">
        <v>1</v>
      </c>
      <c r="C15" s="59" t="s">
        <v>538</v>
      </c>
      <c r="D15" s="576"/>
      <c r="E15" s="59"/>
      <c r="F15" s="66" t="s">
        <v>841</v>
      </c>
      <c r="G15" s="20"/>
      <c r="I15" s="46">
        <f>+'Attachment H-26'!I65+'Attachment H-26'!I91</f>
        <v>5274948.307692308</v>
      </c>
      <c r="R15" s="19"/>
      <c r="S15" s="19"/>
      <c r="T15" s="23"/>
      <c r="U15" s="19"/>
      <c r="V15" s="19"/>
      <c r="W15" s="59"/>
    </row>
    <row r="16" spans="1:23">
      <c r="A16" s="20">
        <v>2</v>
      </c>
      <c r="C16" s="59" t="s">
        <v>539</v>
      </c>
      <c r="D16" s="576"/>
      <c r="E16" s="59"/>
      <c r="F16" s="66" t="s">
        <v>842</v>
      </c>
      <c r="G16" s="20"/>
      <c r="I16" s="46">
        <f>+'Attachment H-26'!I79+'Attachment H-26'!I91+'Attachment H-26'!I93</f>
        <v>5274948.307692308</v>
      </c>
      <c r="R16" s="19"/>
      <c r="S16" s="19"/>
      <c r="T16" s="23"/>
      <c r="U16" s="19"/>
      <c r="V16" s="19"/>
      <c r="W16" s="59"/>
    </row>
    <row r="17" spans="1:23">
      <c r="A17" s="20"/>
      <c r="F17" s="66"/>
      <c r="G17" s="20"/>
      <c r="R17" s="19"/>
      <c r="S17" s="19"/>
      <c r="T17" s="23"/>
      <c r="U17" s="19"/>
      <c r="V17" s="19"/>
      <c r="W17" s="59"/>
    </row>
    <row r="18" spans="1:23">
      <c r="A18" s="20"/>
      <c r="C18" s="59" t="s">
        <v>127</v>
      </c>
      <c r="D18" s="576"/>
      <c r="E18" s="59"/>
      <c r="F18" s="66"/>
      <c r="G18" s="20"/>
      <c r="I18" s="19"/>
      <c r="K18" s="19"/>
      <c r="L18" s="426"/>
      <c r="O18" s="19"/>
      <c r="P18" s="19"/>
      <c r="Q18" s="19"/>
      <c r="R18" s="19"/>
      <c r="S18" s="19"/>
      <c r="T18" s="19"/>
      <c r="U18" s="19"/>
      <c r="V18" s="19"/>
      <c r="W18" s="59"/>
    </row>
    <row r="19" spans="1:23">
      <c r="A19" s="20">
        <v>3</v>
      </c>
      <c r="C19" s="59" t="s">
        <v>128</v>
      </c>
      <c r="D19" s="576"/>
      <c r="E19" s="59"/>
      <c r="F19" s="66" t="s">
        <v>843</v>
      </c>
      <c r="G19" s="20"/>
      <c r="I19" s="46">
        <f>+'Attachment H-26'!I133</f>
        <v>288650.8454575935</v>
      </c>
      <c r="R19" s="19"/>
      <c r="S19" s="19"/>
      <c r="T19" s="19"/>
      <c r="U19" s="19"/>
      <c r="V19" s="19"/>
      <c r="W19" s="59"/>
    </row>
    <row r="20" spans="1:23">
      <c r="A20" s="20">
        <v>4</v>
      </c>
      <c r="C20" s="59" t="s">
        <v>129</v>
      </c>
      <c r="D20" s="576"/>
      <c r="E20" s="59"/>
      <c r="F20" s="66" t="s">
        <v>130</v>
      </c>
      <c r="G20" s="20"/>
      <c r="I20" s="522">
        <f>IF(I19=0,0,+I19/I15)</f>
        <v>5.4721075661852865E-2</v>
      </c>
      <c r="J20" s="406"/>
      <c r="K20" s="67">
        <f>I20</f>
        <v>5.4721075661852865E-2</v>
      </c>
      <c r="L20" s="408"/>
      <c r="O20" s="67"/>
      <c r="P20" s="67"/>
      <c r="Q20" s="67"/>
      <c r="R20" s="19"/>
      <c r="S20" s="68"/>
      <c r="T20" s="69"/>
      <c r="U20" s="70"/>
      <c r="V20" s="19"/>
      <c r="W20" s="59"/>
    </row>
    <row r="21" spans="1:23">
      <c r="A21" s="20"/>
      <c r="C21" s="59"/>
      <c r="D21" s="576"/>
      <c r="E21" s="59"/>
      <c r="F21" s="66"/>
      <c r="G21" s="20"/>
      <c r="I21" s="71"/>
      <c r="K21" s="67"/>
      <c r="L21" s="408"/>
      <c r="O21" s="67"/>
      <c r="P21" s="67"/>
      <c r="Q21" s="67"/>
      <c r="R21" s="19"/>
      <c r="S21" s="68"/>
      <c r="T21" s="69"/>
      <c r="U21" s="70"/>
      <c r="V21" s="19"/>
      <c r="W21" s="59"/>
    </row>
    <row r="22" spans="1:23">
      <c r="A22" s="58"/>
      <c r="C22" s="59" t="s">
        <v>554</v>
      </c>
      <c r="D22" s="576"/>
      <c r="E22" s="59"/>
      <c r="F22" s="217"/>
      <c r="G22" s="49"/>
      <c r="I22" s="19"/>
      <c r="K22" s="522"/>
      <c r="L22" s="407"/>
      <c r="O22" s="19"/>
      <c r="P22" s="19"/>
      <c r="Q22" s="19"/>
      <c r="R22" s="19"/>
      <c r="S22" s="68"/>
      <c r="T22" s="69"/>
      <c r="U22" s="70"/>
      <c r="V22" s="19"/>
      <c r="W22" s="59"/>
    </row>
    <row r="23" spans="1:23">
      <c r="A23" s="58" t="s">
        <v>131</v>
      </c>
      <c r="C23" s="59" t="s">
        <v>553</v>
      </c>
      <c r="D23" s="576"/>
      <c r="E23" s="59"/>
      <c r="F23" s="66" t="s">
        <v>844</v>
      </c>
      <c r="G23" s="20"/>
      <c r="I23" s="46">
        <f>+'Attachment H-26'!I137</f>
        <v>0</v>
      </c>
      <c r="K23" s="522"/>
      <c r="L23" s="407"/>
      <c r="R23" s="19"/>
      <c r="S23" s="68"/>
      <c r="T23" s="69"/>
      <c r="U23" s="70"/>
      <c r="V23" s="19"/>
      <c r="W23" s="59"/>
    </row>
    <row r="24" spans="1:23">
      <c r="A24" s="58" t="s">
        <v>132</v>
      </c>
      <c r="C24" s="59" t="s">
        <v>349</v>
      </c>
      <c r="D24" s="576"/>
      <c r="E24" s="59"/>
      <c r="F24" s="66" t="s">
        <v>133</v>
      </c>
      <c r="G24" s="20"/>
      <c r="I24" s="522">
        <f>IF(I23=0,0,I23/I15)</f>
        <v>0</v>
      </c>
      <c r="J24" s="47"/>
      <c r="K24" s="67">
        <f>I24</f>
        <v>0</v>
      </c>
      <c r="L24" s="408"/>
      <c r="O24" s="67"/>
      <c r="P24" s="67"/>
      <c r="Q24" s="67"/>
      <c r="R24" s="19"/>
      <c r="S24" s="68"/>
      <c r="T24" s="69"/>
      <c r="U24" s="70"/>
      <c r="V24" s="19"/>
      <c r="W24" s="59"/>
    </row>
    <row r="25" spans="1:23">
      <c r="A25" s="20"/>
      <c r="C25" s="59"/>
      <c r="D25" s="576"/>
      <c r="E25" s="59"/>
      <c r="F25" s="66"/>
      <c r="G25" s="20"/>
      <c r="I25" s="47"/>
      <c r="J25" s="47"/>
      <c r="K25" s="67"/>
      <c r="L25" s="408"/>
      <c r="O25" s="67"/>
      <c r="P25" s="67"/>
      <c r="Q25" s="67"/>
      <c r="R25" s="19"/>
      <c r="S25" s="68"/>
      <c r="T25" s="69"/>
      <c r="U25" s="70"/>
      <c r="V25" s="19"/>
      <c r="W25" s="59"/>
    </row>
    <row r="26" spans="1:23">
      <c r="A26" s="58"/>
      <c r="C26" s="59" t="s">
        <v>134</v>
      </c>
      <c r="D26" s="576"/>
      <c r="E26" s="59"/>
      <c r="F26" s="217"/>
      <c r="G26" s="49"/>
      <c r="I26" s="47"/>
      <c r="J26" s="47"/>
      <c r="K26" s="522"/>
      <c r="L26" s="407"/>
      <c r="O26" s="19"/>
      <c r="P26" s="19"/>
      <c r="Q26" s="19"/>
      <c r="R26" s="19"/>
      <c r="S26" s="19"/>
      <c r="T26" s="19"/>
      <c r="U26" s="19"/>
      <c r="V26" s="19"/>
      <c r="W26" s="59"/>
    </row>
    <row r="27" spans="1:23">
      <c r="A27" s="58" t="s">
        <v>135</v>
      </c>
      <c r="C27" s="59" t="s">
        <v>136</v>
      </c>
      <c r="D27" s="576"/>
      <c r="E27" s="59"/>
      <c r="F27" s="66" t="s">
        <v>845</v>
      </c>
      <c r="G27" s="20"/>
      <c r="I27" s="46">
        <f>+'Attachment H-26'!I150</f>
        <v>0</v>
      </c>
      <c r="J27" s="47"/>
      <c r="K27" s="522"/>
      <c r="L27" s="407"/>
      <c r="R27" s="19"/>
      <c r="S27" s="63"/>
      <c r="T27" s="19"/>
      <c r="U27" s="20"/>
      <c r="V27" s="57"/>
      <c r="W27" s="59"/>
    </row>
    <row r="28" spans="1:23">
      <c r="A28" s="58" t="s">
        <v>137</v>
      </c>
      <c r="C28" s="59" t="s">
        <v>138</v>
      </c>
      <c r="D28" s="576"/>
      <c r="E28" s="59"/>
      <c r="F28" s="66" t="s">
        <v>139</v>
      </c>
      <c r="G28" s="20"/>
      <c r="I28" s="522">
        <f>IF(I27=0,0,I27/I15)</f>
        <v>0</v>
      </c>
      <c r="J28" s="47"/>
      <c r="K28" s="67">
        <f>I28</f>
        <v>0</v>
      </c>
      <c r="L28" s="408"/>
      <c r="O28" s="67"/>
      <c r="P28" s="67"/>
      <c r="Q28" s="67"/>
      <c r="R28" s="19"/>
      <c r="S28" s="68"/>
      <c r="T28" s="19"/>
      <c r="U28" s="70"/>
      <c r="V28" s="57"/>
      <c r="W28" s="59"/>
    </row>
    <row r="29" spans="1:23">
      <c r="A29" s="58"/>
      <c r="C29" s="59"/>
      <c r="D29" s="576"/>
      <c r="E29" s="59"/>
      <c r="F29" s="66"/>
      <c r="G29" s="20"/>
      <c r="I29" s="19"/>
      <c r="K29" s="522"/>
      <c r="L29" s="407"/>
      <c r="O29" s="19"/>
      <c r="P29" s="19"/>
      <c r="Q29" s="19"/>
      <c r="R29" s="19"/>
      <c r="V29" s="19"/>
      <c r="W29" s="59"/>
    </row>
    <row r="30" spans="1:23">
      <c r="A30" s="58" t="s">
        <v>140</v>
      </c>
      <c r="C30" s="59" t="s">
        <v>181</v>
      </c>
      <c r="D30" s="576"/>
      <c r="E30" s="59"/>
      <c r="F30" s="66" t="s">
        <v>846</v>
      </c>
      <c r="G30" s="20"/>
      <c r="I30" s="46">
        <f>-'Attachment H-26'!I18</f>
        <v>0</v>
      </c>
      <c r="K30" s="522"/>
      <c r="L30" s="407"/>
      <c r="O30" s="19"/>
      <c r="P30" s="19"/>
      <c r="Q30" s="19"/>
      <c r="R30" s="19"/>
      <c r="V30" s="19"/>
      <c r="W30" s="59"/>
    </row>
    <row r="31" spans="1:23">
      <c r="A31" s="58" t="s">
        <v>143</v>
      </c>
      <c r="C31" s="59" t="s">
        <v>409</v>
      </c>
      <c r="D31" s="576"/>
      <c r="E31" s="59"/>
      <c r="F31" s="66" t="s">
        <v>176</v>
      </c>
      <c r="G31" s="20"/>
      <c r="I31" s="521">
        <f>IF(I30=0,0,I30/I15)</f>
        <v>0</v>
      </c>
      <c r="K31" s="522">
        <f>+I31</f>
        <v>0</v>
      </c>
      <c r="L31" s="407"/>
      <c r="O31" s="19"/>
      <c r="P31" s="19"/>
      <c r="Q31" s="19"/>
      <c r="R31" s="19"/>
      <c r="V31" s="19"/>
      <c r="W31" s="59"/>
    </row>
    <row r="32" spans="1:23">
      <c r="A32" s="58"/>
      <c r="C32" s="59"/>
      <c r="D32" s="576"/>
      <c r="E32" s="59"/>
      <c r="F32" s="66"/>
      <c r="G32" s="20"/>
      <c r="I32" s="19"/>
      <c r="K32" s="522"/>
      <c r="L32" s="407"/>
      <c r="O32" s="19"/>
      <c r="P32" s="19"/>
      <c r="Q32" s="19"/>
      <c r="R32" s="19"/>
      <c r="V32" s="19"/>
      <c r="W32" s="59"/>
    </row>
    <row r="33" spans="1:23">
      <c r="A33" s="72" t="s">
        <v>144</v>
      </c>
      <c r="B33" s="73"/>
      <c r="C33" s="64" t="s">
        <v>141</v>
      </c>
      <c r="D33" s="577"/>
      <c r="E33" s="64"/>
      <c r="F33" s="74" t="s">
        <v>177</v>
      </c>
      <c r="G33" s="60"/>
      <c r="I33" s="69"/>
      <c r="K33" s="75">
        <f>K20+K24+K28+K31</f>
        <v>5.4721075661852865E-2</v>
      </c>
      <c r="L33" s="409"/>
      <c r="O33" s="75"/>
      <c r="P33" s="75"/>
      <c r="Q33" s="75"/>
      <c r="R33" s="19"/>
      <c r="V33" s="19"/>
      <c r="W33" s="59"/>
    </row>
    <row r="34" spans="1:23">
      <c r="A34" s="58"/>
      <c r="C34" s="59"/>
      <c r="D34" s="576"/>
      <c r="E34" s="59"/>
      <c r="F34" s="66"/>
      <c r="G34" s="20"/>
      <c r="I34" s="19"/>
      <c r="K34" s="522"/>
      <c r="L34" s="407"/>
      <c r="O34" s="19"/>
      <c r="P34" s="19"/>
      <c r="Q34" s="19"/>
      <c r="R34" s="19"/>
      <c r="S34" s="19"/>
      <c r="T34" s="19"/>
      <c r="U34" s="76"/>
      <c r="V34" s="19"/>
      <c r="W34" s="59"/>
    </row>
    <row r="35" spans="1:23">
      <c r="A35" s="58"/>
      <c r="B35" s="77"/>
      <c r="C35" s="19" t="s">
        <v>142</v>
      </c>
      <c r="D35" s="566"/>
      <c r="E35" s="19"/>
      <c r="F35" s="66"/>
      <c r="G35" s="20"/>
      <c r="I35" s="19"/>
      <c r="K35" s="522"/>
      <c r="L35" s="407"/>
      <c r="O35" s="19"/>
      <c r="P35" s="19"/>
      <c r="Q35" s="19"/>
      <c r="R35" s="78"/>
      <c r="S35" s="77"/>
      <c r="V35" s="57"/>
      <c r="W35" s="19" t="s">
        <v>2</v>
      </c>
    </row>
    <row r="36" spans="1:23">
      <c r="A36" s="58" t="s">
        <v>146</v>
      </c>
      <c r="B36" s="77"/>
      <c r="C36" s="19" t="s">
        <v>42</v>
      </c>
      <c r="D36" s="566"/>
      <c r="E36" s="19"/>
      <c r="F36" s="66" t="s">
        <v>847</v>
      </c>
      <c r="G36" s="20"/>
      <c r="I36" s="46">
        <f>+'Attachment H-26'!I165</f>
        <v>231512.23855137383</v>
      </c>
      <c r="K36" s="522"/>
      <c r="L36" s="407"/>
      <c r="O36" s="19"/>
      <c r="P36" s="19"/>
      <c r="Q36" s="19"/>
      <c r="R36" s="78"/>
      <c r="S36" s="77"/>
      <c r="V36" s="57"/>
      <c r="W36" s="19"/>
    </row>
    <row r="37" spans="1:23">
      <c r="A37" s="58" t="s">
        <v>148</v>
      </c>
      <c r="B37" s="77"/>
      <c r="C37" s="19" t="s">
        <v>145</v>
      </c>
      <c r="D37" s="566"/>
      <c r="E37" s="19"/>
      <c r="F37" s="66" t="s">
        <v>150</v>
      </c>
      <c r="G37" s="20"/>
      <c r="I37" s="522">
        <f>IF(I16=0,0,I36/I16)</f>
        <v>4.3889006118555909E-2</v>
      </c>
      <c r="K37" s="67">
        <f>I37</f>
        <v>4.3889006118555909E-2</v>
      </c>
      <c r="L37" s="408"/>
      <c r="O37" s="67"/>
      <c r="P37" s="67"/>
      <c r="Q37" s="67"/>
      <c r="R37" s="78"/>
      <c r="S37" s="77"/>
      <c r="T37" s="19"/>
      <c r="U37" s="19"/>
      <c r="V37" s="57"/>
      <c r="W37" s="19"/>
    </row>
    <row r="38" spans="1:23">
      <c r="A38" s="58"/>
      <c r="C38" s="19"/>
      <c r="D38" s="566"/>
      <c r="E38" s="19"/>
      <c r="F38" s="66"/>
      <c r="G38" s="20"/>
      <c r="I38" s="19"/>
      <c r="K38" s="522"/>
      <c r="L38" s="407"/>
      <c r="O38" s="19"/>
      <c r="P38" s="19"/>
      <c r="Q38" s="19"/>
      <c r="R38" s="19"/>
      <c r="T38" s="23"/>
      <c r="U38" s="19"/>
      <c r="V38" s="23"/>
      <c r="W38" s="59"/>
    </row>
    <row r="39" spans="1:23">
      <c r="A39" s="58"/>
      <c r="C39" s="59" t="s">
        <v>43</v>
      </c>
      <c r="D39" s="576"/>
      <c r="E39" s="59"/>
      <c r="F39" s="79"/>
      <c r="G39" s="80"/>
      <c r="K39" s="522"/>
      <c r="L39" s="407"/>
      <c r="R39" s="19"/>
      <c r="T39" s="19"/>
      <c r="U39" s="19"/>
      <c r="V39" s="19"/>
      <c r="W39" s="59"/>
    </row>
    <row r="40" spans="1:23">
      <c r="A40" s="58" t="s">
        <v>151</v>
      </c>
      <c r="C40" s="59" t="s">
        <v>147</v>
      </c>
      <c r="D40" s="576"/>
      <c r="E40" s="59"/>
      <c r="F40" s="66" t="s">
        <v>848</v>
      </c>
      <c r="G40" s="20"/>
      <c r="I40" s="46">
        <f>+'Attachment H-26'!I168</f>
        <v>564875.36627205485</v>
      </c>
      <c r="K40" s="522"/>
      <c r="L40" s="407"/>
      <c r="O40" s="19"/>
      <c r="P40" s="19"/>
      <c r="Q40" s="19"/>
      <c r="R40" s="19"/>
      <c r="T40" s="19"/>
      <c r="U40" s="19"/>
      <c r="V40" s="19"/>
      <c r="W40" s="59"/>
    </row>
    <row r="41" spans="1:23">
      <c r="A41" s="58" t="s">
        <v>174</v>
      </c>
      <c r="B41" s="77"/>
      <c r="C41" s="19" t="s">
        <v>149</v>
      </c>
      <c r="D41" s="566"/>
      <c r="E41" s="19"/>
      <c r="F41" s="66" t="s">
        <v>357</v>
      </c>
      <c r="G41" s="20"/>
      <c r="I41" s="522">
        <f>IF(I16=0,0,I40/I16)</f>
        <v>0.10708642688466029</v>
      </c>
      <c r="K41" s="67">
        <f>I41</f>
        <v>0.10708642688466029</v>
      </c>
      <c r="L41" s="408"/>
      <c r="O41" s="67"/>
      <c r="P41" s="67"/>
      <c r="Q41" s="67"/>
      <c r="R41" s="19"/>
      <c r="U41" s="81"/>
      <c r="V41" s="57"/>
      <c r="W41" s="19"/>
    </row>
    <row r="42" spans="1:23">
      <c r="A42" s="58"/>
      <c r="C42" s="59"/>
      <c r="D42" s="576"/>
      <c r="E42" s="59"/>
      <c r="F42" s="66"/>
      <c r="G42" s="20"/>
      <c r="I42" s="406"/>
      <c r="K42" s="522"/>
      <c r="L42" s="407"/>
      <c r="O42" s="19"/>
      <c r="P42" s="19"/>
      <c r="Q42" s="19"/>
      <c r="R42" s="19"/>
      <c r="S42" s="80"/>
      <c r="T42" s="19"/>
      <c r="U42" s="19"/>
      <c r="V42" s="19"/>
      <c r="W42" s="59"/>
    </row>
    <row r="43" spans="1:23">
      <c r="A43" s="72" t="s">
        <v>175</v>
      </c>
      <c r="B43" s="73"/>
      <c r="C43" s="64" t="s">
        <v>152</v>
      </c>
      <c r="D43" s="577"/>
      <c r="E43" s="64"/>
      <c r="F43" s="74" t="s">
        <v>178</v>
      </c>
      <c r="G43" s="60"/>
      <c r="I43" s="522">
        <f>+I41+I37</f>
        <v>0.1509754330032162</v>
      </c>
      <c r="K43" s="75">
        <f>K37+K41</f>
        <v>0.1509754330032162</v>
      </c>
      <c r="L43" s="409"/>
      <c r="O43" s="75"/>
      <c r="P43" s="75"/>
      <c r="Q43" s="75"/>
      <c r="R43" s="19"/>
      <c r="S43" s="80"/>
      <c r="T43" s="19"/>
      <c r="U43" s="19"/>
      <c r="V43" s="19"/>
      <c r="W43" s="59"/>
    </row>
    <row r="44" spans="1:23">
      <c r="R44" s="82"/>
      <c r="S44" s="82"/>
      <c r="T44" s="19"/>
      <c r="U44" s="19"/>
      <c r="V44" s="19"/>
      <c r="W44" s="59"/>
    </row>
    <row r="45" spans="1:23">
      <c r="A45" s="17"/>
      <c r="H45" s="19"/>
      <c r="R45" s="19"/>
      <c r="S45" s="19"/>
      <c r="T45" s="19"/>
      <c r="U45" s="19"/>
      <c r="V45" s="57"/>
      <c r="W45" s="19" t="s">
        <v>2</v>
      </c>
    </row>
    <row r="46" spans="1:23">
      <c r="S46" s="50"/>
    </row>
    <row r="47" spans="1:23">
      <c r="K47" s="22" t="s">
        <v>351</v>
      </c>
      <c r="S47" s="50"/>
      <c r="U47" s="22" t="s">
        <v>350</v>
      </c>
    </row>
    <row r="48" spans="1:23">
      <c r="A48" s="17"/>
      <c r="C48" s="59"/>
      <c r="D48" s="576"/>
      <c r="E48" s="59"/>
      <c r="F48" s="49" t="str">
        <f>+F3</f>
        <v>Attachment 1</v>
      </c>
      <c r="I48" s="49"/>
      <c r="P48" s="49" t="str">
        <f>+F48</f>
        <v>Attachment 1</v>
      </c>
      <c r="R48" s="19"/>
      <c r="S48" s="50"/>
      <c r="T48" s="19"/>
      <c r="U48" s="23"/>
      <c r="V48" s="19"/>
      <c r="W48" s="59"/>
    </row>
    <row r="49" spans="1:23">
      <c r="A49" s="17"/>
      <c r="C49" s="59"/>
      <c r="D49" s="576"/>
      <c r="E49" s="59"/>
      <c r="F49" s="49" t="str">
        <f>+F4</f>
        <v>Project Revenue Requirement Worksheet</v>
      </c>
      <c r="I49" s="49"/>
      <c r="N49" s="19"/>
      <c r="O49" s="19"/>
      <c r="P49" s="574" t="str">
        <f t="shared" ref="P49:P50" si="0">+F49</f>
        <v>Project Revenue Requirement Worksheet</v>
      </c>
      <c r="Q49" s="19"/>
      <c r="R49" s="19"/>
      <c r="T49" s="19"/>
      <c r="U49" s="23"/>
      <c r="V49" s="19"/>
      <c r="W49" s="59"/>
    </row>
    <row r="50" spans="1:23" ht="14.25" customHeight="1">
      <c r="A50" s="17"/>
      <c r="F50" s="49" t="str">
        <f>+F5</f>
        <v>Transource West Virginia, LLC</v>
      </c>
      <c r="P50" s="574" t="str">
        <f t="shared" si="0"/>
        <v>Transource West Virginia, LLC</v>
      </c>
      <c r="R50" s="19"/>
      <c r="T50" s="19"/>
      <c r="U50" s="23"/>
      <c r="V50" s="19"/>
      <c r="W50" s="59"/>
    </row>
    <row r="51" spans="1:23" s="428" customFormat="1">
      <c r="A51" s="465"/>
      <c r="D51" s="567"/>
      <c r="F51" s="64"/>
      <c r="G51" s="64"/>
      <c r="I51" s="23"/>
      <c r="J51" s="23"/>
      <c r="K51" s="23"/>
      <c r="L51" s="23"/>
      <c r="M51" s="23"/>
      <c r="N51" s="23"/>
      <c r="O51" s="23"/>
      <c r="P51" s="23"/>
      <c r="Q51" s="23"/>
      <c r="R51" s="426"/>
      <c r="S51" s="426"/>
      <c r="T51" s="426"/>
      <c r="U51" s="23"/>
      <c r="V51" s="426"/>
      <c r="W51" s="59"/>
    </row>
    <row r="52" spans="1:23" s="428" customFormat="1" ht="53.25" customHeight="1">
      <c r="A52" s="465"/>
      <c r="C52" s="920" t="s">
        <v>818</v>
      </c>
      <c r="D52" s="920"/>
      <c r="E52" s="920"/>
      <c r="F52" s="920"/>
      <c r="G52" s="920"/>
      <c r="H52" s="920"/>
      <c r="I52" s="920"/>
      <c r="J52" s="920"/>
      <c r="K52" s="920"/>
      <c r="L52" s="464"/>
      <c r="M52" s="23"/>
      <c r="N52" s="23"/>
      <c r="O52" s="23"/>
      <c r="P52" s="23"/>
      <c r="Q52" s="23"/>
      <c r="R52" s="426"/>
      <c r="S52" s="426"/>
      <c r="T52" s="426"/>
      <c r="U52" s="23"/>
      <c r="V52" s="426"/>
      <c r="W52" s="59"/>
    </row>
    <row r="53" spans="1:23" s="428" customFormat="1" ht="28.5" customHeight="1">
      <c r="A53" s="465"/>
      <c r="C53" s="922" t="s">
        <v>753</v>
      </c>
      <c r="D53" s="922"/>
      <c r="E53" s="922"/>
      <c r="F53" s="922"/>
      <c r="G53" s="922"/>
      <c r="H53" s="922"/>
      <c r="I53" s="922"/>
      <c r="J53" s="922"/>
      <c r="K53" s="922"/>
      <c r="L53" s="23"/>
      <c r="M53" s="23"/>
      <c r="N53" s="23"/>
      <c r="O53" s="23"/>
      <c r="P53" s="23"/>
      <c r="Q53" s="23"/>
      <c r="R53" s="426"/>
      <c r="S53" s="426"/>
      <c r="T53" s="426"/>
      <c r="U53" s="23"/>
      <c r="V53" s="426"/>
      <c r="W53" s="59"/>
    </row>
    <row r="54" spans="1:23">
      <c r="A54" s="17"/>
      <c r="F54" s="64"/>
      <c r="G54" s="64"/>
      <c r="I54" s="23"/>
      <c r="J54" s="23"/>
      <c r="K54" s="23"/>
      <c r="L54" s="23"/>
      <c r="M54" s="23"/>
      <c r="N54" s="23"/>
      <c r="O54" s="23"/>
      <c r="P54" s="23"/>
      <c r="Q54" s="23"/>
      <c r="R54" s="19"/>
      <c r="S54" s="19"/>
      <c r="T54" s="19"/>
      <c r="U54" s="23"/>
      <c r="V54" s="19"/>
      <c r="W54" s="59"/>
    </row>
    <row r="55" spans="1:23">
      <c r="A55" s="17"/>
      <c r="C55" s="83">
        <v>-1</v>
      </c>
      <c r="D55" s="578"/>
      <c r="E55" s="83">
        <v>-2</v>
      </c>
      <c r="F55" s="83">
        <v>-3</v>
      </c>
      <c r="G55" s="83">
        <v>-4</v>
      </c>
      <c r="H55" s="83">
        <v>-5</v>
      </c>
      <c r="I55" s="83">
        <v>-6</v>
      </c>
      <c r="J55" s="83">
        <v>-7</v>
      </c>
      <c r="K55" s="83">
        <v>-8</v>
      </c>
      <c r="L55" s="83"/>
      <c r="M55" s="83">
        <v>-9</v>
      </c>
      <c r="N55" s="83">
        <v>-10</v>
      </c>
      <c r="O55" s="83">
        <v>-11</v>
      </c>
      <c r="P55" s="83">
        <v>-12</v>
      </c>
      <c r="Q55" s="83" t="s">
        <v>314</v>
      </c>
      <c r="R55" s="83">
        <v>-13</v>
      </c>
      <c r="S55" s="215" t="s">
        <v>276</v>
      </c>
      <c r="T55" s="215" t="s">
        <v>277</v>
      </c>
      <c r="U55" s="215" t="s">
        <v>288</v>
      </c>
      <c r="V55" s="19"/>
      <c r="W55" s="59"/>
    </row>
    <row r="56" spans="1:23" ht="53.25" customHeight="1">
      <c r="A56" s="579" t="s">
        <v>154</v>
      </c>
      <c r="B56" s="84"/>
      <c r="C56" s="84" t="s">
        <v>336</v>
      </c>
      <c r="D56" s="580" t="s">
        <v>652</v>
      </c>
      <c r="E56" s="420" t="s">
        <v>610</v>
      </c>
      <c r="F56" s="85" t="s">
        <v>155</v>
      </c>
      <c r="G56" s="85" t="s">
        <v>141</v>
      </c>
      <c r="H56" s="86" t="s">
        <v>156</v>
      </c>
      <c r="I56" s="85" t="s">
        <v>157</v>
      </c>
      <c r="J56" s="85" t="s">
        <v>152</v>
      </c>
      <c r="K56" s="86" t="s">
        <v>158</v>
      </c>
      <c r="L56" s="579" t="s">
        <v>154</v>
      </c>
      <c r="M56" s="85" t="s">
        <v>179</v>
      </c>
      <c r="N56" s="87" t="s">
        <v>159</v>
      </c>
      <c r="O56" s="87" t="s">
        <v>537</v>
      </c>
      <c r="P56" s="87" t="s">
        <v>180</v>
      </c>
      <c r="Q56" s="87" t="s">
        <v>312</v>
      </c>
      <c r="R56" s="87" t="s">
        <v>756</v>
      </c>
      <c r="S56" s="87" t="s">
        <v>186</v>
      </c>
      <c r="T56" s="87" t="s">
        <v>160</v>
      </c>
      <c r="U56" s="87" t="s">
        <v>632</v>
      </c>
      <c r="V56" s="19"/>
      <c r="W56" s="59"/>
    </row>
    <row r="57" spans="1:23" ht="46.5" customHeight="1">
      <c r="A57" s="581"/>
      <c r="B57" s="88"/>
      <c r="C57" s="88"/>
      <c r="D57" s="582"/>
      <c r="E57" s="88"/>
      <c r="F57" s="89" t="s">
        <v>109</v>
      </c>
      <c r="G57" s="89" t="s">
        <v>281</v>
      </c>
      <c r="H57" s="90" t="s">
        <v>161</v>
      </c>
      <c r="I57" s="89" t="s">
        <v>526</v>
      </c>
      <c r="J57" s="230" t="s">
        <v>282</v>
      </c>
      <c r="K57" s="289" t="s">
        <v>162</v>
      </c>
      <c r="L57" s="581"/>
      <c r="M57" s="89" t="s">
        <v>164</v>
      </c>
      <c r="N57" s="289" t="s">
        <v>163</v>
      </c>
      <c r="O57" s="89" t="s">
        <v>244</v>
      </c>
      <c r="P57" s="289" t="s">
        <v>310</v>
      </c>
      <c r="Q57" s="91" t="s">
        <v>313</v>
      </c>
      <c r="R57" s="230" t="s">
        <v>229</v>
      </c>
      <c r="S57" s="91" t="s">
        <v>289</v>
      </c>
      <c r="T57" s="92" t="s">
        <v>611</v>
      </c>
      <c r="U57" s="91" t="s">
        <v>660</v>
      </c>
      <c r="V57" s="19"/>
      <c r="W57" s="59"/>
    </row>
    <row r="58" spans="1:23">
      <c r="A58" s="583"/>
      <c r="B58" s="23"/>
      <c r="C58" s="23"/>
      <c r="D58" s="568"/>
      <c r="E58" s="23"/>
      <c r="F58" s="23"/>
      <c r="G58" s="23"/>
      <c r="H58" s="93"/>
      <c r="I58" s="23"/>
      <c r="J58" s="23"/>
      <c r="K58" s="93"/>
      <c r="L58" s="583"/>
      <c r="M58" s="23"/>
      <c r="N58" s="93"/>
      <c r="O58" s="286"/>
      <c r="P58" s="93"/>
      <c r="Q58" s="93"/>
      <c r="R58" s="23"/>
      <c r="S58" s="229"/>
      <c r="T58" s="19"/>
      <c r="U58" s="94"/>
      <c r="V58" s="19"/>
      <c r="W58" s="59"/>
    </row>
    <row r="59" spans="1:23">
      <c r="A59" s="537" t="s">
        <v>542</v>
      </c>
      <c r="B59" s="95"/>
      <c r="C59" s="586" t="s">
        <v>856</v>
      </c>
      <c r="D59" s="586" t="s">
        <v>653</v>
      </c>
      <c r="E59" s="902" t="s">
        <v>857</v>
      </c>
      <c r="F59" s="597">
        <f>+I15</f>
        <v>5274948.307692308</v>
      </c>
      <c r="G59" s="407">
        <f>$K$33</f>
        <v>5.4721075661852865E-2</v>
      </c>
      <c r="H59" s="272">
        <f>F59*G59</f>
        <v>288650.8454575935</v>
      </c>
      <c r="I59" s="98">
        <f>+I16</f>
        <v>5274948.307692308</v>
      </c>
      <c r="J59" s="407">
        <f>$K$43</f>
        <v>0.1509754330032162</v>
      </c>
      <c r="K59" s="602">
        <f>I59*J59</f>
        <v>796387.60482342867</v>
      </c>
      <c r="L59" s="537" t="str">
        <f>+A59</f>
        <v>1a</v>
      </c>
      <c r="M59" s="597">
        <f>+I23</f>
        <v>0</v>
      </c>
      <c r="N59" s="272">
        <f>H59+K59+M59</f>
        <v>1085038.4502810221</v>
      </c>
      <c r="O59" s="287">
        <v>0</v>
      </c>
      <c r="P59" s="272">
        <f>O59/100*'2-Incentive ROE'!$J$38*I59</f>
        <v>0</v>
      </c>
      <c r="Q59" s="272">
        <f>+N59+P59</f>
        <v>1085038.4502810221</v>
      </c>
      <c r="R59" s="597">
        <v>0</v>
      </c>
      <c r="S59" s="602">
        <f>+N59+P59-R59</f>
        <v>1085038.4502810221</v>
      </c>
      <c r="T59" s="597">
        <f>+'3-Project True-up'!L19</f>
        <v>0</v>
      </c>
      <c r="U59" s="272">
        <f>+S59+T59</f>
        <v>1085038.4502810221</v>
      </c>
    </row>
    <row r="60" spans="1:23">
      <c r="A60" s="537" t="s">
        <v>543</v>
      </c>
      <c r="B60" s="95"/>
      <c r="C60" s="96"/>
      <c r="D60" s="586"/>
      <c r="E60" s="97"/>
      <c r="F60" s="597">
        <v>0</v>
      </c>
      <c r="G60" s="407">
        <f>$K$33</f>
        <v>5.4721075661852865E-2</v>
      </c>
      <c r="H60" s="272">
        <f>F60*G60</f>
        <v>0</v>
      </c>
      <c r="I60" s="98">
        <v>0</v>
      </c>
      <c r="J60" s="407">
        <f>$K$43</f>
        <v>0.1509754330032162</v>
      </c>
      <c r="K60" s="602">
        <f>I60*J60</f>
        <v>0</v>
      </c>
      <c r="L60" s="537" t="str">
        <f>+A60</f>
        <v>1b</v>
      </c>
      <c r="M60" s="597">
        <v>0</v>
      </c>
      <c r="N60" s="272">
        <f>H60+K60+M60</f>
        <v>0</v>
      </c>
      <c r="O60" s="287">
        <v>0</v>
      </c>
      <c r="P60" s="272">
        <f>O60/100*'2-Incentive ROE'!$J$38*I60</f>
        <v>0</v>
      </c>
      <c r="Q60" s="272">
        <f>+N60+P60</f>
        <v>0</v>
      </c>
      <c r="R60" s="597">
        <v>0</v>
      </c>
      <c r="S60" s="602">
        <f>+N60+P60-R60</f>
        <v>0</v>
      </c>
      <c r="T60" s="597">
        <f>+'3-Project True-up'!L20</f>
        <v>0</v>
      </c>
      <c r="U60" s="272">
        <f>+S60+T60</f>
        <v>0</v>
      </c>
    </row>
    <row r="61" spans="1:23" s="567" customFormat="1">
      <c r="A61" s="541">
        <v>2</v>
      </c>
      <c r="B61" s="542"/>
      <c r="C61" s="542" t="s">
        <v>655</v>
      </c>
      <c r="D61" s="542"/>
      <c r="E61" s="562"/>
      <c r="F61" s="564">
        <f>+F59+F60</f>
        <v>5274948.307692308</v>
      </c>
      <c r="G61" s="535"/>
      <c r="H61" s="536">
        <f>+H59+H60</f>
        <v>288650.8454575935</v>
      </c>
      <c r="I61" s="563">
        <f>+I59+I60</f>
        <v>5274948.307692308</v>
      </c>
      <c r="J61" s="535"/>
      <c r="K61" s="536">
        <f>+K59+K60</f>
        <v>796387.60482342867</v>
      </c>
      <c r="L61" s="560">
        <f>+A61</f>
        <v>2</v>
      </c>
      <c r="M61" s="564">
        <f>+M59+M60</f>
        <v>0</v>
      </c>
      <c r="N61" s="536">
        <f>+N59+N60</f>
        <v>1085038.4502810221</v>
      </c>
      <c r="O61" s="539"/>
      <c r="P61" s="536">
        <f t="shared" ref="P61:U61" si="1">+P59+P60</f>
        <v>0</v>
      </c>
      <c r="Q61" s="536">
        <f t="shared" si="1"/>
        <v>1085038.4502810221</v>
      </c>
      <c r="R61" s="564">
        <f t="shared" si="1"/>
        <v>0</v>
      </c>
      <c r="S61" s="536">
        <f t="shared" si="1"/>
        <v>1085038.4502810221</v>
      </c>
      <c r="T61" s="564">
        <f t="shared" si="1"/>
        <v>0</v>
      </c>
      <c r="U61" s="536">
        <f t="shared" si="1"/>
        <v>1085038.4502810221</v>
      </c>
    </row>
    <row r="62" spans="1:23" s="567" customFormat="1">
      <c r="A62" s="537"/>
      <c r="B62" s="585"/>
      <c r="C62" s="585"/>
      <c r="D62" s="585"/>
      <c r="E62" s="554"/>
      <c r="F62" s="573"/>
      <c r="G62" s="622"/>
      <c r="H62" s="602"/>
      <c r="I62" s="555"/>
      <c r="J62" s="622"/>
      <c r="K62" s="602"/>
      <c r="L62" s="537"/>
      <c r="M62" s="573"/>
      <c r="N62" s="602"/>
      <c r="O62" s="538"/>
      <c r="P62" s="602"/>
      <c r="Q62" s="602"/>
      <c r="R62" s="573"/>
      <c r="S62" s="602"/>
      <c r="T62" s="573"/>
      <c r="U62" s="602"/>
    </row>
    <row r="63" spans="1:23">
      <c r="A63" s="537" t="s">
        <v>358</v>
      </c>
      <c r="B63" s="95"/>
      <c r="C63" s="586"/>
      <c r="D63" s="586" t="s">
        <v>654</v>
      </c>
      <c r="E63" s="902"/>
      <c r="F63" s="597">
        <v>0</v>
      </c>
      <c r="G63" s="407">
        <f>$K$33</f>
        <v>5.4721075661852865E-2</v>
      </c>
      <c r="H63" s="272">
        <f>F63*G63</f>
        <v>0</v>
      </c>
      <c r="I63" s="98">
        <v>0</v>
      </c>
      <c r="J63" s="407">
        <f>$K$43</f>
        <v>0.1509754330032162</v>
      </c>
      <c r="K63" s="602">
        <f>I63*J63</f>
        <v>0</v>
      </c>
      <c r="L63" s="537" t="str">
        <f t="shared" ref="L63:L69" si="2">+A63</f>
        <v>3a</v>
      </c>
      <c r="M63" s="597">
        <v>0</v>
      </c>
      <c r="N63" s="272">
        <f>H63+K63+M63</f>
        <v>0</v>
      </c>
      <c r="O63" s="287">
        <v>0</v>
      </c>
      <c r="P63" s="272">
        <f>O63/100*'2-Incentive ROE'!$J$38*I63</f>
        <v>0</v>
      </c>
      <c r="Q63" s="272">
        <f>+N63+P63</f>
        <v>0</v>
      </c>
      <c r="R63" s="597">
        <v>0</v>
      </c>
      <c r="S63" s="602">
        <f>+N63+P63-R63</f>
        <v>0</v>
      </c>
      <c r="T63" s="597">
        <f>+'3-Project True-up'!L23</f>
        <v>0</v>
      </c>
      <c r="U63" s="272">
        <f>+S63+T63</f>
        <v>0</v>
      </c>
    </row>
    <row r="64" spans="1:23">
      <c r="A64" s="537" t="s">
        <v>359</v>
      </c>
      <c r="B64" s="95"/>
      <c r="C64" s="586"/>
      <c r="D64" s="586"/>
      <c r="E64" s="97"/>
      <c r="F64" s="597">
        <v>0</v>
      </c>
      <c r="G64" s="407">
        <f>$K$33</f>
        <v>5.4721075661852865E-2</v>
      </c>
      <c r="H64" s="272">
        <f>F64*G64</f>
        <v>0</v>
      </c>
      <c r="I64" s="98">
        <v>0</v>
      </c>
      <c r="J64" s="407">
        <f>$K$43</f>
        <v>0.1509754330032162</v>
      </c>
      <c r="K64" s="602">
        <f>I64*J64</f>
        <v>0</v>
      </c>
      <c r="L64" s="537" t="str">
        <f t="shared" si="2"/>
        <v>3b</v>
      </c>
      <c r="M64" s="597">
        <v>0</v>
      </c>
      <c r="N64" s="272">
        <f>H64+K64+M64</f>
        <v>0</v>
      </c>
      <c r="O64" s="287">
        <v>0</v>
      </c>
      <c r="P64" s="272">
        <f>O64/100*'2-Incentive ROE'!$J$38*I64</f>
        <v>0</v>
      </c>
      <c r="Q64" s="272">
        <f>+N64+P64</f>
        <v>0</v>
      </c>
      <c r="R64" s="597">
        <v>0</v>
      </c>
      <c r="S64" s="602">
        <f>+N64+P64-R64</f>
        <v>0</v>
      </c>
      <c r="T64" s="597">
        <f>+'3-Project True-up'!L24</f>
        <v>0</v>
      </c>
      <c r="U64" s="272">
        <f>+S64+T64</f>
        <v>0</v>
      </c>
    </row>
    <row r="65" spans="1:21" s="567" customFormat="1">
      <c r="A65" s="541">
        <v>4</v>
      </c>
      <c r="B65" s="542"/>
      <c r="C65" s="542" t="s">
        <v>656</v>
      </c>
      <c r="D65" s="542"/>
      <c r="E65" s="562"/>
      <c r="F65" s="564">
        <f>+F63+F64</f>
        <v>0</v>
      </c>
      <c r="G65" s="535"/>
      <c r="H65" s="536">
        <f>+H63+H64</f>
        <v>0</v>
      </c>
      <c r="I65" s="563">
        <f>+I63+I64</f>
        <v>0</v>
      </c>
      <c r="J65" s="535"/>
      <c r="K65" s="536">
        <f>+K63+K64</f>
        <v>0</v>
      </c>
      <c r="L65" s="560">
        <f t="shared" si="2"/>
        <v>4</v>
      </c>
      <c r="M65" s="564">
        <f>+M63+M64</f>
        <v>0</v>
      </c>
      <c r="N65" s="536">
        <f>+N63+N64</f>
        <v>0</v>
      </c>
      <c r="O65" s="539"/>
      <c r="P65" s="536">
        <f t="shared" ref="P65:U65" si="3">+P63+P64</f>
        <v>0</v>
      </c>
      <c r="Q65" s="536">
        <f t="shared" si="3"/>
        <v>0</v>
      </c>
      <c r="R65" s="564">
        <f t="shared" si="3"/>
        <v>0</v>
      </c>
      <c r="S65" s="536">
        <f t="shared" si="3"/>
        <v>0</v>
      </c>
      <c r="T65" s="564">
        <f t="shared" si="3"/>
        <v>0</v>
      </c>
      <c r="U65" s="536">
        <f t="shared" si="3"/>
        <v>0</v>
      </c>
    </row>
    <row r="66" spans="1:21" s="567" customFormat="1">
      <c r="A66" s="540"/>
      <c r="B66" s="585"/>
      <c r="C66" s="585"/>
      <c r="D66" s="585"/>
      <c r="E66" s="554"/>
      <c r="F66" s="573"/>
      <c r="G66" s="622"/>
      <c r="H66" s="602"/>
      <c r="I66" s="555"/>
      <c r="J66" s="622"/>
      <c r="K66" s="602"/>
      <c r="L66" s="584"/>
      <c r="M66" s="573"/>
      <c r="N66" s="602"/>
      <c r="O66" s="538"/>
      <c r="P66" s="602"/>
      <c r="Q66" s="602"/>
      <c r="R66" s="573"/>
      <c r="S66" s="602"/>
      <c r="T66" s="573"/>
      <c r="U66" s="602"/>
    </row>
    <row r="67" spans="1:21" s="567" customFormat="1">
      <c r="A67" s="540">
        <f>+A65+1</f>
        <v>5</v>
      </c>
      <c r="B67" s="585"/>
      <c r="C67" s="586"/>
      <c r="D67" s="586"/>
      <c r="E67" s="587"/>
      <c r="F67" s="597"/>
      <c r="G67" s="622"/>
      <c r="H67" s="602"/>
      <c r="I67" s="588"/>
      <c r="J67" s="622"/>
      <c r="K67" s="602"/>
      <c r="L67" s="540">
        <f t="shared" si="2"/>
        <v>5</v>
      </c>
      <c r="M67" s="597"/>
      <c r="N67" s="602"/>
      <c r="O67" s="604"/>
      <c r="P67" s="602"/>
      <c r="Q67" s="602"/>
      <c r="R67" s="597"/>
      <c r="S67" s="602"/>
      <c r="T67" s="597"/>
      <c r="U67" s="602"/>
    </row>
    <row r="68" spans="1:21">
      <c r="A68" s="614"/>
      <c r="B68" s="45"/>
      <c r="C68" s="45"/>
      <c r="D68" s="572"/>
      <c r="E68" s="45"/>
      <c r="F68" s="534"/>
      <c r="G68" s="45"/>
      <c r="H68" s="434"/>
      <c r="I68" s="45"/>
      <c r="J68" s="45"/>
      <c r="K68" s="434"/>
      <c r="L68" s="614"/>
      <c r="M68" s="45"/>
      <c r="N68" s="434"/>
      <c r="O68" s="288"/>
      <c r="P68" s="505"/>
      <c r="Q68" s="505"/>
      <c r="R68" s="214"/>
      <c r="S68" s="213"/>
      <c r="T68" s="45"/>
      <c r="U68" s="273">
        <f>N68+T68</f>
        <v>0</v>
      </c>
    </row>
    <row r="69" spans="1:21">
      <c r="A69" s="722">
        <f>+A67+1</f>
        <v>6</v>
      </c>
      <c r="B69" s="723"/>
      <c r="C69" s="724" t="s">
        <v>165</v>
      </c>
      <c r="D69" s="724"/>
      <c r="E69" s="724"/>
      <c r="F69" s="725">
        <f>+F61+F65+F67</f>
        <v>5274948.307692308</v>
      </c>
      <c r="G69" s="726"/>
      <c r="H69" s="729">
        <f t="shared" ref="H69:I69" si="4">+H61+H65+H67</f>
        <v>288650.8454575935</v>
      </c>
      <c r="I69" s="725">
        <f t="shared" si="4"/>
        <v>5274948.307692308</v>
      </c>
      <c r="J69" s="727"/>
      <c r="K69" s="729">
        <f>+K61+K65+K67</f>
        <v>796387.60482342867</v>
      </c>
      <c r="L69" s="722">
        <f t="shared" si="2"/>
        <v>6</v>
      </c>
      <c r="M69" s="725">
        <f t="shared" ref="M69" si="5">+M61+M65+M67</f>
        <v>0</v>
      </c>
      <c r="N69" s="729">
        <f>+N61+N65+N67</f>
        <v>1085038.4502810221</v>
      </c>
      <c r="O69" s="728"/>
      <c r="P69" s="729">
        <f t="shared" ref="P69:U69" si="6">+P61+P65+P67</f>
        <v>0</v>
      </c>
      <c r="Q69" s="729">
        <f t="shared" si="6"/>
        <v>1085038.4502810221</v>
      </c>
      <c r="R69" s="729">
        <f t="shared" si="6"/>
        <v>0</v>
      </c>
      <c r="S69" s="729">
        <f t="shared" si="6"/>
        <v>1085038.4502810221</v>
      </c>
      <c r="T69" s="729">
        <f t="shared" si="6"/>
        <v>0</v>
      </c>
      <c r="U69" s="729">
        <f t="shared" si="6"/>
        <v>1085038.4502810221</v>
      </c>
    </row>
    <row r="70" spans="1:21">
      <c r="M70" s="48"/>
      <c r="N70" s="48"/>
      <c r="O70" s="48"/>
      <c r="P70" s="48"/>
      <c r="Q70" s="48"/>
    </row>
    <row r="71" spans="1:21">
      <c r="M71" s="48"/>
      <c r="N71" s="48"/>
      <c r="O71" s="48"/>
      <c r="P71" s="48"/>
      <c r="Q71" s="48"/>
    </row>
    <row r="72" spans="1:21">
      <c r="A72" s="574"/>
      <c r="L72" s="574"/>
    </row>
    <row r="73" spans="1:21" ht="13.8" thickBot="1">
      <c r="A73" s="561" t="s">
        <v>579</v>
      </c>
      <c r="L73" s="561" t="str">
        <f>+A73</f>
        <v>Notes</v>
      </c>
    </row>
    <row r="74" spans="1:21" s="428" customFormat="1" ht="27.75" customHeight="1">
      <c r="A74" s="99" t="s">
        <v>62</v>
      </c>
      <c r="C74" s="919" t="s">
        <v>819</v>
      </c>
      <c r="D74" s="919"/>
      <c r="E74" s="919"/>
      <c r="F74" s="919"/>
      <c r="G74" s="919"/>
      <c r="H74" s="919"/>
      <c r="I74" s="919"/>
      <c r="J74" s="919"/>
      <c r="K74" s="919"/>
      <c r="L74" s="589" t="str">
        <f>+A74</f>
        <v>A</v>
      </c>
      <c r="M74" s="919" t="str">
        <f>+C74</f>
        <v>Gross Transmission Plant is that identified on page 2 line 2 of Attachment H-26 inclusive of any CWIP or unamortized abandoned plant included in rate base when authorized by FERC order.</v>
      </c>
      <c r="N74" s="919"/>
      <c r="O74" s="919"/>
      <c r="P74" s="919"/>
      <c r="Q74" s="919"/>
      <c r="R74" s="919"/>
      <c r="S74" s="919"/>
      <c r="T74" s="919"/>
      <c r="U74" s="919"/>
    </row>
    <row r="75" spans="1:21" ht="29.25" customHeight="1">
      <c r="A75" s="99" t="s">
        <v>63</v>
      </c>
      <c r="C75" s="919" t="s">
        <v>820</v>
      </c>
      <c r="D75" s="919"/>
      <c r="E75" s="919"/>
      <c r="F75" s="919"/>
      <c r="G75" s="919"/>
      <c r="H75" s="919"/>
      <c r="I75" s="919"/>
      <c r="J75" s="919"/>
      <c r="K75" s="919"/>
      <c r="L75" s="589" t="str">
        <f t="shared" ref="L75:L82" si="7">+A75</f>
        <v>B</v>
      </c>
      <c r="M75" s="919" t="str">
        <f t="shared" ref="M75:M82" si="8">+C75</f>
        <v>Net Plant is that identified on page 2 line 14 of Attachment H-26 inclusive of any CWIP or unamortized Abandoned Plant included in rate base when authorized by FERC order less any prefunded AFUDC, if applicable.</v>
      </c>
      <c r="N75" s="919"/>
      <c r="O75" s="919"/>
      <c r="P75" s="919"/>
      <c r="Q75" s="919"/>
      <c r="R75" s="919"/>
      <c r="S75" s="919"/>
      <c r="T75" s="919"/>
      <c r="U75" s="919"/>
    </row>
    <row r="76" spans="1:21" s="428" customFormat="1" ht="15" customHeight="1">
      <c r="A76" s="99" t="s">
        <v>64</v>
      </c>
      <c r="B76" s="497"/>
      <c r="C76" s="919" t="s">
        <v>718</v>
      </c>
      <c r="D76" s="919"/>
      <c r="E76" s="919"/>
      <c r="F76" s="919"/>
      <c r="G76" s="919"/>
      <c r="H76" s="919"/>
      <c r="I76" s="919"/>
      <c r="J76" s="919"/>
      <c r="K76" s="919"/>
      <c r="L76" s="589" t="str">
        <f t="shared" si="7"/>
        <v>C</v>
      </c>
      <c r="M76" s="919" t="str">
        <f t="shared" si="8"/>
        <v>General and Intangible Depreciation and Amortization Expense includes all expense not directly associated with a project, which is entered on page 3 , column 9.</v>
      </c>
      <c r="N76" s="919"/>
      <c r="O76" s="919"/>
      <c r="P76" s="919"/>
      <c r="Q76" s="919"/>
      <c r="R76" s="919"/>
      <c r="S76" s="919"/>
      <c r="T76" s="919"/>
      <c r="U76" s="919"/>
    </row>
    <row r="77" spans="1:21" ht="30" customHeight="1">
      <c r="A77" s="99" t="s">
        <v>65</v>
      </c>
      <c r="C77" s="919" t="s">
        <v>540</v>
      </c>
      <c r="D77" s="919"/>
      <c r="E77" s="919"/>
      <c r="F77" s="919"/>
      <c r="G77" s="919"/>
      <c r="H77" s="919"/>
      <c r="I77" s="919"/>
      <c r="J77" s="919"/>
      <c r="K77" s="919"/>
      <c r="L77" s="589" t="str">
        <f t="shared" si="7"/>
        <v>D</v>
      </c>
      <c r="M77" s="91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19"/>
      <c r="O77" s="919"/>
      <c r="P77" s="919"/>
      <c r="Q77" s="919"/>
      <c r="R77" s="919"/>
      <c r="S77" s="919"/>
      <c r="T77" s="919"/>
      <c r="U77" s="919"/>
    </row>
    <row r="78" spans="1:21" ht="29.25" customHeight="1">
      <c r="A78" s="99" t="s">
        <v>66</v>
      </c>
      <c r="C78" s="919" t="s">
        <v>612</v>
      </c>
      <c r="D78" s="919"/>
      <c r="E78" s="919"/>
      <c r="F78" s="919"/>
      <c r="G78" s="919"/>
      <c r="H78" s="919"/>
      <c r="I78" s="919"/>
      <c r="J78" s="919"/>
      <c r="K78" s="919"/>
      <c r="L78" s="589" t="str">
        <f t="shared" si="7"/>
        <v>E</v>
      </c>
      <c r="M78" s="919" t="str">
        <f t="shared" si="8"/>
        <v>Project Net Plant is the Project Gross Plant Identified in Column 3 less the associated Accumulated Depreciation plus CWIP in rate base if applicable and Unamortized Abandoned Plant.</v>
      </c>
      <c r="N78" s="919"/>
      <c r="O78" s="919"/>
      <c r="P78" s="919"/>
      <c r="Q78" s="919"/>
      <c r="R78" s="919"/>
      <c r="S78" s="919"/>
      <c r="T78" s="919"/>
      <c r="U78" s="919"/>
    </row>
    <row r="79" spans="1:21" ht="27" customHeight="1">
      <c r="A79" s="99" t="s">
        <v>67</v>
      </c>
      <c r="C79" s="919" t="s">
        <v>821</v>
      </c>
      <c r="D79" s="919"/>
      <c r="E79" s="919"/>
      <c r="F79" s="919"/>
      <c r="G79" s="919"/>
      <c r="H79" s="919"/>
      <c r="I79" s="919"/>
      <c r="J79" s="919"/>
      <c r="K79" s="919"/>
      <c r="L79" s="589" t="str">
        <f t="shared" si="7"/>
        <v>F</v>
      </c>
      <c r="M79" s="919" t="str">
        <f t="shared" si="8"/>
        <v>Project Depreciation Expense is the actual value booked for the project (excluding General and Intangible depreciation) at Attachment H-26, page 3, line 19, plus amortization of Abandoned Plant at Attachment H-26, page 3, line 21.</v>
      </c>
      <c r="N79" s="919"/>
      <c r="O79" s="919"/>
      <c r="P79" s="919"/>
      <c r="Q79" s="919"/>
      <c r="R79" s="919"/>
      <c r="S79" s="919"/>
      <c r="T79" s="919"/>
      <c r="U79" s="919"/>
    </row>
    <row r="80" spans="1:21">
      <c r="A80" s="504" t="s">
        <v>68</v>
      </c>
      <c r="C80" s="503" t="s">
        <v>541</v>
      </c>
      <c r="D80" s="636"/>
      <c r="E80" s="503"/>
      <c r="F80" s="503"/>
      <c r="G80" s="503"/>
      <c r="H80" s="503"/>
      <c r="I80" s="503"/>
      <c r="J80" s="503"/>
      <c r="K80" s="503"/>
      <c r="L80" s="589" t="str">
        <f t="shared" si="7"/>
        <v>G</v>
      </c>
      <c r="M80" s="919" t="str">
        <f t="shared" si="8"/>
        <v>Requires approval by FERC of incentive return applicable to the specified project(s).</v>
      </c>
      <c r="N80" s="919"/>
      <c r="O80" s="919"/>
      <c r="P80" s="919"/>
      <c r="Q80" s="919"/>
      <c r="R80" s="919"/>
      <c r="S80" s="919"/>
      <c r="T80" s="919"/>
      <c r="U80" s="919"/>
    </row>
    <row r="81" spans="1:21" ht="25.5" customHeight="1">
      <c r="A81" s="99" t="s">
        <v>69</v>
      </c>
      <c r="C81" s="921" t="s">
        <v>791</v>
      </c>
      <c r="D81" s="921"/>
      <c r="E81" s="921"/>
      <c r="F81" s="921"/>
      <c r="G81" s="921"/>
      <c r="H81" s="921"/>
      <c r="I81" s="921"/>
      <c r="J81" s="921"/>
      <c r="K81" s="921"/>
      <c r="L81" s="589" t="str">
        <f t="shared" si="7"/>
        <v>H</v>
      </c>
      <c r="M81" s="91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19"/>
      <c r="O81" s="919"/>
      <c r="P81" s="919"/>
      <c r="Q81" s="919"/>
      <c r="R81" s="919"/>
      <c r="S81" s="919"/>
      <c r="T81" s="919"/>
      <c r="U81" s="919"/>
    </row>
    <row r="82" spans="1:21">
      <c r="A82" s="99" t="s">
        <v>70</v>
      </c>
      <c r="C82" s="921" t="s">
        <v>659</v>
      </c>
      <c r="D82" s="921"/>
      <c r="E82" s="921"/>
      <c r="F82" s="921"/>
      <c r="G82" s="921"/>
      <c r="H82" s="921"/>
      <c r="I82" s="921"/>
      <c r="J82" s="921"/>
      <c r="K82" s="921"/>
      <c r="L82" s="589" t="str">
        <f t="shared" si="7"/>
        <v>I</v>
      </c>
      <c r="M82" s="919" t="str">
        <f t="shared" si="8"/>
        <v>True-Up Adjustment is calculated on the Project True-up Schedule for the relevant true-up year.</v>
      </c>
      <c r="N82" s="919"/>
      <c r="O82" s="919"/>
      <c r="P82" s="919"/>
      <c r="Q82" s="919"/>
      <c r="R82" s="919"/>
      <c r="S82" s="919"/>
      <c r="T82" s="919"/>
      <c r="U82" s="919"/>
    </row>
    <row r="83" spans="1:21" ht="15.75" customHeight="1">
      <c r="A83" s="99"/>
      <c r="C83" s="919"/>
      <c r="D83" s="919"/>
      <c r="E83" s="919"/>
      <c r="F83" s="919"/>
      <c r="G83" s="919"/>
      <c r="H83" s="919"/>
      <c r="I83" s="919"/>
      <c r="J83" s="919"/>
      <c r="K83" s="919"/>
      <c r="L83" s="463"/>
      <c r="M83" s="503"/>
      <c r="N83" s="503"/>
      <c r="O83" s="503"/>
      <c r="P83" s="503"/>
      <c r="Q83" s="503"/>
      <c r="R83" s="503"/>
      <c r="S83" s="503"/>
    </row>
    <row r="85" spans="1:21">
      <c r="C85" s="327"/>
      <c r="D85" s="617"/>
    </row>
    <row r="86" spans="1:21">
      <c r="C86" s="327"/>
      <c r="D86" s="617"/>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5" fitToWidth="2" fitToHeight="2" orientation="landscape" r:id="rId3"/>
  <rowBreaks count="1" manualBreakCount="1">
    <brk id="46" max="2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election activeCell="C16" sqref="C16"/>
    </sheetView>
  </sheetViews>
  <sheetFormatPr defaultColWidth="8.90625" defaultRowHeight="15.6"/>
  <cols>
    <col min="1" max="1" width="5.54296875" style="267" customWidth="1"/>
    <col min="2" max="2" width="21.54296875" style="231" customWidth="1"/>
    <col min="3" max="3" width="30.54296875" style="231" customWidth="1"/>
    <col min="4" max="4" width="25.1796875" style="231" customWidth="1"/>
    <col min="5" max="5" width="11" style="231" customWidth="1"/>
    <col min="6" max="6" width="6.54296875" style="231" customWidth="1"/>
    <col min="7" max="7" width="4.81640625" style="231" customWidth="1"/>
    <col min="8" max="8" width="6.453125" style="231" bestFit="1" customWidth="1"/>
    <col min="9" max="9" width="10" style="237" customWidth="1"/>
    <col min="10" max="10" width="12.90625" style="231" bestFit="1" customWidth="1"/>
    <col min="11" max="16384" width="8.90625" style="231"/>
  </cols>
  <sheetData>
    <row r="1" spans="1:10">
      <c r="B1" s="923" t="s">
        <v>247</v>
      </c>
      <c r="C1" s="923"/>
      <c r="D1" s="923"/>
      <c r="E1" s="923"/>
      <c r="F1" s="923"/>
      <c r="G1" s="923"/>
      <c r="H1" s="923"/>
      <c r="I1" s="923"/>
      <c r="J1" s="923"/>
    </row>
    <row r="2" spans="1:10">
      <c r="B2" s="923" t="s">
        <v>311</v>
      </c>
      <c r="C2" s="923"/>
      <c r="D2" s="923"/>
      <c r="E2" s="923"/>
      <c r="F2" s="923"/>
      <c r="G2" s="923"/>
      <c r="H2" s="923"/>
      <c r="I2" s="923"/>
      <c r="J2" s="923"/>
    </row>
    <row r="3" spans="1:10">
      <c r="B3" s="923" t="str">
        <f>+'Attachment H-26'!D5</f>
        <v>Transource West Virginia, LLC</v>
      </c>
      <c r="C3" s="923"/>
      <c r="D3" s="923"/>
      <c r="E3" s="923"/>
      <c r="F3" s="923"/>
      <c r="G3" s="923"/>
      <c r="H3" s="923"/>
      <c r="I3" s="923"/>
      <c r="J3" s="923"/>
    </row>
    <row r="5" spans="1:10">
      <c r="A5" s="267">
        <v>1</v>
      </c>
      <c r="B5" s="231" t="s">
        <v>304</v>
      </c>
      <c r="C5" s="231" t="s">
        <v>827</v>
      </c>
      <c r="I5" s="231"/>
      <c r="J5" s="267">
        <f>+'Attachment H-26'!I104</f>
        <v>5434905.9613186345</v>
      </c>
    </row>
    <row r="6" spans="1:10">
      <c r="I6" s="231"/>
      <c r="J6" s="237"/>
    </row>
    <row r="7" spans="1:10" ht="16.2" thickBot="1">
      <c r="A7" s="233">
        <f>+A5+1</f>
        <v>2</v>
      </c>
      <c r="B7" s="234" t="s">
        <v>248</v>
      </c>
      <c r="C7" s="235"/>
      <c r="D7" s="235"/>
      <c r="E7" s="235"/>
      <c r="F7" s="235"/>
      <c r="G7" s="235"/>
      <c r="H7" s="235"/>
      <c r="I7" s="236" t="s">
        <v>48</v>
      </c>
      <c r="J7" s="237"/>
    </row>
    <row r="8" spans="1:10">
      <c r="A8" s="233"/>
      <c r="B8" s="238"/>
      <c r="C8" s="235"/>
      <c r="D8" s="235"/>
      <c r="E8" s="235"/>
      <c r="F8" s="235"/>
      <c r="G8" s="235"/>
      <c r="H8" s="239" t="s">
        <v>57</v>
      </c>
      <c r="I8" s="235"/>
      <c r="J8" s="237"/>
    </row>
    <row r="9" spans="1:10" ht="16.2" thickBot="1">
      <c r="A9" s="233"/>
      <c r="B9" s="238"/>
      <c r="C9" s="235"/>
      <c r="D9" s="235"/>
      <c r="E9" s="240" t="s">
        <v>48</v>
      </c>
      <c r="F9" s="240" t="s">
        <v>58</v>
      </c>
      <c r="G9" s="235"/>
      <c r="H9" s="240"/>
      <c r="I9" s="240" t="s">
        <v>59</v>
      </c>
      <c r="J9" s="237"/>
    </row>
    <row r="10" spans="1:10">
      <c r="A10" s="233">
        <f>+A7+1</f>
        <v>3</v>
      </c>
      <c r="B10" s="234" t="s">
        <v>236</v>
      </c>
      <c r="C10" s="31" t="s">
        <v>828</v>
      </c>
      <c r="D10" s="241"/>
      <c r="E10" s="490">
        <f>+'Attachment H-26'!D202</f>
        <v>1884590.5230769233</v>
      </c>
      <c r="F10" s="492">
        <f>+'Attachment H-26'!E202</f>
        <v>0.4</v>
      </c>
      <c r="G10" s="493"/>
      <c r="H10" s="496">
        <f>+'Attachment H-26'!G202</f>
        <v>9.4836771000451181E-2</v>
      </c>
      <c r="I10" s="494">
        <f>F10*H10</f>
        <v>3.7934708400180477E-2</v>
      </c>
      <c r="J10" s="237"/>
    </row>
    <row r="11" spans="1:10">
      <c r="A11" s="233">
        <f>+A10+1</f>
        <v>4</v>
      </c>
      <c r="B11" s="234" t="s">
        <v>305</v>
      </c>
      <c r="C11" s="31" t="s">
        <v>828</v>
      </c>
      <c r="D11" s="241"/>
      <c r="E11" s="490">
        <f>+'Attachment H-26'!D203</f>
        <v>0</v>
      </c>
      <c r="F11" s="492">
        <f>+'Attachment H-26'!E203</f>
        <v>0</v>
      </c>
      <c r="G11" s="493"/>
      <c r="H11" s="496">
        <f>+'Attachment H-26'!G203</f>
        <v>0</v>
      </c>
      <c r="I11" s="494">
        <f>F11*H11</f>
        <v>0</v>
      </c>
      <c r="J11" s="237"/>
    </row>
    <row r="12" spans="1:10" ht="31.8" thickBot="1">
      <c r="A12" s="233">
        <f>+A11+1</f>
        <v>5</v>
      </c>
      <c r="B12" s="234" t="s">
        <v>278</v>
      </c>
      <c r="C12" s="31" t="s">
        <v>829</v>
      </c>
      <c r="D12" s="282" t="s">
        <v>830</v>
      </c>
      <c r="E12" s="490">
        <f>+'Attachment H-26'!D204</f>
        <v>3390357.7846153849</v>
      </c>
      <c r="F12" s="492">
        <f>+'Attachment H-26'!E204</f>
        <v>0.6</v>
      </c>
      <c r="G12" s="493"/>
      <c r="H12" s="496">
        <f>+'Attachment H-26'!G204+0.01</f>
        <v>0.12</v>
      </c>
      <c r="I12" s="495">
        <f>F12*H12</f>
        <v>7.1999999999999995E-2</v>
      </c>
      <c r="J12" s="237"/>
    </row>
    <row r="13" spans="1:10">
      <c r="A13" s="233">
        <f>+A12+1</f>
        <v>6</v>
      </c>
      <c r="B13" s="238" t="s">
        <v>555</v>
      </c>
      <c r="C13" s="242"/>
      <c r="D13" s="242"/>
      <c r="E13" s="490">
        <f>SUM(E10:E12)</f>
        <v>5274948.307692308</v>
      </c>
      <c r="F13" s="232" t="s">
        <v>2</v>
      </c>
      <c r="G13" s="232"/>
      <c r="H13" s="491"/>
      <c r="I13" s="494">
        <f>SUM(I10:I12)</f>
        <v>0.10993470840018046</v>
      </c>
      <c r="J13" s="237"/>
    </row>
    <row r="14" spans="1:10">
      <c r="A14" s="233">
        <f t="shared" ref="A14:A38" si="0">+A13+1</f>
        <v>7</v>
      </c>
      <c r="B14" s="238" t="s">
        <v>255</v>
      </c>
      <c r="C14" s="242"/>
      <c r="D14" s="242"/>
      <c r="E14" s="243"/>
      <c r="F14" s="235"/>
      <c r="G14" s="235"/>
      <c r="H14" s="235"/>
      <c r="I14" s="506"/>
      <c r="J14" s="267">
        <f>+I13*J5</f>
        <v>597484.80203996657</v>
      </c>
    </row>
    <row r="15" spans="1:10">
      <c r="A15" s="233"/>
      <c r="I15" s="507"/>
      <c r="J15" s="507"/>
    </row>
    <row r="16" spans="1:10">
      <c r="A16" s="233">
        <f>+A14+1</f>
        <v>8</v>
      </c>
      <c r="B16" s="238" t="s">
        <v>40</v>
      </c>
      <c r="C16" s="244"/>
      <c r="D16" s="244"/>
      <c r="E16" s="235"/>
      <c r="F16" s="235"/>
      <c r="G16" s="242"/>
      <c r="H16" s="245"/>
      <c r="I16" s="506"/>
      <c r="J16" s="507"/>
    </row>
    <row r="17" spans="1:10">
      <c r="A17" s="233">
        <f t="shared" si="0"/>
        <v>9</v>
      </c>
      <c r="B17" s="246" t="s">
        <v>309</v>
      </c>
      <c r="C17" s="235"/>
      <c r="D17" s="527"/>
      <c r="E17" s="733">
        <f>IF('Attachment H-26'!D236&gt;0,1-(((1-'Attachment H-26'!D237)*(1-'Attachment H-26'!D236))/(1-'Attachment H-26'!D236*'Attachment H-26'!D237*'Attachment H-26'!D238)),0)</f>
        <v>0.39224999999999999</v>
      </c>
      <c r="F17" s="733"/>
      <c r="G17" s="242"/>
      <c r="H17" s="245"/>
      <c r="I17" s="506"/>
      <c r="J17" s="507"/>
    </row>
    <row r="18" spans="1:10">
      <c r="A18" s="233">
        <f t="shared" si="0"/>
        <v>10</v>
      </c>
      <c r="B18" s="242" t="s">
        <v>41</v>
      </c>
      <c r="C18" s="235"/>
      <c r="D18" s="527"/>
      <c r="E18" s="733">
        <f>IF(I13&gt;0,(E17/(1-E17))*(1-I10/I13),0)</f>
        <v>0.4227033136744352</v>
      </c>
      <c r="F18" s="235"/>
      <c r="G18" s="242"/>
      <c r="H18" s="245"/>
      <c r="I18" s="506"/>
      <c r="J18" s="507"/>
    </row>
    <row r="19" spans="1:10">
      <c r="A19" s="233">
        <f t="shared" si="0"/>
        <v>11</v>
      </c>
      <c r="B19" s="244" t="s">
        <v>306</v>
      </c>
      <c r="C19" s="244"/>
      <c r="D19" s="527"/>
      <c r="E19" s="235"/>
      <c r="F19" s="235"/>
      <c r="G19" s="242"/>
      <c r="H19" s="245"/>
      <c r="I19" s="506"/>
      <c r="J19" s="507"/>
    </row>
    <row r="20" spans="1:10">
      <c r="A20" s="233">
        <f t="shared" si="0"/>
        <v>12</v>
      </c>
      <c r="B20" s="247" t="s">
        <v>825</v>
      </c>
      <c r="C20" s="244"/>
      <c r="D20" s="244"/>
      <c r="E20" s="235"/>
      <c r="F20" s="235"/>
      <c r="G20" s="242"/>
      <c r="H20" s="245"/>
      <c r="I20" s="506"/>
      <c r="J20" s="507"/>
    </row>
    <row r="21" spans="1:10">
      <c r="A21" s="233">
        <f t="shared" si="0"/>
        <v>13</v>
      </c>
      <c r="B21" s="248" t="str">
        <f>"      1 / (1 - T)  =  (from line "&amp;A17&amp;")"</f>
        <v xml:space="preserve">      1 / (1 - T)  =  (from line 9)</v>
      </c>
      <c r="C21" s="244"/>
      <c r="D21" s="244"/>
      <c r="E21" s="733">
        <f>IF(E17&gt;0,1/(1-E17),0)</f>
        <v>1.6454134101192925</v>
      </c>
      <c r="F21" s="235"/>
      <c r="G21" s="242"/>
      <c r="H21" s="245"/>
      <c r="I21" s="506"/>
      <c r="J21" s="507"/>
    </row>
    <row r="22" spans="1:10">
      <c r="A22" s="233">
        <f t="shared" si="0"/>
        <v>14</v>
      </c>
      <c r="B22" s="247" t="s">
        <v>249</v>
      </c>
      <c r="C22" s="244"/>
      <c r="D22" s="244" t="s">
        <v>823</v>
      </c>
      <c r="E22" s="249">
        <f>+'Attachment H-26'!D158</f>
        <v>0</v>
      </c>
      <c r="F22" s="235"/>
      <c r="G22" s="242"/>
      <c r="H22" s="245"/>
      <c r="I22" s="506"/>
      <c r="J22" s="507"/>
    </row>
    <row r="23" spans="1:10">
      <c r="A23" s="233">
        <f t="shared" si="0"/>
        <v>15</v>
      </c>
      <c r="B23" s="247" t="s">
        <v>250</v>
      </c>
      <c r="C23" s="244"/>
      <c r="D23" s="244" t="s">
        <v>824</v>
      </c>
      <c r="E23" s="249">
        <f>+'Attachment H-26'!D159</f>
        <v>0</v>
      </c>
      <c r="F23" s="235"/>
      <c r="G23" s="242"/>
      <c r="H23" s="250"/>
      <c r="I23" s="506"/>
      <c r="J23" s="507"/>
    </row>
    <row r="24" spans="1:10">
      <c r="A24" s="233">
        <f t="shared" si="0"/>
        <v>16</v>
      </c>
      <c r="B24" s="247" t="s">
        <v>307</v>
      </c>
      <c r="C24" s="244"/>
      <c r="D24" s="244" t="s">
        <v>849</v>
      </c>
      <c r="E24" s="510">
        <f>+'Attachment H-26'!D160</f>
        <v>0</v>
      </c>
      <c r="F24" s="235"/>
      <c r="G24" s="242"/>
      <c r="H24" s="245"/>
      <c r="I24" s="506"/>
      <c r="J24" s="507"/>
    </row>
    <row r="25" spans="1:10">
      <c r="A25" s="233">
        <f t="shared" si="0"/>
        <v>17</v>
      </c>
      <c r="B25" s="248" t="str">
        <f>"Income Tax Calculation = line "&amp;A14&amp;" * line "&amp;A18&amp;""</f>
        <v>Income Tax Calculation = line 7 * line 10</v>
      </c>
      <c r="C25" s="251"/>
      <c r="E25" s="270"/>
      <c r="F25" s="252"/>
      <c r="G25" s="252"/>
      <c r="H25" s="253"/>
      <c r="I25" s="508">
        <f>+E18*J14</f>
        <v>252558.8056924078</v>
      </c>
      <c r="J25" s="507"/>
    </row>
    <row r="26" spans="1:10">
      <c r="A26" s="233">
        <f t="shared" si="0"/>
        <v>18</v>
      </c>
      <c r="B26" s="241" t="str">
        <f>"ITC adjustment (line "&amp;A21&amp;" * line "&amp;A22&amp;")"</f>
        <v>ITC adjustment (line 13 * line 14)</v>
      </c>
      <c r="C26" s="251"/>
      <c r="D26" s="251"/>
      <c r="E26" s="270">
        <f>+E$21*E22</f>
        <v>0</v>
      </c>
      <c r="F26" s="252"/>
      <c r="G26" s="254" t="s">
        <v>27</v>
      </c>
      <c r="H26" s="232">
        <f>+'Attachment H-26'!G82</f>
        <v>1</v>
      </c>
      <c r="I26" s="508">
        <f>+E26*H26</f>
        <v>0</v>
      </c>
      <c r="J26" s="507"/>
    </row>
    <row r="27" spans="1:10">
      <c r="A27" s="233">
        <f t="shared" si="0"/>
        <v>19</v>
      </c>
      <c r="B27" s="241" t="str">
        <f>"Excess Deferred Income Tax Adjustment (line "&amp;A21&amp;" * line "&amp;A23&amp;")"</f>
        <v>Excess Deferred Income Tax Adjustment (line 13 * line 15)</v>
      </c>
      <c r="C27" s="251"/>
      <c r="D27" s="251"/>
      <c r="E27" s="270">
        <f>+E$21*E23</f>
        <v>0</v>
      </c>
      <c r="F27" s="252"/>
      <c r="G27" s="254" t="s">
        <v>27</v>
      </c>
      <c r="H27" s="232">
        <f>H26</f>
        <v>1</v>
      </c>
      <c r="I27" s="508">
        <f>+E27*H27</f>
        <v>0</v>
      </c>
      <c r="J27" s="507"/>
    </row>
    <row r="28" spans="1:10">
      <c r="A28" s="233">
        <f t="shared" si="0"/>
        <v>20</v>
      </c>
      <c r="B28" s="241" t="str">
        <f>"Permanent Differences Tax Adjustment (line "&amp;A21&amp;" * "&amp;A24&amp;")"</f>
        <v>Permanent Differences Tax Adjustment (line 13 * 16)</v>
      </c>
      <c r="C28" s="251"/>
      <c r="D28" s="251"/>
      <c r="E28" s="509">
        <f>+E$21*E24</f>
        <v>0</v>
      </c>
      <c r="F28" s="252"/>
      <c r="G28" s="254" t="s">
        <v>27</v>
      </c>
      <c r="H28" s="232">
        <f>H27</f>
        <v>1</v>
      </c>
      <c r="I28" s="509">
        <f>+E28*H28</f>
        <v>0</v>
      </c>
      <c r="J28" s="507"/>
    </row>
    <row r="29" spans="1:10">
      <c r="A29" s="233">
        <f t="shared" si="0"/>
        <v>21</v>
      </c>
      <c r="B29" s="255" t="str">
        <f>"Total Income Taxes (sum lines "&amp;A25&amp;" - "&amp;A28&amp;")"</f>
        <v>Total Income Taxes (sum lines 17 - 20)</v>
      </c>
      <c r="C29" s="241"/>
      <c r="D29" s="241"/>
      <c r="E29" s="249"/>
      <c r="F29" s="252"/>
      <c r="G29" s="252" t="s">
        <v>2</v>
      </c>
      <c r="H29" s="253" t="s">
        <v>2</v>
      </c>
      <c r="I29" s="510">
        <f>SUM(I25:I28)</f>
        <v>252558.8056924078</v>
      </c>
      <c r="J29" s="267">
        <f>+I29</f>
        <v>252558.8056924078</v>
      </c>
    </row>
    <row r="30" spans="1:10">
      <c r="A30" s="233"/>
      <c r="I30" s="507"/>
      <c r="J30" s="507"/>
    </row>
    <row r="31" spans="1:10">
      <c r="A31" s="233">
        <f>+A29+1</f>
        <v>22</v>
      </c>
      <c r="B31" s="241" t="s">
        <v>251</v>
      </c>
      <c r="I31" s="507"/>
      <c r="J31" s="267">
        <f>+J29+J14</f>
        <v>850043.60773237434</v>
      </c>
    </row>
    <row r="32" spans="1:10">
      <c r="A32" s="233"/>
      <c r="I32" s="507"/>
      <c r="J32" s="507"/>
    </row>
    <row r="33" spans="1:10">
      <c r="A33" s="233">
        <f>+A31+1</f>
        <v>23</v>
      </c>
      <c r="B33" s="231" t="s">
        <v>839</v>
      </c>
      <c r="I33" s="507"/>
      <c r="J33" s="267">
        <f>+'Attachment H-26'!I168</f>
        <v>564875.36627205485</v>
      </c>
    </row>
    <row r="34" spans="1:10">
      <c r="A34" s="233">
        <f t="shared" si="0"/>
        <v>24</v>
      </c>
      <c r="B34" s="231" t="s">
        <v>840</v>
      </c>
      <c r="I34" s="507"/>
      <c r="J34" s="267">
        <f>+'Attachment H-26'!I165</f>
        <v>231512.23855137383</v>
      </c>
    </row>
    <row r="35" spans="1:10">
      <c r="A35" s="233">
        <f t="shared" si="0"/>
        <v>25</v>
      </c>
      <c r="B35" s="241" t="s">
        <v>252</v>
      </c>
      <c r="I35" s="507"/>
      <c r="J35" s="511">
        <f>SUM(J33:J34)</f>
        <v>796387.60482342867</v>
      </c>
    </row>
    <row r="36" spans="1:10">
      <c r="A36" s="233">
        <f t="shared" si="0"/>
        <v>26</v>
      </c>
      <c r="B36" s="241" t="s">
        <v>253</v>
      </c>
      <c r="I36" s="231"/>
      <c r="J36" s="232">
        <f>+J31-J35</f>
        <v>53656.002908945666</v>
      </c>
    </row>
    <row r="37" spans="1:10">
      <c r="A37" s="233">
        <f t="shared" si="0"/>
        <v>27</v>
      </c>
      <c r="B37" s="231" t="s">
        <v>308</v>
      </c>
      <c r="I37" s="231"/>
      <c r="J37" s="283">
        <f>+J5</f>
        <v>5434905.9613186345</v>
      </c>
    </row>
    <row r="38" spans="1:10">
      <c r="A38" s="233">
        <f t="shared" si="0"/>
        <v>28</v>
      </c>
      <c r="B38" s="231" t="s">
        <v>254</v>
      </c>
      <c r="I38" s="231"/>
      <c r="J38" s="494">
        <f>IF(J37=0,0,J36/J37)</f>
        <v>9.8724804607157306E-3</v>
      </c>
    </row>
    <row r="39" spans="1:10">
      <c r="I39" s="231"/>
      <c r="J39" s="237"/>
    </row>
    <row r="40" spans="1:10">
      <c r="A40" s="735" t="s">
        <v>284</v>
      </c>
      <c r="I40" s="231"/>
      <c r="J40" s="237"/>
    </row>
    <row r="41" spans="1:10">
      <c r="A41" s="734" t="s">
        <v>62</v>
      </c>
      <c r="B41" s="267" t="s">
        <v>283</v>
      </c>
      <c r="I41" s="231"/>
      <c r="J41" s="237"/>
    </row>
    <row r="42" spans="1:10">
      <c r="A42" s="734"/>
      <c r="B42" s="231" t="s">
        <v>364</v>
      </c>
      <c r="I42" s="231"/>
      <c r="J42" s="237"/>
    </row>
    <row r="43" spans="1:10">
      <c r="A43" s="734"/>
      <c r="B43" s="231" t="s">
        <v>719</v>
      </c>
      <c r="I43" s="231"/>
      <c r="J43" s="237"/>
    </row>
    <row r="44" spans="1:10">
      <c r="A44" s="734"/>
      <c r="B44" s="231" t="s">
        <v>720</v>
      </c>
      <c r="I44" s="231"/>
      <c r="J44" s="237"/>
    </row>
    <row r="45" spans="1:10">
      <c r="A45" s="734" t="s">
        <v>63</v>
      </c>
      <c r="B45" s="231" t="s">
        <v>285</v>
      </c>
      <c r="I45" s="231"/>
      <c r="J45" s="237"/>
    </row>
    <row r="46" spans="1:10">
      <c r="B46" s="231" t="s">
        <v>826</v>
      </c>
      <c r="I46" s="231"/>
      <c r="J46" s="237"/>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zoomScaleSheetLayoutView="100" workbookViewId="0">
      <selection activeCell="E35" sqref="E35"/>
    </sheetView>
  </sheetViews>
  <sheetFormatPr defaultColWidth="8.90625" defaultRowHeight="13.2"/>
  <cols>
    <col min="1" max="1" width="6" style="456" customWidth="1"/>
    <col min="2" max="2" width="28.36328125" style="428" customWidth="1"/>
    <col min="3" max="3" width="12.08984375" style="567" customWidth="1"/>
    <col min="4" max="4" width="11.1796875" style="428" customWidth="1"/>
    <col min="5" max="5" width="14.6328125" style="428" customWidth="1"/>
    <col min="6" max="6" width="14.54296875" style="428" customWidth="1"/>
    <col min="7" max="7" width="15.1796875" style="428" customWidth="1"/>
    <col min="8" max="8" width="13.81640625" style="428" customWidth="1"/>
    <col min="9" max="9" width="12" style="428" customWidth="1"/>
    <col min="10" max="10" width="9.54296875" style="428" customWidth="1"/>
    <col min="11" max="11" width="12" style="428" customWidth="1"/>
    <col min="12" max="12" width="10.36328125" style="428" customWidth="1"/>
    <col min="13" max="13" width="13.54296875" style="428" customWidth="1"/>
    <col min="14" max="16384" width="8.90625" style="428"/>
  </cols>
  <sheetData>
    <row r="1" spans="1:13">
      <c r="L1" s="424" t="s">
        <v>445</v>
      </c>
      <c r="M1" s="424"/>
    </row>
    <row r="2" spans="1:13">
      <c r="F2" s="425" t="s">
        <v>188</v>
      </c>
    </row>
    <row r="3" spans="1:13">
      <c r="F3" s="436" t="s">
        <v>614</v>
      </c>
    </row>
    <row r="4" spans="1:13">
      <c r="E4" s="424"/>
      <c r="F4" s="431" t="str">
        <f>+'Attachment H-26'!D5</f>
        <v>Transource West Virginia, LLC</v>
      </c>
      <c r="G4" s="424"/>
      <c r="H4" s="424"/>
      <c r="J4" s="424"/>
      <c r="K4" s="424"/>
      <c r="L4" s="424"/>
      <c r="M4" s="427"/>
    </row>
    <row r="5" spans="1:13">
      <c r="E5" s="424"/>
      <c r="G5" s="426"/>
      <c r="H5" s="426"/>
      <c r="J5" s="426"/>
      <c r="K5" s="426"/>
      <c r="L5" s="426"/>
      <c r="M5" s="427"/>
    </row>
    <row r="6" spans="1:13" ht="70.5" customHeight="1">
      <c r="B6" s="915" t="s">
        <v>661</v>
      </c>
      <c r="C6" s="915"/>
      <c r="D6" s="915"/>
      <c r="E6" s="915"/>
      <c r="F6" s="915"/>
      <c r="G6" s="915"/>
      <c r="H6" s="915"/>
      <c r="I6" s="915"/>
      <c r="J6" s="915"/>
      <c r="K6" s="915"/>
      <c r="L6" s="915"/>
      <c r="M6" s="624"/>
    </row>
    <row r="7" spans="1:13" s="435" customFormat="1" ht="27" customHeight="1">
      <c r="A7" s="457"/>
      <c r="B7" s="922" t="s">
        <v>753</v>
      </c>
      <c r="C7" s="922"/>
      <c r="D7" s="922"/>
      <c r="E7" s="922"/>
      <c r="F7" s="922"/>
      <c r="G7" s="922"/>
      <c r="H7" s="922"/>
      <c r="I7" s="922"/>
      <c r="J7" s="922"/>
      <c r="K7" s="432"/>
      <c r="L7" s="432"/>
      <c r="M7" s="432"/>
    </row>
    <row r="8" spans="1:13" s="603" customFormat="1" ht="18" customHeight="1">
      <c r="A8" s="619"/>
      <c r="B8" s="780"/>
      <c r="C8" s="780"/>
      <c r="D8" s="780"/>
      <c r="E8" s="780"/>
      <c r="F8" s="780"/>
      <c r="G8" s="780"/>
      <c r="H8" s="780"/>
      <c r="I8" s="780"/>
      <c r="J8" s="780"/>
      <c r="K8" s="598"/>
      <c r="L8" s="598"/>
      <c r="M8" s="598"/>
    </row>
    <row r="9" spans="1:13" s="435" customFormat="1" ht="15.75" customHeight="1">
      <c r="A9" s="552" t="s">
        <v>666</v>
      </c>
      <c r="B9" s="432"/>
      <c r="C9" s="598"/>
      <c r="D9" s="432"/>
      <c r="E9" s="930" t="s">
        <v>525</v>
      </c>
      <c r="F9" s="931"/>
      <c r="G9" s="925" t="s">
        <v>613</v>
      </c>
      <c r="H9" s="469" t="s">
        <v>524</v>
      </c>
      <c r="I9" s="437"/>
      <c r="J9" s="440"/>
      <c r="K9" s="440"/>
      <c r="L9" s="438"/>
    </row>
    <row r="10" spans="1:13" s="435" customFormat="1" ht="15.75" customHeight="1">
      <c r="A10" s="457">
        <v>1</v>
      </c>
      <c r="B10" s="432" t="s">
        <v>854</v>
      </c>
      <c r="C10" s="598"/>
      <c r="D10" s="432"/>
      <c r="E10" s="927" t="s">
        <v>330</v>
      </c>
      <c r="F10" s="929"/>
      <c r="G10" s="926"/>
      <c r="H10" s="441" t="s">
        <v>616</v>
      </c>
      <c r="I10" s="927" t="s">
        <v>332</v>
      </c>
      <c r="J10" s="928"/>
      <c r="K10" s="928"/>
      <c r="L10" s="929"/>
    </row>
    <row r="11" spans="1:13" s="435" customFormat="1" ht="13.8">
      <c r="A11" s="457">
        <v>2</v>
      </c>
      <c r="B11" s="442"/>
      <c r="C11" s="606"/>
      <c r="D11" s="432"/>
      <c r="E11" s="443"/>
      <c r="F11" s="443"/>
      <c r="G11" s="444"/>
      <c r="H11" s="445"/>
      <c r="I11" s="443"/>
      <c r="J11" s="443"/>
      <c r="K11" s="443"/>
      <c r="L11" s="443"/>
    </row>
    <row r="12" spans="1:13" s="435" customFormat="1" ht="13.8">
      <c r="B12" s="446" t="s">
        <v>62</v>
      </c>
      <c r="C12" s="609"/>
      <c r="D12" s="446" t="s">
        <v>63</v>
      </c>
      <c r="E12" s="441" t="s">
        <v>64</v>
      </c>
      <c r="F12" s="441" t="s">
        <v>65</v>
      </c>
      <c r="G12" s="439" t="s">
        <v>66</v>
      </c>
      <c r="H12" s="447" t="s">
        <v>67</v>
      </c>
      <c r="I12" s="447" t="s">
        <v>68</v>
      </c>
      <c r="J12" s="447" t="s">
        <v>69</v>
      </c>
      <c r="K12" s="468" t="s">
        <v>70</v>
      </c>
      <c r="L12" s="447" t="s">
        <v>71</v>
      </c>
    </row>
    <row r="13" spans="1:13" s="435" customFormat="1" ht="13.8">
      <c r="A13" s="457"/>
      <c r="B13" s="443"/>
      <c r="C13" s="607"/>
      <c r="D13" s="439"/>
      <c r="E13" s="439"/>
      <c r="F13" s="460" t="s">
        <v>333</v>
      </c>
      <c r="G13" s="439" t="s">
        <v>620</v>
      </c>
      <c r="H13" s="439"/>
      <c r="I13" s="443"/>
      <c r="J13" s="439" t="s">
        <v>519</v>
      </c>
      <c r="K13" s="443"/>
      <c r="L13" s="443"/>
    </row>
    <row r="14" spans="1:13" s="435" customFormat="1" ht="13.8">
      <c r="A14" s="457"/>
      <c r="B14" s="445"/>
      <c r="C14" s="608"/>
      <c r="D14" s="610" t="s">
        <v>339</v>
      </c>
      <c r="E14" s="447"/>
      <c r="F14" s="458" t="s">
        <v>13</v>
      </c>
      <c r="G14" s="447" t="s">
        <v>410</v>
      </c>
      <c r="H14" s="447" t="s">
        <v>519</v>
      </c>
      <c r="I14" s="447" t="s">
        <v>411</v>
      </c>
      <c r="J14" s="447" t="s">
        <v>290</v>
      </c>
      <c r="K14" s="447" t="s">
        <v>352</v>
      </c>
      <c r="L14" s="447"/>
    </row>
    <row r="15" spans="1:13" s="435" customFormat="1" ht="13.8">
      <c r="A15" s="457"/>
      <c r="B15" s="447"/>
      <c r="C15" s="610"/>
      <c r="D15" s="610" t="s">
        <v>657</v>
      </c>
      <c r="E15" s="447" t="s">
        <v>334</v>
      </c>
      <c r="F15" s="458" t="s">
        <v>302</v>
      </c>
      <c r="G15" s="447" t="s">
        <v>337</v>
      </c>
      <c r="H15" s="447" t="s">
        <v>334</v>
      </c>
      <c r="I15" s="447" t="s">
        <v>303</v>
      </c>
      <c r="J15" s="447" t="s">
        <v>335</v>
      </c>
      <c r="K15" s="467" t="s">
        <v>516</v>
      </c>
      <c r="L15" s="447" t="s">
        <v>361</v>
      </c>
    </row>
    <row r="16" spans="1:13" s="435" customFormat="1" ht="16.2">
      <c r="A16" s="457"/>
      <c r="B16" s="605" t="s">
        <v>336</v>
      </c>
      <c r="C16" s="605" t="s">
        <v>652</v>
      </c>
      <c r="D16" s="605" t="s">
        <v>658</v>
      </c>
      <c r="E16" s="441" t="s">
        <v>338</v>
      </c>
      <c r="F16" s="458" t="s">
        <v>331</v>
      </c>
      <c r="G16" s="461" t="s">
        <v>617</v>
      </c>
      <c r="H16" s="441" t="s">
        <v>523</v>
      </c>
      <c r="I16" s="441" t="s">
        <v>618</v>
      </c>
      <c r="J16" s="441" t="s">
        <v>520</v>
      </c>
      <c r="K16" s="466" t="s">
        <v>521</v>
      </c>
      <c r="L16" s="441" t="s">
        <v>619</v>
      </c>
    </row>
    <row r="17" spans="1:13" s="435" customFormat="1" ht="13.8">
      <c r="A17" s="457">
        <v>3</v>
      </c>
      <c r="B17" s="487" t="s">
        <v>831</v>
      </c>
      <c r="C17" s="635"/>
      <c r="D17" s="454"/>
      <c r="E17" s="470">
        <v>0</v>
      </c>
      <c r="F17" s="483">
        <f>IF(E$29=0,0,E17/E$29)</f>
        <v>0</v>
      </c>
      <c r="G17" s="474">
        <f>IF(G$11=0,0,F17*G$11)</f>
        <v>0</v>
      </c>
      <c r="H17" s="475">
        <v>0</v>
      </c>
      <c r="I17" s="478">
        <f>+H17-G17</f>
        <v>0</v>
      </c>
      <c r="J17" s="478">
        <f>+$J$31*F17</f>
        <v>0</v>
      </c>
      <c r="K17" s="479">
        <f>+D38</f>
        <v>0</v>
      </c>
      <c r="L17" s="559">
        <f>+I17+J17+K17</f>
        <v>0</v>
      </c>
    </row>
    <row r="18" spans="1:13" s="603" customFormat="1" ht="13.8">
      <c r="A18" s="618"/>
      <c r="B18" s="625"/>
      <c r="C18" s="625"/>
      <c r="D18" s="543"/>
      <c r="E18" s="544"/>
      <c r="F18" s="545"/>
      <c r="G18" s="546"/>
      <c r="H18" s="546"/>
      <c r="I18" s="547"/>
      <c r="J18" s="547"/>
      <c r="K18" s="547"/>
      <c r="L18" s="547"/>
    </row>
    <row r="19" spans="1:13" s="435" customFormat="1" ht="13.8">
      <c r="A19" s="457" t="s">
        <v>662</v>
      </c>
      <c r="B19" s="635" t="s">
        <v>856</v>
      </c>
      <c r="C19" s="635" t="s">
        <v>653</v>
      </c>
      <c r="D19" s="902" t="s">
        <v>857</v>
      </c>
      <c r="E19" s="471">
        <v>0</v>
      </c>
      <c r="F19" s="484">
        <f>IF(E$29=0,0,E19/E$29)</f>
        <v>0</v>
      </c>
      <c r="G19" s="474">
        <f>IF(G$11=0,0,F19*G$11)</f>
        <v>0</v>
      </c>
      <c r="H19" s="476">
        <v>0</v>
      </c>
      <c r="I19" s="480">
        <f>+H19-G19</f>
        <v>0</v>
      </c>
      <c r="J19" s="478">
        <f>+$J$31*F19</f>
        <v>0</v>
      </c>
      <c r="K19" s="481">
        <v>0</v>
      </c>
      <c r="L19" s="630">
        <f>+I19+J19+K19</f>
        <v>0</v>
      </c>
    </row>
    <row r="20" spans="1:13" s="435" customFormat="1" ht="13.8">
      <c r="A20" s="457" t="s">
        <v>663</v>
      </c>
      <c r="B20" s="487"/>
      <c r="C20" s="635"/>
      <c r="D20" s="454"/>
      <c r="E20" s="471">
        <v>0</v>
      </c>
      <c r="F20" s="484">
        <f>IF(E$29=0,0,E20/E$29)</f>
        <v>0</v>
      </c>
      <c r="G20" s="474">
        <f>IF(G$11=0,0,F20*G$11)</f>
        <v>0</v>
      </c>
      <c r="H20" s="476">
        <v>0</v>
      </c>
      <c r="I20" s="480">
        <f>+H20-G20</f>
        <v>0</v>
      </c>
      <c r="J20" s="478">
        <f>+$J$31*F20</f>
        <v>0</v>
      </c>
      <c r="K20" s="481">
        <v>0</v>
      </c>
      <c r="L20" s="630">
        <f>+I20+J20+K20</f>
        <v>0</v>
      </c>
    </row>
    <row r="21" spans="1:13" s="603" customFormat="1" ht="13.8">
      <c r="A21" s="618">
        <v>5</v>
      </c>
      <c r="B21" s="626" t="s">
        <v>655</v>
      </c>
      <c r="C21" s="626"/>
      <c r="D21" s="549"/>
      <c r="E21" s="550">
        <f>+E19+E20</f>
        <v>0</v>
      </c>
      <c r="F21" s="551"/>
      <c r="G21" s="550">
        <f t="shared" ref="G21:L21" si="0">+G19+G20</f>
        <v>0</v>
      </c>
      <c r="H21" s="550">
        <f t="shared" si="0"/>
        <v>0</v>
      </c>
      <c r="I21" s="550">
        <f t="shared" si="0"/>
        <v>0</v>
      </c>
      <c r="J21" s="550">
        <f t="shared" si="0"/>
        <v>0</v>
      </c>
      <c r="K21" s="550">
        <f t="shared" si="0"/>
        <v>0</v>
      </c>
      <c r="L21" s="553">
        <f t="shared" si="0"/>
        <v>0</v>
      </c>
    </row>
    <row r="22" spans="1:13" s="603" customFormat="1" ht="13.8">
      <c r="A22" s="618"/>
      <c r="B22" s="625"/>
      <c r="C22" s="625"/>
      <c r="D22" s="543"/>
      <c r="E22" s="544"/>
      <c r="F22" s="545"/>
      <c r="G22" s="546"/>
      <c r="H22" s="546"/>
      <c r="I22" s="548"/>
      <c r="J22" s="547"/>
      <c r="K22" s="548"/>
      <c r="L22" s="547"/>
    </row>
    <row r="23" spans="1:13" s="435" customFormat="1" ht="13.8">
      <c r="A23" s="457" t="s">
        <v>664</v>
      </c>
      <c r="B23" s="635"/>
      <c r="C23" s="635" t="s">
        <v>654</v>
      </c>
      <c r="D23" s="902"/>
      <c r="E23" s="471">
        <v>0</v>
      </c>
      <c r="F23" s="484">
        <f>IF(E$29=0,0,E23/E$29)</f>
        <v>0</v>
      </c>
      <c r="G23" s="474">
        <f>IF(G$11=0,0,F23*G$11)</f>
        <v>0</v>
      </c>
      <c r="H23" s="476">
        <v>0</v>
      </c>
      <c r="I23" s="480">
        <f>+H23-G23</f>
        <v>0</v>
      </c>
      <c r="J23" s="630">
        <f>+$J$31*F23</f>
        <v>0</v>
      </c>
      <c r="K23" s="481">
        <v>0</v>
      </c>
      <c r="L23" s="630">
        <f>+I23+J23+K23</f>
        <v>0</v>
      </c>
    </row>
    <row r="24" spans="1:13" s="435" customFormat="1" ht="13.8">
      <c r="A24" s="457" t="s">
        <v>665</v>
      </c>
      <c r="B24" s="635"/>
      <c r="C24" s="635"/>
      <c r="D24" s="454"/>
      <c r="E24" s="471">
        <v>0</v>
      </c>
      <c r="F24" s="484">
        <f>IF(E$29=0,0,E24/E$29)</f>
        <v>0</v>
      </c>
      <c r="G24" s="474">
        <f>IF(G$11=0,0,F24*G$11)</f>
        <v>0</v>
      </c>
      <c r="H24" s="476">
        <v>0</v>
      </c>
      <c r="I24" s="480">
        <f>+H24-G24</f>
        <v>0</v>
      </c>
      <c r="J24" s="630">
        <f>+$J$31*F24</f>
        <v>0</v>
      </c>
      <c r="K24" s="481">
        <v>0</v>
      </c>
      <c r="L24" s="630">
        <f>+I24+J24+K24</f>
        <v>0</v>
      </c>
    </row>
    <row r="25" spans="1:13" s="603" customFormat="1" ht="13.8">
      <c r="A25" s="618">
        <v>7</v>
      </c>
      <c r="B25" s="626" t="s">
        <v>656</v>
      </c>
      <c r="C25" s="626"/>
      <c r="D25" s="549"/>
      <c r="E25" s="550">
        <f>+E23+E24</f>
        <v>0</v>
      </c>
      <c r="F25" s="551"/>
      <c r="G25" s="553">
        <f t="shared" ref="G25:L25" si="1">+G23+G24</f>
        <v>0</v>
      </c>
      <c r="H25" s="621">
        <f t="shared" si="1"/>
        <v>0</v>
      </c>
      <c r="I25" s="550">
        <f t="shared" si="1"/>
        <v>0</v>
      </c>
      <c r="J25" s="550">
        <f t="shared" si="1"/>
        <v>0</v>
      </c>
      <c r="K25" s="550">
        <f t="shared" si="1"/>
        <v>0</v>
      </c>
      <c r="L25" s="553">
        <f t="shared" si="1"/>
        <v>0</v>
      </c>
    </row>
    <row r="26" spans="1:13" s="603" customFormat="1" ht="13.8">
      <c r="A26" s="618"/>
      <c r="B26" s="625"/>
      <c r="C26" s="625"/>
      <c r="D26" s="543"/>
      <c r="E26" s="544"/>
      <c r="F26" s="545"/>
      <c r="G26" s="548"/>
      <c r="H26" s="546"/>
      <c r="I26" s="548"/>
      <c r="J26" s="547"/>
      <c r="K26" s="548"/>
      <c r="L26" s="547"/>
    </row>
    <row r="27" spans="1:13" s="603" customFormat="1" ht="13.8">
      <c r="A27" s="619">
        <f>+A25+1</f>
        <v>8</v>
      </c>
      <c r="B27" s="635" t="s">
        <v>435</v>
      </c>
      <c r="C27" s="635"/>
      <c r="D27" s="615"/>
      <c r="E27" s="627"/>
      <c r="F27" s="634"/>
      <c r="G27" s="631"/>
      <c r="H27" s="629"/>
      <c r="I27" s="631"/>
      <c r="J27" s="630"/>
      <c r="K27" s="632"/>
      <c r="L27" s="630"/>
    </row>
    <row r="28" spans="1:13">
      <c r="A28" s="457"/>
      <c r="B28" s="448"/>
      <c r="C28" s="611"/>
      <c r="D28" s="448"/>
      <c r="E28" s="472"/>
      <c r="F28" s="485"/>
      <c r="G28" s="633"/>
      <c r="H28" s="477"/>
      <c r="I28" s="482"/>
      <c r="J28" s="482"/>
      <c r="K28" s="482"/>
      <c r="L28" s="633"/>
    </row>
    <row r="29" spans="1:13">
      <c r="A29" s="457">
        <f>+A27+1</f>
        <v>9</v>
      </c>
      <c r="B29" s="432" t="s">
        <v>515</v>
      </c>
      <c r="C29" s="598"/>
      <c r="D29" s="432"/>
      <c r="E29" s="473">
        <f>+E17+E21+E25+E27</f>
        <v>0</v>
      </c>
      <c r="F29" s="486">
        <f t="shared" ref="F29" si="2">SUM(F17:F28)</f>
        <v>0</v>
      </c>
      <c r="G29" s="628">
        <f t="shared" ref="G29:L29" si="3">+G17+G21+G25+G27</f>
        <v>0</v>
      </c>
      <c r="H29" s="628">
        <f t="shared" si="3"/>
        <v>0</v>
      </c>
      <c r="I29" s="628">
        <f t="shared" si="3"/>
        <v>0</v>
      </c>
      <c r="J29" s="628">
        <f t="shared" si="3"/>
        <v>0</v>
      </c>
      <c r="K29" s="628">
        <f>+K17+K21+K25+K27</f>
        <v>0</v>
      </c>
      <c r="L29" s="628">
        <f t="shared" si="3"/>
        <v>0</v>
      </c>
    </row>
    <row r="30" spans="1:13">
      <c r="A30" s="457"/>
      <c r="B30" s="432"/>
      <c r="C30" s="598"/>
      <c r="D30" s="432"/>
      <c r="E30" s="449"/>
      <c r="F30" s="449"/>
      <c r="G30" s="449"/>
      <c r="H30" s="473"/>
      <c r="I30" s="449"/>
      <c r="J30" s="449"/>
      <c r="K30" s="449"/>
      <c r="L30" s="449"/>
    </row>
    <row r="31" spans="1:13">
      <c r="A31" s="457">
        <f>+A29+1</f>
        <v>10</v>
      </c>
      <c r="B31" s="432"/>
      <c r="C31" s="598"/>
      <c r="D31" s="432"/>
      <c r="E31" s="449"/>
      <c r="F31" s="449"/>
      <c r="G31" s="884"/>
      <c r="H31" s="884" t="s">
        <v>708</v>
      </c>
      <c r="I31" s="884"/>
      <c r="J31" s="372">
        <f>+'6 - True-Up Interest'!I57</f>
        <v>0</v>
      </c>
      <c r="K31" s="449"/>
      <c r="L31" s="449"/>
    </row>
    <row r="32" spans="1:13">
      <c r="A32" s="457"/>
      <c r="B32" s="432"/>
      <c r="C32" s="598"/>
      <c r="D32" s="432"/>
      <c r="E32" s="449"/>
      <c r="F32" s="449"/>
      <c r="G32" s="449"/>
      <c r="H32" s="449"/>
      <c r="I32" s="449"/>
      <c r="J32" s="449"/>
      <c r="K32" s="449"/>
      <c r="L32" s="449"/>
      <c r="M32" s="449"/>
    </row>
    <row r="33" spans="1:13">
      <c r="A33" s="457"/>
      <c r="B33" s="450"/>
      <c r="C33" s="612"/>
      <c r="D33" s="450"/>
      <c r="E33" s="429"/>
      <c r="F33" s="429"/>
      <c r="G33" s="429"/>
      <c r="H33" s="429"/>
      <c r="I33" s="429"/>
      <c r="J33" s="450"/>
      <c r="K33" s="450"/>
      <c r="L33" s="450"/>
    </row>
    <row r="34" spans="1:13">
      <c r="A34" s="459" t="s">
        <v>354</v>
      </c>
      <c r="D34" s="450"/>
      <c r="E34" s="429"/>
      <c r="F34" s="429"/>
      <c r="G34" s="429"/>
      <c r="H34" s="429"/>
      <c r="I34" s="429"/>
      <c r="J34" s="450"/>
      <c r="K34" s="450"/>
      <c r="L34" s="450"/>
    </row>
    <row r="35" spans="1:13" ht="15">
      <c r="A35" s="455"/>
      <c r="B35" s="421" t="s">
        <v>62</v>
      </c>
      <c r="C35" s="623"/>
      <c r="D35" s="421" t="s">
        <v>63</v>
      </c>
      <c r="E35"/>
      <c r="F35"/>
      <c r="G35"/>
      <c r="H35"/>
      <c r="L35" s="450"/>
    </row>
    <row r="36" spans="1:13" ht="15">
      <c r="A36" s="455"/>
      <c r="B36" s="451" t="str">
        <f>+A34</f>
        <v>Prior Period Adjustment</v>
      </c>
      <c r="C36" s="613"/>
      <c r="D36" s="452" t="s">
        <v>517</v>
      </c>
      <c r="E36"/>
      <c r="F36"/>
      <c r="G36"/>
      <c r="H36"/>
      <c r="L36" s="450"/>
    </row>
    <row r="37" spans="1:13" ht="15">
      <c r="A37" s="455"/>
      <c r="B37" s="731" t="s">
        <v>522</v>
      </c>
      <c r="C37" s="731" t="s">
        <v>205</v>
      </c>
      <c r="D37" s="732" t="s">
        <v>11</v>
      </c>
      <c r="E37"/>
      <c r="F37"/>
      <c r="G37"/>
      <c r="H37"/>
      <c r="L37" s="450"/>
    </row>
    <row r="38" spans="1:13" ht="15">
      <c r="A38" s="455">
        <f>+A31+1</f>
        <v>11</v>
      </c>
      <c r="B38" s="422" t="s">
        <v>615</v>
      </c>
      <c r="C38" s="885" t="s">
        <v>531</v>
      </c>
      <c r="D38" s="602">
        <f>+'11-Corrections'!F30</f>
        <v>0</v>
      </c>
      <c r="E38"/>
      <c r="F38"/>
      <c r="G38"/>
      <c r="H38"/>
      <c r="L38" s="450"/>
    </row>
    <row r="39" spans="1:13" ht="15">
      <c r="A39" s="455"/>
      <c r="B39" s="453"/>
      <c r="C39" s="614"/>
      <c r="D39" s="430"/>
      <c r="E39"/>
      <c r="F39"/>
      <c r="G39"/>
      <c r="H39"/>
      <c r="L39" s="450"/>
    </row>
    <row r="40" spans="1:13" ht="15">
      <c r="A40" s="455"/>
      <c r="D40" s="450"/>
      <c r="E40"/>
      <c r="F40"/>
      <c r="G40"/>
      <c r="H40"/>
      <c r="I40" s="423"/>
      <c r="L40" s="450"/>
    </row>
    <row r="41" spans="1:13" ht="14.25" customHeight="1">
      <c r="A41" s="552" t="s">
        <v>182</v>
      </c>
      <c r="B41" s="730"/>
      <c r="C41" s="598"/>
      <c r="D41" s="432"/>
      <c r="E41" s="432"/>
      <c r="F41" s="432"/>
      <c r="G41" s="432"/>
      <c r="H41" s="432"/>
      <c r="I41" s="432"/>
      <c r="J41" s="432"/>
      <c r="K41" s="432"/>
      <c r="L41" s="432"/>
      <c r="M41" s="432"/>
    </row>
    <row r="42" spans="1:13">
      <c r="A42" s="883" t="s">
        <v>740</v>
      </c>
      <c r="B42" s="868" t="s">
        <v>812</v>
      </c>
      <c r="C42" s="868"/>
      <c r="D42" s="868"/>
      <c r="E42" s="868"/>
      <c r="F42" s="868"/>
      <c r="G42" s="868"/>
      <c r="H42" s="868"/>
      <c r="I42" s="868"/>
      <c r="J42" s="868"/>
      <c r="K42" s="868"/>
      <c r="L42" s="868"/>
      <c r="M42" s="432"/>
    </row>
    <row r="43" spans="1:13">
      <c r="A43" s="883" t="s">
        <v>741</v>
      </c>
      <c r="B43" s="868" t="s">
        <v>748</v>
      </c>
      <c r="C43" s="868"/>
      <c r="D43" s="868"/>
      <c r="E43" s="868"/>
      <c r="F43" s="868"/>
      <c r="G43" s="868"/>
      <c r="H43" s="868"/>
      <c r="I43" s="868"/>
      <c r="J43" s="868"/>
      <c r="K43" s="868"/>
      <c r="L43" s="868"/>
      <c r="M43" s="432"/>
    </row>
    <row r="44" spans="1:13">
      <c r="A44" s="883" t="s">
        <v>742</v>
      </c>
      <c r="B44" s="868" t="s">
        <v>747</v>
      </c>
      <c r="C44" s="868"/>
      <c r="D44" s="868"/>
      <c r="E44" s="868"/>
      <c r="F44" s="868"/>
      <c r="G44" s="868"/>
      <c r="H44" s="868"/>
      <c r="I44" s="868"/>
      <c r="J44" s="868"/>
      <c r="K44" s="868"/>
      <c r="L44" s="868"/>
      <c r="M44" s="432"/>
    </row>
    <row r="45" spans="1:13" ht="28.5" customHeight="1">
      <c r="A45" s="883" t="s">
        <v>743</v>
      </c>
      <c r="B45" s="915" t="s">
        <v>746</v>
      </c>
      <c r="C45" s="915"/>
      <c r="D45" s="915"/>
      <c r="E45" s="915"/>
      <c r="F45" s="915"/>
      <c r="G45" s="915"/>
      <c r="H45" s="915"/>
      <c r="I45" s="915"/>
      <c r="J45" s="915"/>
      <c r="K45" s="915"/>
      <c r="L45" s="915"/>
      <c r="M45" s="419"/>
    </row>
    <row r="46" spans="1:13" ht="20.25" customHeight="1">
      <c r="A46" s="883" t="s">
        <v>744</v>
      </c>
      <c r="B46" s="924" t="s">
        <v>745</v>
      </c>
      <c r="C46" s="924"/>
      <c r="D46" s="924"/>
      <c r="E46" s="924"/>
      <c r="F46" s="924"/>
      <c r="G46" s="924"/>
      <c r="H46" s="924"/>
      <c r="I46" s="924"/>
      <c r="J46" s="924"/>
      <c r="K46" s="924"/>
      <c r="L46" s="924"/>
      <c r="M46" s="432"/>
    </row>
    <row r="47" spans="1:13">
      <c r="A47" s="457"/>
      <c r="B47" s="433"/>
      <c r="C47" s="600"/>
      <c r="D47" s="432"/>
      <c r="E47" s="432"/>
      <c r="F47" s="432"/>
      <c r="G47" s="432"/>
      <c r="H47" s="432"/>
      <c r="I47" s="433"/>
      <c r="J47" s="432"/>
      <c r="K47" s="432"/>
      <c r="L47" s="432"/>
      <c r="M47" s="432"/>
    </row>
    <row r="48" spans="1:13">
      <c r="A48" s="457"/>
      <c r="B48" s="433"/>
      <c r="C48" s="600"/>
      <c r="D48" s="432"/>
      <c r="E48" s="432"/>
      <c r="F48" s="432"/>
      <c r="G48" s="432"/>
      <c r="H48" s="432"/>
      <c r="I48" s="433"/>
      <c r="J48" s="432"/>
      <c r="K48" s="432"/>
      <c r="L48" s="432"/>
      <c r="M48" s="432"/>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1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zoomScale="90" zoomScaleNormal="85" zoomScaleSheetLayoutView="90" workbookViewId="0">
      <selection activeCell="B7" sqref="B7"/>
    </sheetView>
  </sheetViews>
  <sheetFormatPr defaultColWidth="8.90625" defaultRowHeight="13.2"/>
  <cols>
    <col min="1" max="1" width="8" style="11" customWidth="1"/>
    <col min="2" max="2" width="34.81640625" style="13" customWidth="1"/>
    <col min="3" max="3" width="17.90625" style="13" customWidth="1"/>
    <col min="4" max="4" width="17" style="13" customWidth="1"/>
    <col min="5" max="5" width="19.90625" style="13" customWidth="1"/>
    <col min="6" max="6" width="19.54296875" style="13" customWidth="1"/>
    <col min="7" max="7" width="21.36328125" style="13" customWidth="1"/>
    <col min="8" max="8" width="18" style="13" customWidth="1"/>
    <col min="9" max="9" width="16.81640625" style="13" customWidth="1"/>
    <col min="10" max="10" width="18.6328125" style="13" customWidth="1"/>
    <col min="11" max="14" width="11.81640625" style="13" customWidth="1"/>
    <col min="15" max="16384" width="8.90625" style="13"/>
  </cols>
  <sheetData>
    <row r="1" spans="1:12">
      <c r="B1" s="932" t="s">
        <v>189</v>
      </c>
      <c r="C1" s="932"/>
      <c r="D1" s="932"/>
      <c r="E1" s="932"/>
      <c r="F1" s="932"/>
      <c r="G1" s="932"/>
      <c r="H1" s="932"/>
      <c r="I1" s="932"/>
      <c r="J1" s="1" t="s">
        <v>686</v>
      </c>
    </row>
    <row r="2" spans="1:12">
      <c r="A2" s="224"/>
      <c r="B2" s="933" t="s">
        <v>257</v>
      </c>
      <c r="C2" s="933"/>
      <c r="D2" s="933"/>
      <c r="E2" s="933"/>
      <c r="F2" s="933"/>
      <c r="G2" s="933"/>
      <c r="H2" s="933"/>
      <c r="I2" s="933"/>
      <c r="J2" s="1"/>
      <c r="L2" s="223"/>
    </row>
    <row r="3" spans="1:12">
      <c r="A3" s="224"/>
      <c r="B3" s="934" t="str">
        <f>+'Attachment H-26'!D5</f>
        <v>Transource West Virginia, LLC</v>
      </c>
      <c r="C3" s="934"/>
      <c r="D3" s="934"/>
      <c r="E3" s="934"/>
      <c r="F3" s="934"/>
      <c r="G3" s="934"/>
      <c r="H3" s="934"/>
      <c r="I3" s="934"/>
      <c r="J3" s="1"/>
    </row>
    <row r="4" spans="1:12">
      <c r="A4" s="224"/>
      <c r="C4" s="1"/>
      <c r="D4" s="1"/>
      <c r="E4" s="1"/>
      <c r="F4" s="1"/>
      <c r="G4" s="1"/>
      <c r="H4" s="1"/>
      <c r="I4" s="1"/>
      <c r="J4" s="1"/>
    </row>
    <row r="5" spans="1:12">
      <c r="A5" s="224"/>
      <c r="B5" s="2"/>
      <c r="C5" s="2"/>
      <c r="D5" s="2"/>
      <c r="E5" s="2"/>
      <c r="F5" s="2"/>
      <c r="G5" s="2"/>
      <c r="H5" s="2"/>
      <c r="I5" s="2"/>
      <c r="J5" s="2"/>
    </row>
    <row r="6" spans="1:12">
      <c r="A6" s="224"/>
      <c r="B6" s="2"/>
      <c r="C6" s="938" t="s">
        <v>208</v>
      </c>
      <c r="D6" s="938"/>
      <c r="E6" s="9" t="s">
        <v>210</v>
      </c>
      <c r="F6" s="9" t="s">
        <v>211</v>
      </c>
      <c r="G6" s="938" t="s">
        <v>209</v>
      </c>
      <c r="H6" s="938"/>
      <c r="I6" s="937" t="s">
        <v>207</v>
      </c>
      <c r="J6" s="937"/>
    </row>
    <row r="7" spans="1:12" s="10" customFormat="1" ht="26.4">
      <c r="A7" s="225" t="s">
        <v>855</v>
      </c>
      <c r="B7" s="3" t="s">
        <v>166</v>
      </c>
      <c r="C7" s="3" t="s">
        <v>16</v>
      </c>
      <c r="D7" s="3" t="s">
        <v>173</v>
      </c>
      <c r="E7" s="3" t="s">
        <v>406</v>
      </c>
      <c r="F7" s="3" t="s">
        <v>167</v>
      </c>
      <c r="G7" s="3" t="s">
        <v>168</v>
      </c>
      <c r="H7" s="3" t="s">
        <v>169</v>
      </c>
      <c r="I7" s="3" t="s">
        <v>16</v>
      </c>
      <c r="J7" s="3" t="s">
        <v>173</v>
      </c>
    </row>
    <row r="8" spans="1:12" s="12" customFormat="1">
      <c r="A8" s="224"/>
      <c r="B8" s="9" t="s">
        <v>196</v>
      </c>
      <c r="C8" s="9" t="s">
        <v>197</v>
      </c>
      <c r="D8" s="9" t="s">
        <v>198</v>
      </c>
      <c r="E8" s="3" t="s">
        <v>199</v>
      </c>
      <c r="F8" s="3" t="s">
        <v>201</v>
      </c>
      <c r="G8" s="3" t="s">
        <v>200</v>
      </c>
      <c r="H8" s="3" t="s">
        <v>202</v>
      </c>
      <c r="I8" s="4" t="s">
        <v>203</v>
      </c>
      <c r="J8" s="4" t="s">
        <v>204</v>
      </c>
    </row>
    <row r="9" spans="1:12" s="12" customFormat="1" ht="44.25" customHeight="1">
      <c r="A9" s="224"/>
      <c r="B9" s="256" t="s">
        <v>544</v>
      </c>
      <c r="C9" s="281" t="s">
        <v>296</v>
      </c>
      <c r="D9" s="304" t="s">
        <v>315</v>
      </c>
      <c r="E9" s="330" t="s">
        <v>688</v>
      </c>
      <c r="F9" s="281" t="s">
        <v>300</v>
      </c>
      <c r="G9" s="281" t="s">
        <v>301</v>
      </c>
      <c r="H9" s="281" t="s">
        <v>299</v>
      </c>
      <c r="I9" s="281" t="s">
        <v>297</v>
      </c>
      <c r="J9" s="281" t="s">
        <v>298</v>
      </c>
    </row>
    <row r="10" spans="1:12">
      <c r="A10" s="224">
        <v>1</v>
      </c>
      <c r="B10" s="5" t="s">
        <v>193</v>
      </c>
      <c r="C10" s="903">
        <v>0</v>
      </c>
      <c r="D10" s="903">
        <v>0</v>
      </c>
      <c r="E10" s="903">
        <v>1119045</v>
      </c>
      <c r="F10" s="903">
        <v>0</v>
      </c>
      <c r="G10" s="903">
        <v>0</v>
      </c>
      <c r="H10" s="903">
        <v>0</v>
      </c>
      <c r="I10" s="903">
        <v>0</v>
      </c>
      <c r="J10" s="903">
        <v>0</v>
      </c>
    </row>
    <row r="11" spans="1:12">
      <c r="A11" s="224">
        <v>2</v>
      </c>
      <c r="B11" s="5" t="s">
        <v>85</v>
      </c>
      <c r="C11" s="903">
        <v>0</v>
      </c>
      <c r="D11" s="903">
        <v>0</v>
      </c>
      <c r="E11" s="903">
        <v>1415226</v>
      </c>
      <c r="F11" s="903">
        <v>0</v>
      </c>
      <c r="G11" s="903">
        <v>0</v>
      </c>
      <c r="H11" s="903">
        <v>0</v>
      </c>
      <c r="I11" s="903">
        <v>0</v>
      </c>
      <c r="J11" s="903">
        <v>0</v>
      </c>
    </row>
    <row r="12" spans="1:12">
      <c r="A12" s="224">
        <v>3</v>
      </c>
      <c r="B12" s="1" t="s">
        <v>84</v>
      </c>
      <c r="C12" s="903">
        <v>0</v>
      </c>
      <c r="D12" s="903">
        <v>0</v>
      </c>
      <c r="E12" s="903">
        <v>2271415</v>
      </c>
      <c r="F12" s="903">
        <v>0</v>
      </c>
      <c r="G12" s="903">
        <v>0</v>
      </c>
      <c r="H12" s="903">
        <v>0</v>
      </c>
      <c r="I12" s="903">
        <v>0</v>
      </c>
      <c r="J12" s="903">
        <v>0</v>
      </c>
    </row>
    <row r="13" spans="1:12">
      <c r="A13" s="224">
        <v>4</v>
      </c>
      <c r="B13" s="1" t="s">
        <v>170</v>
      </c>
      <c r="C13" s="903">
        <v>0</v>
      </c>
      <c r="D13" s="903">
        <v>0</v>
      </c>
      <c r="E13" s="903">
        <v>2519450</v>
      </c>
      <c r="F13" s="903">
        <v>0</v>
      </c>
      <c r="G13" s="903">
        <v>0</v>
      </c>
      <c r="H13" s="903">
        <v>0</v>
      </c>
      <c r="I13" s="903">
        <v>0</v>
      </c>
      <c r="J13" s="903">
        <v>0</v>
      </c>
    </row>
    <row r="14" spans="1:12">
      <c r="A14" s="224">
        <v>5</v>
      </c>
      <c r="B14" s="1" t="s">
        <v>76</v>
      </c>
      <c r="C14" s="903">
        <v>0</v>
      </c>
      <c r="D14" s="903">
        <v>0</v>
      </c>
      <c r="E14" s="903">
        <v>2767485</v>
      </c>
      <c r="F14" s="903">
        <v>0</v>
      </c>
      <c r="G14" s="903">
        <v>0</v>
      </c>
      <c r="H14" s="903">
        <v>0</v>
      </c>
      <c r="I14" s="903">
        <v>0</v>
      </c>
      <c r="J14" s="903">
        <v>0</v>
      </c>
    </row>
    <row r="15" spans="1:12">
      <c r="A15" s="224">
        <v>6</v>
      </c>
      <c r="B15" s="1" t="s">
        <v>75</v>
      </c>
      <c r="C15" s="903">
        <v>0</v>
      </c>
      <c r="D15" s="903">
        <v>0</v>
      </c>
      <c r="E15" s="903">
        <v>3023020</v>
      </c>
      <c r="F15" s="903">
        <v>0</v>
      </c>
      <c r="G15" s="903">
        <v>0</v>
      </c>
      <c r="H15" s="903">
        <v>0</v>
      </c>
      <c r="I15" s="903">
        <v>0</v>
      </c>
      <c r="J15" s="903">
        <v>0</v>
      </c>
    </row>
    <row r="16" spans="1:12">
      <c r="A16" s="224">
        <v>7</v>
      </c>
      <c r="B16" s="1" t="s">
        <v>95</v>
      </c>
      <c r="C16" s="903">
        <v>0</v>
      </c>
      <c r="D16" s="903">
        <v>0</v>
      </c>
      <c r="E16" s="903">
        <v>3321888</v>
      </c>
      <c r="F16" s="903">
        <v>0</v>
      </c>
      <c r="G16" s="903">
        <v>0</v>
      </c>
      <c r="H16" s="903">
        <v>0</v>
      </c>
      <c r="I16" s="903">
        <v>0</v>
      </c>
      <c r="J16" s="903">
        <v>0</v>
      </c>
    </row>
    <row r="17" spans="1:10">
      <c r="A17" s="224">
        <v>8</v>
      </c>
      <c r="B17" s="1" t="s">
        <v>82</v>
      </c>
      <c r="C17" s="903">
        <v>0</v>
      </c>
      <c r="D17" s="903">
        <v>0</v>
      </c>
      <c r="E17" s="903">
        <v>4303785</v>
      </c>
      <c r="F17" s="903">
        <v>0</v>
      </c>
      <c r="G17" s="903">
        <v>0</v>
      </c>
      <c r="H17" s="903">
        <v>0</v>
      </c>
      <c r="I17" s="903">
        <v>0</v>
      </c>
      <c r="J17" s="903">
        <v>0</v>
      </c>
    </row>
    <row r="18" spans="1:10">
      <c r="A18" s="224">
        <v>9</v>
      </c>
      <c r="B18" s="1" t="s">
        <v>171</v>
      </c>
      <c r="C18" s="903">
        <v>0</v>
      </c>
      <c r="D18" s="903">
        <v>0</v>
      </c>
      <c r="E18" s="903">
        <v>5485682</v>
      </c>
      <c r="F18" s="903">
        <v>0</v>
      </c>
      <c r="G18" s="903">
        <v>0</v>
      </c>
      <c r="H18" s="903">
        <v>0</v>
      </c>
      <c r="I18" s="903">
        <v>0</v>
      </c>
      <c r="J18" s="903">
        <v>0</v>
      </c>
    </row>
    <row r="19" spans="1:10">
      <c r="A19" s="224">
        <v>10</v>
      </c>
      <c r="B19" s="1" t="s">
        <v>80</v>
      </c>
      <c r="C19" s="903">
        <v>0</v>
      </c>
      <c r="D19" s="903">
        <v>0</v>
      </c>
      <c r="E19" s="903">
        <v>6829382</v>
      </c>
      <c r="F19" s="903">
        <v>0</v>
      </c>
      <c r="G19" s="903">
        <v>0</v>
      </c>
      <c r="H19" s="903">
        <v>0</v>
      </c>
      <c r="I19" s="903">
        <v>0</v>
      </c>
      <c r="J19" s="903">
        <v>0</v>
      </c>
    </row>
    <row r="20" spans="1:10">
      <c r="A20" s="224">
        <v>11</v>
      </c>
      <c r="B20" s="1" t="s">
        <v>86</v>
      </c>
      <c r="C20" s="903">
        <v>0</v>
      </c>
      <c r="D20" s="903">
        <v>0</v>
      </c>
      <c r="E20" s="903">
        <v>9067292</v>
      </c>
      <c r="F20" s="903">
        <v>0</v>
      </c>
      <c r="G20" s="903">
        <v>0</v>
      </c>
      <c r="H20" s="903">
        <v>0</v>
      </c>
      <c r="I20" s="903">
        <v>0</v>
      </c>
      <c r="J20" s="903">
        <v>0</v>
      </c>
    </row>
    <row r="21" spans="1:10">
      <c r="A21" s="224">
        <v>12</v>
      </c>
      <c r="B21" s="1" t="s">
        <v>79</v>
      </c>
      <c r="C21" s="903">
        <v>0</v>
      </c>
      <c r="D21" s="903">
        <v>0</v>
      </c>
      <c r="E21" s="903">
        <v>11705202</v>
      </c>
      <c r="F21" s="903">
        <v>0</v>
      </c>
      <c r="G21" s="903">
        <v>0</v>
      </c>
      <c r="H21" s="903">
        <v>0</v>
      </c>
      <c r="I21" s="903">
        <v>0</v>
      </c>
      <c r="J21" s="903">
        <v>0</v>
      </c>
    </row>
    <row r="22" spans="1:10">
      <c r="A22" s="224">
        <v>13</v>
      </c>
      <c r="B22" s="1" t="s">
        <v>194</v>
      </c>
      <c r="C22" s="903">
        <v>0</v>
      </c>
      <c r="D22" s="903">
        <v>0</v>
      </c>
      <c r="E22" s="903">
        <v>14745456</v>
      </c>
      <c r="F22" s="903">
        <v>0</v>
      </c>
      <c r="G22" s="903">
        <v>0</v>
      </c>
      <c r="H22" s="903">
        <v>0</v>
      </c>
      <c r="I22" s="903">
        <v>0</v>
      </c>
      <c r="J22" s="903">
        <v>0</v>
      </c>
    </row>
    <row r="23" spans="1:10" ht="13.8" thickBot="1">
      <c r="A23" s="224">
        <v>14</v>
      </c>
      <c r="B23" s="6" t="s">
        <v>258</v>
      </c>
      <c r="C23" s="672">
        <f t="shared" ref="C23:H23" si="0">SUM(C10:C22)/13</f>
        <v>0</v>
      </c>
      <c r="D23" s="672">
        <f>SUM(D10:D22)/13</f>
        <v>0</v>
      </c>
      <c r="E23" s="672">
        <f t="shared" si="0"/>
        <v>5274948.307692308</v>
      </c>
      <c r="F23" s="672">
        <f t="shared" si="0"/>
        <v>0</v>
      </c>
      <c r="G23" s="672">
        <f t="shared" si="0"/>
        <v>0</v>
      </c>
      <c r="H23" s="672">
        <f t="shared" si="0"/>
        <v>0</v>
      </c>
      <c r="I23" s="672">
        <f>SUM(I10:I22)/13</f>
        <v>0</v>
      </c>
      <c r="J23" s="672">
        <f>SUM(J10:J22)/13</f>
        <v>0</v>
      </c>
    </row>
    <row r="24" spans="1:10" ht="13.8" thickTop="1">
      <c r="A24" s="224"/>
      <c r="B24" s="1"/>
      <c r="C24" s="7"/>
      <c r="D24" s="14"/>
      <c r="E24" s="14"/>
      <c r="F24" s="14"/>
      <c r="G24" s="7"/>
      <c r="H24" s="7"/>
      <c r="I24" s="7"/>
    </row>
    <row r="25" spans="1:10">
      <c r="A25" s="224"/>
      <c r="B25" s="8"/>
      <c r="C25" s="937" t="s">
        <v>212</v>
      </c>
      <c r="D25" s="937"/>
      <c r="E25" s="937"/>
      <c r="F25" s="937"/>
      <c r="G25" s="937"/>
      <c r="H25" s="937"/>
      <c r="I25" s="937"/>
    </row>
    <row r="26" spans="1:10" ht="72" customHeight="1">
      <c r="A26" s="867" t="s">
        <v>855</v>
      </c>
      <c r="B26" s="9" t="s">
        <v>166</v>
      </c>
      <c r="C26" s="4" t="s">
        <v>172</v>
      </c>
      <c r="D26" s="866" t="s">
        <v>850</v>
      </c>
      <c r="E26" s="4" t="s">
        <v>547</v>
      </c>
      <c r="F26" s="4" t="s">
        <v>548</v>
      </c>
      <c r="G26" s="4" t="s">
        <v>549</v>
      </c>
      <c r="H26" s="4" t="s">
        <v>550</v>
      </c>
      <c r="I26" s="4" t="s">
        <v>260</v>
      </c>
    </row>
    <row r="27" spans="1:10" s="12" customFormat="1">
      <c r="A27" s="224"/>
      <c r="B27" s="9" t="s">
        <v>196</v>
      </c>
      <c r="C27" s="4" t="s">
        <v>197</v>
      </c>
      <c r="D27" s="4" t="s">
        <v>198</v>
      </c>
      <c r="E27" s="4" t="s">
        <v>199</v>
      </c>
      <c r="F27" s="4" t="s">
        <v>201</v>
      </c>
      <c r="G27" s="4" t="s">
        <v>200</v>
      </c>
      <c r="H27" s="4" t="s">
        <v>202</v>
      </c>
      <c r="I27" s="4" t="s">
        <v>203</v>
      </c>
    </row>
    <row r="28" spans="1:10" s="12" customFormat="1" ht="26.4">
      <c r="A28" s="224"/>
      <c r="B28" s="256" t="s">
        <v>544</v>
      </c>
      <c r="C28" s="305" t="s">
        <v>405</v>
      </c>
      <c r="D28" s="4" t="s">
        <v>546</v>
      </c>
      <c r="E28" s="4" t="s">
        <v>324</v>
      </c>
      <c r="F28" s="4" t="s">
        <v>325</v>
      </c>
      <c r="G28" s="4" t="s">
        <v>326</v>
      </c>
      <c r="H28" s="4" t="s">
        <v>327</v>
      </c>
      <c r="I28" s="4" t="s">
        <v>328</v>
      </c>
    </row>
    <row r="29" spans="1:10">
      <c r="A29" s="224">
        <v>15</v>
      </c>
      <c r="B29" s="5" t="s">
        <v>193</v>
      </c>
      <c r="C29" s="903">
        <v>273554.17000000016</v>
      </c>
      <c r="D29" s="903">
        <v>0</v>
      </c>
      <c r="E29" s="903">
        <v>0</v>
      </c>
      <c r="F29" s="903">
        <v>0</v>
      </c>
      <c r="G29" s="903">
        <v>152138.21000000002</v>
      </c>
      <c r="H29" s="903">
        <v>13221.764499999999</v>
      </c>
      <c r="I29" s="903">
        <v>0</v>
      </c>
    </row>
    <row r="30" spans="1:10">
      <c r="A30" s="224">
        <v>16</v>
      </c>
      <c r="B30" s="5" t="s">
        <v>85</v>
      </c>
      <c r="C30" s="903">
        <v>267855.13000000018</v>
      </c>
      <c r="D30" s="903">
        <v>0</v>
      </c>
      <c r="E30" s="290"/>
      <c r="F30" s="290"/>
      <c r="G30" s="290"/>
      <c r="H30" s="290"/>
      <c r="I30" s="903">
        <v>0</v>
      </c>
    </row>
    <row r="31" spans="1:10">
      <c r="A31" s="224">
        <v>17</v>
      </c>
      <c r="B31" s="1" t="s">
        <v>84</v>
      </c>
      <c r="C31" s="903">
        <v>262156.0900000002</v>
      </c>
      <c r="D31" s="903">
        <v>0</v>
      </c>
      <c r="E31" s="290"/>
      <c r="F31" s="290"/>
      <c r="G31" s="290"/>
      <c r="H31" s="290"/>
      <c r="I31" s="903">
        <v>0</v>
      </c>
    </row>
    <row r="32" spans="1:10">
      <c r="A32" s="224">
        <v>18</v>
      </c>
      <c r="B32" s="1" t="s">
        <v>170</v>
      </c>
      <c r="C32" s="903">
        <v>256457.05000000019</v>
      </c>
      <c r="D32" s="903">
        <v>0</v>
      </c>
      <c r="E32" s="290"/>
      <c r="F32" s="290"/>
      <c r="G32" s="290"/>
      <c r="H32" s="290"/>
      <c r="I32" s="903">
        <v>0</v>
      </c>
    </row>
    <row r="33" spans="1:15">
      <c r="A33" s="224">
        <v>19</v>
      </c>
      <c r="B33" s="1" t="s">
        <v>76</v>
      </c>
      <c r="C33" s="903">
        <v>250758.01000000018</v>
      </c>
      <c r="D33" s="903">
        <v>0</v>
      </c>
      <c r="E33" s="290"/>
      <c r="F33" s="290"/>
      <c r="G33" s="290"/>
      <c r="H33" s="290"/>
      <c r="I33" s="903">
        <v>0</v>
      </c>
    </row>
    <row r="34" spans="1:15">
      <c r="A34" s="224">
        <v>20</v>
      </c>
      <c r="B34" s="1" t="s">
        <v>75</v>
      </c>
      <c r="C34" s="903">
        <v>245058.97000000018</v>
      </c>
      <c r="D34" s="903">
        <v>0</v>
      </c>
      <c r="E34" s="290"/>
      <c r="F34" s="290"/>
      <c r="G34" s="290"/>
      <c r="H34" s="290"/>
      <c r="I34" s="903">
        <v>0</v>
      </c>
    </row>
    <row r="35" spans="1:15">
      <c r="A35" s="224">
        <v>21</v>
      </c>
      <c r="B35" s="1" t="s">
        <v>95</v>
      </c>
      <c r="C35" s="903">
        <v>239359.93000000017</v>
      </c>
      <c r="D35" s="903">
        <v>0</v>
      </c>
      <c r="E35" s="290"/>
      <c r="F35" s="290"/>
      <c r="G35" s="290"/>
      <c r="H35" s="290"/>
      <c r="I35" s="903">
        <v>0</v>
      </c>
    </row>
    <row r="36" spans="1:15">
      <c r="A36" s="224">
        <v>22</v>
      </c>
      <c r="B36" s="1" t="s">
        <v>82</v>
      </c>
      <c r="C36" s="903">
        <v>233660.89000000016</v>
      </c>
      <c r="D36" s="903">
        <v>0</v>
      </c>
      <c r="E36" s="290"/>
      <c r="F36" s="290"/>
      <c r="G36" s="290"/>
      <c r="H36" s="290"/>
      <c r="I36" s="903">
        <v>0</v>
      </c>
    </row>
    <row r="37" spans="1:15">
      <c r="A37" s="224">
        <v>23</v>
      </c>
      <c r="B37" s="1" t="s">
        <v>171</v>
      </c>
      <c r="C37" s="903">
        <v>227961.85000000015</v>
      </c>
      <c r="D37" s="903">
        <v>0</v>
      </c>
      <c r="E37" s="290"/>
      <c r="F37" s="290"/>
      <c r="G37" s="290"/>
      <c r="H37" s="290"/>
      <c r="I37" s="903">
        <v>0</v>
      </c>
    </row>
    <row r="38" spans="1:15">
      <c r="A38" s="224">
        <v>24</v>
      </c>
      <c r="B38" s="1" t="s">
        <v>80</v>
      </c>
      <c r="C38" s="903">
        <v>222262.81000000014</v>
      </c>
      <c r="D38" s="903">
        <v>0</v>
      </c>
      <c r="E38" s="290"/>
      <c r="F38" s="290"/>
      <c r="G38" s="290"/>
      <c r="H38" s="290"/>
      <c r="I38" s="903">
        <v>0</v>
      </c>
    </row>
    <row r="39" spans="1:15">
      <c r="A39" s="224">
        <v>25</v>
      </c>
      <c r="B39" s="1" t="s">
        <v>86</v>
      </c>
      <c r="C39" s="903">
        <v>216563.77000000014</v>
      </c>
      <c r="D39" s="903">
        <v>0</v>
      </c>
      <c r="E39" s="290"/>
      <c r="F39" s="290"/>
      <c r="G39" s="290"/>
      <c r="H39" s="290"/>
      <c r="I39" s="903">
        <v>0</v>
      </c>
    </row>
    <row r="40" spans="1:15">
      <c r="A40" s="224">
        <v>26</v>
      </c>
      <c r="B40" s="1" t="s">
        <v>79</v>
      </c>
      <c r="C40" s="903">
        <v>210864.73000000013</v>
      </c>
      <c r="D40" s="903">
        <v>0</v>
      </c>
      <c r="E40" s="290"/>
      <c r="F40" s="290"/>
      <c r="G40" s="290"/>
      <c r="H40" s="290"/>
      <c r="I40" s="903">
        <v>0</v>
      </c>
    </row>
    <row r="41" spans="1:15">
      <c r="A41" s="224">
        <v>27</v>
      </c>
      <c r="B41" s="1" t="s">
        <v>194</v>
      </c>
      <c r="C41" s="903">
        <v>205165.69000000012</v>
      </c>
      <c r="D41" s="903">
        <v>0</v>
      </c>
      <c r="E41" s="903">
        <v>0</v>
      </c>
      <c r="F41" s="903">
        <v>0</v>
      </c>
      <c r="G41" s="903">
        <v>153928.12613872346</v>
      </c>
      <c r="H41" s="903">
        <v>78974.307526979683</v>
      </c>
      <c r="I41" s="903">
        <v>0</v>
      </c>
    </row>
    <row r="42" spans="1:15" ht="13.8" thickBot="1">
      <c r="A42" s="224">
        <v>28</v>
      </c>
      <c r="B42" s="6" t="s">
        <v>259</v>
      </c>
      <c r="C42" s="672">
        <f t="shared" ref="C42:I42" si="1">SUM(C29:C41)/13</f>
        <v>239359.93000000014</v>
      </c>
      <c r="D42" s="672">
        <f t="shared" si="1"/>
        <v>0</v>
      </c>
      <c r="E42" s="672">
        <f>(E29+E41)/2</f>
        <v>0</v>
      </c>
      <c r="F42" s="672">
        <f>(F29+F41)/2</f>
        <v>0</v>
      </c>
      <c r="G42" s="672">
        <f>(G29+G41)/2</f>
        <v>153033.16806936174</v>
      </c>
      <c r="H42" s="672">
        <f>(H29+H41)/2</f>
        <v>46098.036013489844</v>
      </c>
      <c r="I42" s="672">
        <f t="shared" si="1"/>
        <v>0</v>
      </c>
    </row>
    <row r="43" spans="1:15" ht="13.8" thickTop="1">
      <c r="A43" s="224"/>
      <c r="B43" s="1"/>
      <c r="I43" s="14"/>
    </row>
    <row r="44" spans="1:15">
      <c r="A44" s="224"/>
    </row>
    <row r="45" spans="1:15">
      <c r="E45" s="222" t="str">
        <f>+B1</f>
        <v>Attachment 4</v>
      </c>
      <c r="J45" s="1" t="s">
        <v>153</v>
      </c>
    </row>
    <row r="46" spans="1:15">
      <c r="A46" s="291"/>
      <c r="B46" s="222"/>
      <c r="C46" s="292"/>
      <c r="D46" s="292"/>
      <c r="E46" s="882" t="str">
        <f>+B2</f>
        <v xml:space="preserve">Rate Base Worksheet </v>
      </c>
      <c r="F46" s="292"/>
      <c r="L46" s="12"/>
      <c r="M46" s="12"/>
      <c r="N46" s="12"/>
      <c r="O46" s="12"/>
    </row>
    <row r="47" spans="1:15" s="328" customFormat="1">
      <c r="A47" s="668"/>
      <c r="B47" s="222"/>
      <c r="C47" s="292"/>
      <c r="D47" s="292"/>
      <c r="E47" s="882" t="str">
        <f>+B3</f>
        <v>Transource West Virginia, LLC</v>
      </c>
      <c r="F47" s="292"/>
      <c r="L47" s="12"/>
      <c r="M47" s="12"/>
      <c r="N47" s="12"/>
      <c r="O47" s="12"/>
    </row>
    <row r="48" spans="1:15" s="328" customFormat="1">
      <c r="A48" s="668"/>
      <c r="B48" s="674" t="s">
        <v>809</v>
      </c>
      <c r="C48" s="292"/>
      <c r="D48" s="292"/>
      <c r="E48" s="292"/>
      <c r="F48" s="292"/>
      <c r="G48" s="292"/>
      <c r="L48" s="12"/>
      <c r="M48" s="12"/>
      <c r="N48" s="12"/>
      <c r="O48" s="12"/>
    </row>
    <row r="49" spans="1:15" s="328" customFormat="1" ht="25.5" customHeight="1">
      <c r="A49" s="668"/>
      <c r="B49" s="222"/>
      <c r="C49" s="939" t="s">
        <v>681</v>
      </c>
      <c r="D49" s="939" t="s">
        <v>685</v>
      </c>
      <c r="E49" s="939" t="s">
        <v>684</v>
      </c>
      <c r="L49" s="12"/>
      <c r="M49" s="12"/>
      <c r="N49" s="12"/>
      <c r="O49" s="12"/>
    </row>
    <row r="50" spans="1:15" s="328" customFormat="1" ht="12.75" customHeight="1">
      <c r="A50" s="668"/>
      <c r="B50" s="222"/>
      <c r="C50" s="939"/>
      <c r="D50" s="939"/>
      <c r="E50" s="939"/>
      <c r="L50" s="12"/>
      <c r="M50" s="12"/>
      <c r="N50" s="12"/>
      <c r="O50" s="12"/>
    </row>
    <row r="51" spans="1:15" s="328" customFormat="1">
      <c r="A51" s="668"/>
      <c r="B51" s="222"/>
      <c r="C51" s="3" t="s">
        <v>196</v>
      </c>
      <c r="D51" s="3" t="s">
        <v>197</v>
      </c>
      <c r="E51" s="670" t="s">
        <v>683</v>
      </c>
      <c r="L51" s="12"/>
      <c r="M51" s="12"/>
      <c r="N51" s="12"/>
      <c r="O51" s="12"/>
    </row>
    <row r="52" spans="1:15" s="328" customFormat="1" ht="26.4">
      <c r="A52" s="668"/>
      <c r="B52" s="222"/>
      <c r="C52" s="330" t="s">
        <v>680</v>
      </c>
      <c r="D52" s="330" t="s">
        <v>682</v>
      </c>
      <c r="E52" s="330"/>
      <c r="L52" s="12"/>
      <c r="M52" s="12"/>
      <c r="N52" s="12"/>
      <c r="O52" s="12"/>
    </row>
    <row r="53" spans="1:15" s="328" customFormat="1">
      <c r="A53" s="668">
        <f>+A42+1</f>
        <v>29</v>
      </c>
      <c r="B53" s="5" t="s">
        <v>193</v>
      </c>
      <c r="C53" s="673"/>
      <c r="D53" s="673"/>
      <c r="E53" s="372">
        <f t="shared" ref="E53:E65" si="2">+C53-D53</f>
        <v>0</v>
      </c>
      <c r="L53" s="12"/>
      <c r="M53" s="12"/>
      <c r="N53" s="12"/>
      <c r="O53" s="12"/>
    </row>
    <row r="54" spans="1:15" s="328" customFormat="1">
      <c r="A54" s="668">
        <f>+A53+1</f>
        <v>30</v>
      </c>
      <c r="B54" s="5" t="s">
        <v>85</v>
      </c>
      <c r="C54" s="673"/>
      <c r="D54" s="673"/>
      <c r="E54" s="372">
        <f t="shared" si="2"/>
        <v>0</v>
      </c>
      <c r="L54" s="12"/>
      <c r="M54" s="12"/>
      <c r="N54" s="12"/>
      <c r="O54" s="12"/>
    </row>
    <row r="55" spans="1:15" s="328" customFormat="1">
      <c r="A55" s="668">
        <f t="shared" ref="A55:A65" si="3">+A54+1</f>
        <v>31</v>
      </c>
      <c r="B55" s="1" t="s">
        <v>84</v>
      </c>
      <c r="C55" s="673"/>
      <c r="D55" s="673"/>
      <c r="E55" s="671">
        <f t="shared" si="2"/>
        <v>0</v>
      </c>
      <c r="L55" s="12"/>
      <c r="M55" s="12"/>
      <c r="N55" s="12"/>
      <c r="O55" s="12"/>
    </row>
    <row r="56" spans="1:15" s="328" customFormat="1">
      <c r="A56" s="668">
        <f t="shared" si="3"/>
        <v>32</v>
      </c>
      <c r="B56" s="1" t="s">
        <v>170</v>
      </c>
      <c r="C56" s="673"/>
      <c r="D56" s="673"/>
      <c r="E56" s="671">
        <f t="shared" si="2"/>
        <v>0</v>
      </c>
      <c r="L56" s="12"/>
      <c r="M56" s="12"/>
      <c r="N56" s="12"/>
      <c r="O56" s="12"/>
    </row>
    <row r="57" spans="1:15" s="328" customFormat="1">
      <c r="A57" s="668">
        <f t="shared" si="3"/>
        <v>33</v>
      </c>
      <c r="B57" s="1" t="s">
        <v>76</v>
      </c>
      <c r="C57" s="673"/>
      <c r="D57" s="673"/>
      <c r="E57" s="671">
        <f t="shared" si="2"/>
        <v>0</v>
      </c>
      <c r="L57" s="12"/>
      <c r="M57" s="12"/>
      <c r="N57" s="12"/>
      <c r="O57" s="12"/>
    </row>
    <row r="58" spans="1:15" s="328" customFormat="1">
      <c r="A58" s="668">
        <f t="shared" si="3"/>
        <v>34</v>
      </c>
      <c r="B58" s="1" t="s">
        <v>75</v>
      </c>
      <c r="C58" s="673"/>
      <c r="D58" s="673"/>
      <c r="E58" s="671">
        <f t="shared" si="2"/>
        <v>0</v>
      </c>
      <c r="L58" s="12"/>
      <c r="M58" s="12"/>
      <c r="N58" s="12"/>
      <c r="O58" s="12"/>
    </row>
    <row r="59" spans="1:15" s="328" customFormat="1">
      <c r="A59" s="668">
        <f t="shared" si="3"/>
        <v>35</v>
      </c>
      <c r="B59" s="1" t="s">
        <v>95</v>
      </c>
      <c r="C59" s="673"/>
      <c r="D59" s="673"/>
      <c r="E59" s="671">
        <f t="shared" si="2"/>
        <v>0</v>
      </c>
      <c r="L59" s="12"/>
      <c r="M59" s="12"/>
      <c r="N59" s="12"/>
      <c r="O59" s="12"/>
    </row>
    <row r="60" spans="1:15" s="328" customFormat="1">
      <c r="A60" s="668">
        <f t="shared" si="3"/>
        <v>36</v>
      </c>
      <c r="B60" s="1" t="s">
        <v>82</v>
      </c>
      <c r="C60" s="673"/>
      <c r="D60" s="673"/>
      <c r="E60" s="671">
        <f t="shared" si="2"/>
        <v>0</v>
      </c>
      <c r="L60" s="12"/>
      <c r="M60" s="12"/>
      <c r="N60" s="12"/>
      <c r="O60" s="12"/>
    </row>
    <row r="61" spans="1:15" s="328" customFormat="1">
      <c r="A61" s="668">
        <f t="shared" si="3"/>
        <v>37</v>
      </c>
      <c r="B61" s="1" t="s">
        <v>171</v>
      </c>
      <c r="C61" s="673"/>
      <c r="D61" s="673"/>
      <c r="E61" s="671">
        <f t="shared" si="2"/>
        <v>0</v>
      </c>
      <c r="L61" s="12"/>
      <c r="M61" s="12"/>
      <c r="N61" s="12"/>
      <c r="O61" s="12"/>
    </row>
    <row r="62" spans="1:15" s="328" customFormat="1">
      <c r="A62" s="668">
        <f t="shared" si="3"/>
        <v>38</v>
      </c>
      <c r="B62" s="1" t="s">
        <v>80</v>
      </c>
      <c r="C62" s="673"/>
      <c r="D62" s="673"/>
      <c r="E62" s="671">
        <f t="shared" si="2"/>
        <v>0</v>
      </c>
      <c r="L62" s="12"/>
      <c r="M62" s="12"/>
      <c r="N62" s="12"/>
      <c r="O62" s="12"/>
    </row>
    <row r="63" spans="1:15" s="328" customFormat="1">
      <c r="A63" s="668">
        <f t="shared" si="3"/>
        <v>39</v>
      </c>
      <c r="B63" s="1" t="s">
        <v>86</v>
      </c>
      <c r="C63" s="673"/>
      <c r="D63" s="673"/>
      <c r="E63" s="671">
        <f t="shared" si="2"/>
        <v>0</v>
      </c>
      <c r="L63" s="12"/>
      <c r="M63" s="12"/>
      <c r="N63" s="12"/>
      <c r="O63" s="12"/>
    </row>
    <row r="64" spans="1:15" s="328" customFormat="1">
      <c r="A64" s="668">
        <f t="shared" si="3"/>
        <v>40</v>
      </c>
      <c r="B64" s="1" t="s">
        <v>79</v>
      </c>
      <c r="C64" s="673"/>
      <c r="D64" s="673"/>
      <c r="E64" s="671">
        <f t="shared" si="2"/>
        <v>0</v>
      </c>
      <c r="L64" s="12"/>
      <c r="M64" s="12"/>
      <c r="N64" s="12"/>
      <c r="O64" s="12"/>
    </row>
    <row r="65" spans="1:16" s="328" customFormat="1">
      <c r="A65" s="668">
        <f t="shared" si="3"/>
        <v>41</v>
      </c>
      <c r="B65" s="1" t="s">
        <v>194</v>
      </c>
      <c r="C65" s="673"/>
      <c r="D65" s="673"/>
      <c r="E65" s="671">
        <f t="shared" si="2"/>
        <v>0</v>
      </c>
      <c r="L65" s="12"/>
      <c r="M65" s="12"/>
      <c r="N65" s="12"/>
      <c r="O65" s="12"/>
    </row>
    <row r="66" spans="1:16" s="328" customFormat="1" ht="13.8" thickBot="1">
      <c r="A66" s="668"/>
      <c r="B66" s="222"/>
      <c r="C66" s="672">
        <f>+E66+D66</f>
        <v>0</v>
      </c>
      <c r="D66" s="672">
        <f>SUM(D53:D65)/13</f>
        <v>0</v>
      </c>
      <c r="E66" s="672">
        <f>SUM(E53:E65)/13</f>
        <v>0</v>
      </c>
      <c r="L66" s="12"/>
      <c r="M66" s="12"/>
      <c r="N66" s="12"/>
      <c r="O66" s="12"/>
    </row>
    <row r="67" spans="1:16" s="328" customFormat="1" ht="13.8" thickTop="1">
      <c r="A67" s="668"/>
      <c r="B67" s="222"/>
      <c r="C67" s="292"/>
      <c r="D67" s="292"/>
      <c r="E67" s="292"/>
      <c r="F67" s="292"/>
      <c r="G67" s="292"/>
      <c r="L67" s="12"/>
      <c r="M67" s="12"/>
      <c r="N67" s="12"/>
      <c r="O67" s="12"/>
    </row>
    <row r="68" spans="1:16">
      <c r="A68" s="291"/>
      <c r="B68" s="675" t="s">
        <v>551</v>
      </c>
      <c r="C68" s="292"/>
      <c r="D68" s="292"/>
      <c r="E68" s="292"/>
      <c r="F68" s="293"/>
      <c r="G68" s="293"/>
      <c r="H68" s="221"/>
      <c r="I68" s="221"/>
      <c r="J68" s="223"/>
      <c r="K68" s="12"/>
      <c r="L68" s="12"/>
      <c r="M68" s="12"/>
      <c r="N68" s="12"/>
      <c r="O68" s="12"/>
    </row>
    <row r="69" spans="1:16">
      <c r="A69" s="291"/>
      <c r="B69" s="222" t="s">
        <v>196</v>
      </c>
      <c r="C69" s="222" t="s">
        <v>197</v>
      </c>
      <c r="D69" s="222" t="s">
        <v>198</v>
      </c>
      <c r="E69" s="222" t="s">
        <v>199</v>
      </c>
      <c r="F69" s="271" t="s">
        <v>201</v>
      </c>
      <c r="G69" s="271" t="s">
        <v>200</v>
      </c>
      <c r="H69" s="271" t="s">
        <v>202</v>
      </c>
      <c r="I69" s="271" t="s">
        <v>203</v>
      </c>
      <c r="J69" s="223"/>
      <c r="K69" s="221"/>
      <c r="L69" s="12"/>
      <c r="M69" s="12"/>
      <c r="N69" s="12"/>
      <c r="O69" s="12"/>
      <c r="P69" s="12"/>
    </row>
    <row r="70" spans="1:16" ht="66">
      <c r="A70" s="291"/>
      <c r="B70" s="737" t="s">
        <v>318</v>
      </c>
      <c r="C70" s="366"/>
      <c r="D70" s="738" t="s">
        <v>11</v>
      </c>
      <c r="E70" s="738" t="s">
        <v>319</v>
      </c>
      <c r="F70" s="738" t="s">
        <v>724</v>
      </c>
      <c r="G70" s="738" t="s">
        <v>722</v>
      </c>
      <c r="H70" s="368" t="s">
        <v>320</v>
      </c>
      <c r="I70" s="368" t="s">
        <v>321</v>
      </c>
      <c r="J70" s="294"/>
      <c r="K70" s="294"/>
      <c r="L70" s="294"/>
      <c r="M70" s="295"/>
      <c r="N70" s="12"/>
      <c r="O70" s="12"/>
      <c r="P70" s="12"/>
    </row>
    <row r="71" spans="1:16">
      <c r="A71" s="291" t="str">
        <f>+A65+1&amp;"a"</f>
        <v>42a</v>
      </c>
      <c r="B71" s="284"/>
      <c r="C71" s="296" t="s">
        <v>322</v>
      </c>
      <c r="D71" s="297">
        <v>0</v>
      </c>
      <c r="E71" s="297">
        <v>0</v>
      </c>
      <c r="F71" s="297">
        <v>0</v>
      </c>
      <c r="G71" s="297">
        <v>0</v>
      </c>
      <c r="H71" s="297">
        <v>0</v>
      </c>
      <c r="I71" s="298">
        <f>+D71*E71*F71*G71*H71</f>
        <v>0</v>
      </c>
      <c r="J71" s="284"/>
      <c r="K71" s="284"/>
      <c r="L71" s="284"/>
      <c r="M71" s="295"/>
      <c r="N71" s="12"/>
      <c r="O71" s="12"/>
      <c r="P71" s="12"/>
    </row>
    <row r="72" spans="1:16">
      <c r="A72" s="668" t="str">
        <f>+A65+1&amp;"b"</f>
        <v>42b</v>
      </c>
      <c r="B72" s="284"/>
      <c r="C72" s="296" t="s">
        <v>323</v>
      </c>
      <c r="D72" s="299">
        <v>0</v>
      </c>
      <c r="E72" s="299">
        <v>0</v>
      </c>
      <c r="F72" s="299">
        <v>0</v>
      </c>
      <c r="G72" s="299">
        <v>0</v>
      </c>
      <c r="H72" s="299">
        <v>0</v>
      </c>
      <c r="I72" s="298">
        <f>+D72*E72*F72*G72*H72</f>
        <v>0</v>
      </c>
      <c r="J72" s="284"/>
      <c r="K72" s="284"/>
      <c r="L72" s="284"/>
      <c r="M72" s="295"/>
      <c r="N72" s="12"/>
      <c r="O72" s="12"/>
      <c r="P72" s="12"/>
    </row>
    <row r="73" spans="1:16">
      <c r="A73" s="291">
        <f>+A65+2</f>
        <v>43</v>
      </c>
      <c r="B73" s="284"/>
      <c r="C73" s="739" t="s">
        <v>13</v>
      </c>
      <c r="D73" s="621">
        <f>SUM(D71:D72)</f>
        <v>0</v>
      </c>
      <c r="E73" s="740"/>
      <c r="F73" s="741"/>
      <c r="G73" s="741"/>
      <c r="H73" s="740"/>
      <c r="I73" s="742">
        <f>SUM(I71:I72)</f>
        <v>0</v>
      </c>
      <c r="J73" s="284"/>
      <c r="K73" s="284"/>
      <c r="L73" s="284"/>
      <c r="M73" s="295"/>
      <c r="N73" s="12"/>
      <c r="O73" s="12"/>
      <c r="P73" s="12"/>
    </row>
    <row r="74" spans="1:16">
      <c r="A74" s="226"/>
      <c r="B74" s="227"/>
      <c r="C74" s="228"/>
      <c r="D74" s="228"/>
      <c r="E74" s="228"/>
      <c r="F74" s="228"/>
      <c r="G74" s="228"/>
      <c r="I74" s="303"/>
      <c r="J74" s="303"/>
      <c r="K74" s="303"/>
    </row>
    <row r="75" spans="1:16">
      <c r="A75" s="226"/>
      <c r="B75" s="227"/>
      <c r="C75" s="228"/>
      <c r="D75" s="228"/>
      <c r="E75" s="228"/>
      <c r="F75" s="228"/>
      <c r="G75" s="228"/>
      <c r="L75" s="12"/>
      <c r="M75" s="12"/>
      <c r="N75" s="12"/>
      <c r="O75" s="12"/>
      <c r="P75" s="12"/>
    </row>
    <row r="76" spans="1:16">
      <c r="A76" s="736" t="s">
        <v>182</v>
      </c>
    </row>
    <row r="77" spans="1:16">
      <c r="A77" s="329" t="s">
        <v>62</v>
      </c>
      <c r="B77" s="275" t="s">
        <v>355</v>
      </c>
      <c r="C77" s="264"/>
      <c r="D77" s="264"/>
      <c r="E77" s="264"/>
      <c r="F77" s="264"/>
      <c r="G77" s="264"/>
      <c r="H77" s="264"/>
      <c r="I77" s="264"/>
      <c r="J77" s="264"/>
      <c r="K77" s="264"/>
    </row>
    <row r="78" spans="1:16" s="221" customFormat="1" ht="48.75" customHeight="1">
      <c r="A78" s="329" t="s">
        <v>63</v>
      </c>
      <c r="B78" s="915" t="s">
        <v>813</v>
      </c>
      <c r="C78" s="915"/>
      <c r="D78" s="915"/>
      <c r="E78" s="915"/>
      <c r="F78" s="915"/>
      <c r="G78" s="915"/>
      <c r="H78" s="915"/>
      <c r="I78" s="915"/>
      <c r="J78" s="872"/>
      <c r="K78" s="462"/>
    </row>
    <row r="79" spans="1:16" ht="27.75" customHeight="1">
      <c r="A79" s="329" t="s">
        <v>64</v>
      </c>
      <c r="B79" s="915" t="s">
        <v>545</v>
      </c>
      <c r="C79" s="915"/>
      <c r="D79" s="915"/>
      <c r="E79" s="915"/>
      <c r="F79" s="915"/>
      <c r="G79" s="915"/>
      <c r="H79" s="915"/>
      <c r="I79" s="915"/>
      <c r="J79" s="872"/>
      <c r="K79" s="872"/>
    </row>
    <row r="80" spans="1:16" ht="12.75" customHeight="1">
      <c r="A80" s="329" t="s">
        <v>65</v>
      </c>
      <c r="B80" s="915" t="s">
        <v>365</v>
      </c>
      <c r="C80" s="915"/>
      <c r="D80" s="915"/>
      <c r="E80" s="915"/>
      <c r="F80" s="915"/>
      <c r="G80" s="915"/>
      <c r="H80" s="915"/>
      <c r="I80" s="915"/>
      <c r="J80" s="872"/>
      <c r="K80" s="872"/>
      <c r="L80" s="223"/>
    </row>
    <row r="81" spans="1:11">
      <c r="A81" s="329" t="s">
        <v>66</v>
      </c>
      <c r="B81" s="915" t="s">
        <v>633</v>
      </c>
      <c r="C81" s="915"/>
      <c r="D81" s="915"/>
      <c r="E81" s="915"/>
      <c r="F81" s="915"/>
      <c r="G81" s="915"/>
      <c r="H81" s="915"/>
      <c r="I81" s="915"/>
      <c r="J81" s="869"/>
      <c r="K81" s="869"/>
    </row>
    <row r="82" spans="1:11" s="221" customFormat="1" ht="60.75" customHeight="1">
      <c r="A82" s="329" t="s">
        <v>67</v>
      </c>
      <c r="B82" s="915" t="s">
        <v>721</v>
      </c>
      <c r="C82" s="915"/>
      <c r="D82" s="915"/>
      <c r="E82" s="915"/>
      <c r="F82" s="915"/>
      <c r="G82" s="915"/>
      <c r="H82" s="915"/>
      <c r="I82" s="915"/>
      <c r="J82" s="873"/>
      <c r="K82" s="873"/>
    </row>
    <row r="83" spans="1:11" ht="24.75" customHeight="1">
      <c r="A83" s="329" t="s">
        <v>68</v>
      </c>
      <c r="B83" s="935" t="s">
        <v>810</v>
      </c>
      <c r="C83" s="935"/>
      <c r="D83" s="935"/>
      <c r="E83" s="935"/>
      <c r="F83" s="935"/>
      <c r="G83" s="935"/>
      <c r="H83" s="935"/>
      <c r="I83" s="935"/>
      <c r="J83" s="873"/>
      <c r="K83" s="868"/>
    </row>
    <row r="84" spans="1:11" ht="18" customHeight="1">
      <c r="A84" s="329" t="s">
        <v>69</v>
      </c>
      <c r="B84" s="936" t="s">
        <v>723</v>
      </c>
      <c r="C84" s="936"/>
      <c r="D84" s="936"/>
      <c r="E84" s="936"/>
      <c r="F84" s="936"/>
      <c r="G84" s="936"/>
      <c r="H84" s="936"/>
      <c r="I84" s="936"/>
      <c r="J84" s="868"/>
      <c r="K84" s="868"/>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C8" sqref="C8"/>
    </sheetView>
  </sheetViews>
  <sheetFormatPr defaultColWidth="14" defaultRowHeight="13.2"/>
  <cols>
    <col min="1" max="1" width="5.81640625" style="100" bestFit="1" customWidth="1"/>
    <col min="2" max="2" width="20.90625" style="328" customWidth="1"/>
    <col min="3" max="3" width="14.36328125" style="328" customWidth="1"/>
    <col min="4" max="4" width="14" style="328" customWidth="1"/>
    <col min="5" max="5" width="12.54296875" style="328" customWidth="1"/>
    <col min="6" max="6" width="13.36328125" style="328" customWidth="1"/>
    <col min="7" max="7" width="12.81640625" style="328" customWidth="1"/>
    <col min="8" max="9" width="8.54296875" style="328" customWidth="1"/>
    <col min="10" max="10" width="13.6328125" style="328" bestFit="1" customWidth="1"/>
    <col min="11" max="11" width="12.54296875" style="328" bestFit="1" customWidth="1"/>
    <col min="12" max="12" width="11.1796875" style="328" bestFit="1" customWidth="1"/>
    <col min="13" max="13" width="12.81640625" style="328" customWidth="1"/>
    <col min="14" max="14" width="14" style="328"/>
    <col min="15" max="15" width="10" style="328" bestFit="1" customWidth="1"/>
    <col min="16" max="16384" width="14" style="328"/>
  </cols>
  <sheetData>
    <row r="1" spans="1:15">
      <c r="A1" s="932" t="s">
        <v>190</v>
      </c>
      <c r="B1" s="932"/>
      <c r="C1" s="932"/>
      <c r="D1" s="932"/>
      <c r="E1" s="932"/>
      <c r="F1" s="932"/>
      <c r="G1" s="932"/>
      <c r="H1" s="932"/>
      <c r="I1" s="932"/>
      <c r="J1" s="932"/>
    </row>
    <row r="2" spans="1:15" ht="15" customHeight="1">
      <c r="A2" s="941" t="s">
        <v>483</v>
      </c>
      <c r="B2" s="941"/>
      <c r="C2" s="941"/>
      <c r="D2" s="941"/>
      <c r="E2" s="941"/>
      <c r="F2" s="941"/>
      <c r="G2" s="941"/>
      <c r="H2" s="941"/>
      <c r="I2" s="941"/>
      <c r="J2" s="941"/>
    </row>
    <row r="3" spans="1:15">
      <c r="A3" s="934" t="str">
        <f>+'Attachment H-26'!$D$5</f>
        <v>Transource West Virginia, LLC</v>
      </c>
      <c r="B3" s="934"/>
      <c r="C3" s="934"/>
      <c r="D3" s="934"/>
      <c r="E3" s="934"/>
      <c r="F3" s="934"/>
      <c r="G3" s="934"/>
      <c r="H3" s="934"/>
      <c r="I3" s="934"/>
      <c r="J3" s="934"/>
      <c r="K3" s="571"/>
      <c r="L3" s="571"/>
      <c r="M3" s="571"/>
      <c r="N3" s="571"/>
    </row>
    <row r="4" spans="1:15">
      <c r="B4" s="569"/>
    </row>
    <row r="5" spans="1:15">
      <c r="A5" s="265"/>
      <c r="B5" s="25" t="s">
        <v>468</v>
      </c>
      <c r="C5" s="569"/>
      <c r="F5" s="569"/>
      <c r="G5" s="569"/>
      <c r="H5" s="569"/>
      <c r="I5" s="569"/>
      <c r="J5" s="569"/>
      <c r="K5" s="276"/>
      <c r="L5" s="569"/>
      <c r="N5" s="103"/>
      <c r="O5" s="103"/>
    </row>
    <row r="6" spans="1:15" ht="16.2" thickBot="1">
      <c r="A6" s="265"/>
      <c r="B6" s="25"/>
      <c r="C6" s="569"/>
      <c r="D6" s="277"/>
      <c r="E6" s="277"/>
      <c r="F6" s="410" t="s">
        <v>48</v>
      </c>
      <c r="G6" s="277"/>
      <c r="H6" s="277"/>
      <c r="I6" s="277"/>
      <c r="K6" s="276"/>
      <c r="L6" s="569"/>
      <c r="N6" s="103"/>
      <c r="O6" s="103"/>
    </row>
    <row r="7" spans="1:15" ht="15.6">
      <c r="A7" s="265">
        <v>1</v>
      </c>
      <c r="B7" s="25" t="s">
        <v>292</v>
      </c>
      <c r="C7" s="25"/>
      <c r="F7" s="332">
        <f>+'8-Construction Debt'!H33</f>
        <v>56145.092666666678</v>
      </c>
      <c r="G7" s="277"/>
      <c r="H7" s="277"/>
      <c r="I7" s="277"/>
      <c r="N7" s="104"/>
      <c r="O7" s="104"/>
    </row>
    <row r="8" spans="1:15" ht="15.6">
      <c r="A8" s="265"/>
      <c r="B8" s="25"/>
      <c r="C8" s="25"/>
      <c r="F8" s="161"/>
      <c r="G8" s="277"/>
      <c r="H8" s="277"/>
      <c r="I8" s="277"/>
      <c r="N8" s="104"/>
      <c r="O8" s="104"/>
    </row>
    <row r="9" spans="1:15" ht="15.6">
      <c r="A9" s="265">
        <f>+A7+1</f>
        <v>2</v>
      </c>
      <c r="B9" s="25" t="s">
        <v>293</v>
      </c>
      <c r="C9" s="25"/>
      <c r="F9" s="149">
        <v>0</v>
      </c>
      <c r="G9" s="277"/>
      <c r="H9" s="277"/>
      <c r="I9" s="278"/>
      <c r="N9" s="103"/>
      <c r="O9" s="103"/>
    </row>
    <row r="10" spans="1:15" ht="15.6">
      <c r="A10" s="265"/>
      <c r="B10" s="25"/>
      <c r="C10" s="25"/>
      <c r="F10" s="423"/>
      <c r="G10" s="277"/>
      <c r="H10" s="277"/>
      <c r="I10" s="277"/>
      <c r="N10" s="103"/>
      <c r="O10" s="103"/>
    </row>
    <row r="11" spans="1:15" ht="15.6">
      <c r="A11" s="265">
        <f>+A9+1</f>
        <v>3</v>
      </c>
      <c r="B11" s="25" t="s">
        <v>858</v>
      </c>
      <c r="C11" s="25"/>
      <c r="F11" s="161">
        <f>+E40</f>
        <v>3390357.7846153849</v>
      </c>
      <c r="G11" s="277"/>
      <c r="H11" s="277"/>
      <c r="I11" s="277"/>
    </row>
    <row r="12" spans="1:15" ht="15.6">
      <c r="A12" s="265">
        <f t="shared" ref="A12:A22" si="0">+A11+1</f>
        <v>4</v>
      </c>
      <c r="B12" s="25" t="s">
        <v>484</v>
      </c>
      <c r="C12" s="25"/>
      <c r="F12" s="411">
        <f>-D40</f>
        <v>0</v>
      </c>
      <c r="G12" s="277"/>
      <c r="H12" s="277"/>
      <c r="I12" s="277"/>
    </row>
    <row r="13" spans="1:15" ht="15.6">
      <c r="A13" s="265">
        <f t="shared" si="0"/>
        <v>5</v>
      </c>
      <c r="B13" s="25" t="s">
        <v>494</v>
      </c>
      <c r="C13" s="25"/>
      <c r="F13" s="411">
        <f>-F40</f>
        <v>0</v>
      </c>
      <c r="G13" s="277"/>
      <c r="H13" s="277"/>
      <c r="I13" s="277"/>
    </row>
    <row r="14" spans="1:15" ht="16.2" thickBot="1">
      <c r="A14" s="265">
        <f t="shared" si="0"/>
        <v>6</v>
      </c>
      <c r="B14" s="25" t="s">
        <v>495</v>
      </c>
      <c r="C14" s="25"/>
      <c r="F14" s="173">
        <f>-G40</f>
        <v>0</v>
      </c>
      <c r="G14" s="277"/>
      <c r="H14" s="277"/>
      <c r="I14" s="277"/>
    </row>
    <row r="15" spans="1:15" ht="15.6">
      <c r="A15" s="265">
        <f t="shared" si="0"/>
        <v>7</v>
      </c>
      <c r="B15" s="25" t="s">
        <v>295</v>
      </c>
      <c r="C15" s="33" t="s">
        <v>493</v>
      </c>
      <c r="F15" s="573">
        <f>+SUM(F11:F14)</f>
        <v>3390357.7846153849</v>
      </c>
      <c r="G15" s="279"/>
      <c r="H15" s="280"/>
      <c r="I15" s="279"/>
    </row>
    <row r="16" spans="1:15">
      <c r="A16" s="265"/>
      <c r="B16" s="25"/>
      <c r="C16" s="569"/>
      <c r="J16" s="423"/>
    </row>
    <row r="17" spans="1:10">
      <c r="A17" s="265"/>
      <c r="B17" s="570"/>
      <c r="C17" s="569"/>
      <c r="F17" s="569"/>
      <c r="G17" s="569"/>
      <c r="I17" s="569"/>
      <c r="J17" s="569"/>
    </row>
    <row r="18" spans="1:10" ht="13.8" thickBot="1">
      <c r="A18" s="265"/>
      <c r="B18" s="570"/>
      <c r="C18" s="569"/>
      <c r="F18" s="30" t="s">
        <v>48</v>
      </c>
      <c r="G18" s="30" t="s">
        <v>58</v>
      </c>
      <c r="H18" s="30" t="s">
        <v>57</v>
      </c>
      <c r="I18" s="30" t="s">
        <v>59</v>
      </c>
      <c r="J18" s="569"/>
    </row>
    <row r="19" spans="1:10">
      <c r="A19" s="265">
        <f>+A15+1</f>
        <v>8</v>
      </c>
      <c r="B19" s="25" t="s">
        <v>236</v>
      </c>
      <c r="C19" s="31" t="s">
        <v>832</v>
      </c>
      <c r="F19" s="197">
        <f>+C40</f>
        <v>1884590.5230769233</v>
      </c>
      <c r="G19" s="904">
        <v>0.4</v>
      </c>
      <c r="H19" s="383">
        <f>+'8-Construction Debt'!D13</f>
        <v>9.4836771000451181E-2</v>
      </c>
      <c r="I19" s="219">
        <f>G19*H19</f>
        <v>3.7934708400180477E-2</v>
      </c>
      <c r="J19" s="196" t="s">
        <v>60</v>
      </c>
    </row>
    <row r="20" spans="1:10">
      <c r="A20" s="265">
        <f t="shared" si="0"/>
        <v>9</v>
      </c>
      <c r="B20" s="25" t="s">
        <v>490</v>
      </c>
      <c r="C20" s="33" t="s">
        <v>833</v>
      </c>
      <c r="F20" s="197">
        <f>+D40</f>
        <v>0</v>
      </c>
      <c r="G20" s="904">
        <v>0</v>
      </c>
      <c r="H20" s="383">
        <f>IFERROR(+F9/F20,0)</f>
        <v>0</v>
      </c>
      <c r="I20" s="219">
        <f>G20*H20</f>
        <v>0</v>
      </c>
      <c r="J20" s="569"/>
    </row>
    <row r="21" spans="1:10" ht="13.8" thickBot="1">
      <c r="A21" s="265">
        <f t="shared" si="0"/>
        <v>10</v>
      </c>
      <c r="B21" s="25" t="s">
        <v>278</v>
      </c>
      <c r="C21" s="33" t="s">
        <v>834</v>
      </c>
      <c r="F21" s="285">
        <f>+F15</f>
        <v>3390357.7846153849</v>
      </c>
      <c r="G21" s="904">
        <v>0.6</v>
      </c>
      <c r="H21" s="904">
        <v>0.11</v>
      </c>
      <c r="I21" s="339">
        <f>G21*H21</f>
        <v>6.6000000000000003E-2</v>
      </c>
      <c r="J21" s="569"/>
    </row>
    <row r="22" spans="1:10">
      <c r="A22" s="265">
        <f t="shared" si="0"/>
        <v>11</v>
      </c>
      <c r="B22" s="570" t="s">
        <v>228</v>
      </c>
      <c r="C22" s="33" t="s">
        <v>492</v>
      </c>
      <c r="F22" s="197">
        <f>SUM(F19:F21)</f>
        <v>5274948.307692308</v>
      </c>
      <c r="G22" s="569" t="s">
        <v>2</v>
      </c>
      <c r="H22" s="527"/>
      <c r="I22" s="219">
        <f>SUM(I19:I21)</f>
        <v>0.10393470840018049</v>
      </c>
      <c r="J22" s="196" t="s">
        <v>61</v>
      </c>
    </row>
    <row r="23" spans="1:10">
      <c r="A23" s="265"/>
    </row>
    <row r="24" spans="1:10">
      <c r="A24" s="257"/>
    </row>
    <row r="25" spans="1:10">
      <c r="C25" s="222" t="s">
        <v>196</v>
      </c>
      <c r="D25" s="222" t="s">
        <v>197</v>
      </c>
      <c r="E25" s="395" t="s">
        <v>482</v>
      </c>
      <c r="F25" s="222" t="s">
        <v>199</v>
      </c>
      <c r="G25" s="222" t="s">
        <v>201</v>
      </c>
    </row>
    <row r="26" spans="1:10" ht="45.75" customHeight="1">
      <c r="A26" s="385"/>
      <c r="B26" s="387" t="s">
        <v>478</v>
      </c>
      <c r="C26" s="394" t="s">
        <v>486</v>
      </c>
      <c r="D26" s="871" t="s">
        <v>851</v>
      </c>
      <c r="E26" s="394" t="s">
        <v>294</v>
      </c>
      <c r="F26" s="368" t="s">
        <v>487</v>
      </c>
      <c r="G26" s="368" t="s">
        <v>489</v>
      </c>
    </row>
    <row r="27" spans="1:10">
      <c r="A27" s="386">
        <f>+A22+1</f>
        <v>12</v>
      </c>
      <c r="B27" s="388" t="s">
        <v>479</v>
      </c>
      <c r="C27" s="299">
        <v>0</v>
      </c>
      <c r="D27" s="299"/>
      <c r="E27" s="299">
        <v>1119045</v>
      </c>
      <c r="F27" s="299"/>
      <c r="G27" s="299"/>
    </row>
    <row r="28" spans="1:10">
      <c r="A28" s="386">
        <f>+A27+1</f>
        <v>13</v>
      </c>
      <c r="B28" s="389" t="s">
        <v>85</v>
      </c>
      <c r="C28" s="299">
        <v>0</v>
      </c>
      <c r="D28" s="299"/>
      <c r="E28" s="299">
        <v>1415226</v>
      </c>
      <c r="F28" s="390"/>
      <c r="G28" s="390"/>
    </row>
    <row r="29" spans="1:10">
      <c r="A29" s="386">
        <f t="shared" ref="A29:A40" si="1">+A28+1</f>
        <v>14</v>
      </c>
      <c r="B29" s="391" t="s">
        <v>84</v>
      </c>
      <c r="C29" s="299">
        <v>0</v>
      </c>
      <c r="D29" s="299"/>
      <c r="E29" s="299">
        <v>2271415</v>
      </c>
      <c r="F29" s="390"/>
      <c r="G29" s="390"/>
    </row>
    <row r="30" spans="1:10">
      <c r="A30" s="386">
        <f t="shared" si="1"/>
        <v>15</v>
      </c>
      <c r="B30" s="391" t="s">
        <v>83</v>
      </c>
      <c r="C30" s="299">
        <v>0</v>
      </c>
      <c r="D30" s="299"/>
      <c r="E30" s="299">
        <v>2519450</v>
      </c>
      <c r="F30" s="390"/>
      <c r="G30" s="390"/>
    </row>
    <row r="31" spans="1:10">
      <c r="A31" s="386">
        <f t="shared" si="1"/>
        <v>16</v>
      </c>
      <c r="B31" s="389" t="s">
        <v>76</v>
      </c>
      <c r="C31" s="299">
        <v>1106994</v>
      </c>
      <c r="D31" s="299"/>
      <c r="E31" s="299">
        <v>1660491</v>
      </c>
      <c r="F31" s="390"/>
      <c r="G31" s="390"/>
    </row>
    <row r="32" spans="1:10">
      <c r="A32" s="386">
        <f t="shared" si="1"/>
        <v>17</v>
      </c>
      <c r="B32" s="391" t="s">
        <v>75</v>
      </c>
      <c r="C32" s="299">
        <v>1209208</v>
      </c>
      <c r="D32" s="299"/>
      <c r="E32" s="299">
        <v>1813812</v>
      </c>
      <c r="F32" s="390"/>
      <c r="G32" s="390"/>
    </row>
    <row r="33" spans="1:13">
      <c r="A33" s="386">
        <f t="shared" si="1"/>
        <v>18</v>
      </c>
      <c r="B33" s="391" t="s">
        <v>480</v>
      </c>
      <c r="C33" s="299">
        <v>1328755.2000000002</v>
      </c>
      <c r="D33" s="299"/>
      <c r="E33" s="299">
        <v>1993132.7999999998</v>
      </c>
      <c r="F33" s="390"/>
      <c r="G33" s="390"/>
    </row>
    <row r="34" spans="1:13">
      <c r="A34" s="386">
        <f t="shared" si="1"/>
        <v>19</v>
      </c>
      <c r="B34" s="389" t="s">
        <v>82</v>
      </c>
      <c r="C34" s="299">
        <v>1721514</v>
      </c>
      <c r="D34" s="299"/>
      <c r="E34" s="299">
        <v>2582271</v>
      </c>
      <c r="F34" s="390"/>
      <c r="G34" s="390"/>
    </row>
    <row r="35" spans="1:13">
      <c r="A35" s="386">
        <f t="shared" si="1"/>
        <v>20</v>
      </c>
      <c r="B35" s="391" t="s">
        <v>81</v>
      </c>
      <c r="C35" s="299">
        <v>2194272.8000000003</v>
      </c>
      <c r="D35" s="299"/>
      <c r="E35" s="299">
        <v>3291409.1999999997</v>
      </c>
      <c r="F35" s="390"/>
      <c r="G35" s="390"/>
    </row>
    <row r="36" spans="1:13">
      <c r="A36" s="386">
        <f t="shared" si="1"/>
        <v>21</v>
      </c>
      <c r="B36" s="391" t="s">
        <v>80</v>
      </c>
      <c r="C36" s="299">
        <v>2731752.8000000003</v>
      </c>
      <c r="D36" s="299"/>
      <c r="E36" s="299">
        <v>4097629.1999999997</v>
      </c>
      <c r="F36" s="390"/>
      <c r="G36" s="390"/>
    </row>
    <row r="37" spans="1:13">
      <c r="A37" s="386">
        <f t="shared" si="1"/>
        <v>22</v>
      </c>
      <c r="B37" s="389" t="s">
        <v>481</v>
      </c>
      <c r="C37" s="299">
        <v>3626916.8000000003</v>
      </c>
      <c r="D37" s="299"/>
      <c r="E37" s="299">
        <v>5440375.2000000002</v>
      </c>
      <c r="F37" s="390"/>
      <c r="G37" s="390"/>
    </row>
    <row r="38" spans="1:13">
      <c r="A38" s="386">
        <f t="shared" si="1"/>
        <v>23</v>
      </c>
      <c r="B38" s="389" t="s">
        <v>79</v>
      </c>
      <c r="C38" s="299">
        <v>4682080.8</v>
      </c>
      <c r="D38" s="299"/>
      <c r="E38" s="299">
        <v>7023121.2000000002</v>
      </c>
      <c r="F38" s="390"/>
      <c r="G38" s="390"/>
    </row>
    <row r="39" spans="1:13">
      <c r="A39" s="386">
        <f t="shared" si="1"/>
        <v>24</v>
      </c>
      <c r="B39" s="391" t="s">
        <v>78</v>
      </c>
      <c r="C39" s="299">
        <v>5898182.4000000004</v>
      </c>
      <c r="D39" s="299"/>
      <c r="E39" s="299">
        <v>8847273.5999999996</v>
      </c>
      <c r="F39" s="392"/>
      <c r="G39" s="392"/>
    </row>
    <row r="40" spans="1:13">
      <c r="A40" s="386">
        <f t="shared" si="1"/>
        <v>25</v>
      </c>
      <c r="B40" s="393" t="s">
        <v>631</v>
      </c>
      <c r="C40" s="621">
        <f>+SUM(C27:C39)/13</f>
        <v>1884590.5230769233</v>
      </c>
      <c r="D40" s="621">
        <f>+SUM(D27:D39)/13</f>
        <v>0</v>
      </c>
      <c r="E40" s="621">
        <f>+SUM(E27:E39)/13</f>
        <v>3390357.7846153849</v>
      </c>
      <c r="F40" s="621">
        <f>+SUM(F27:F39)/13</f>
        <v>0</v>
      </c>
      <c r="G40" s="621">
        <f>+SUM(G27:G39)/13</f>
        <v>0</v>
      </c>
    </row>
    <row r="42" spans="1:13">
      <c r="A42" s="720" t="s">
        <v>579</v>
      </c>
    </row>
    <row r="43" spans="1:13" ht="15" customHeight="1">
      <c r="A43" s="266" t="s">
        <v>62</v>
      </c>
      <c r="B43" s="920" t="s">
        <v>491</v>
      </c>
      <c r="C43" s="920"/>
      <c r="D43" s="920"/>
      <c r="E43" s="920"/>
      <c r="F43" s="920"/>
      <c r="G43" s="920"/>
      <c r="H43" s="920"/>
      <c r="I43" s="920"/>
    </row>
    <row r="44" spans="1:13" s="599" customFormat="1">
      <c r="B44" s="920"/>
      <c r="C44" s="920"/>
      <c r="D44" s="920"/>
      <c r="E44" s="920"/>
      <c r="F44" s="920"/>
      <c r="G44" s="920"/>
      <c r="H44" s="920"/>
      <c r="I44" s="920"/>
    </row>
    <row r="45" spans="1:13" s="599" customFormat="1">
      <c r="A45" s="266" t="s">
        <v>63</v>
      </c>
      <c r="B45" s="599" t="s">
        <v>407</v>
      </c>
    </row>
    <row r="46" spans="1:13" s="599" customFormat="1">
      <c r="A46" s="266" t="s">
        <v>64</v>
      </c>
      <c r="B46" s="599" t="s">
        <v>496</v>
      </c>
    </row>
    <row r="47" spans="1:13" s="599" customFormat="1">
      <c r="A47" s="331"/>
      <c r="B47" s="940"/>
      <c r="C47" s="940"/>
      <c r="D47" s="940"/>
      <c r="E47" s="940"/>
      <c r="F47" s="940"/>
      <c r="G47" s="940"/>
      <c r="H47" s="940"/>
      <c r="I47" s="940"/>
      <c r="J47" s="940"/>
      <c r="K47" s="940"/>
      <c r="L47" s="940"/>
      <c r="M47" s="940"/>
    </row>
    <row r="48" spans="1:13" s="599" customFormat="1">
      <c r="A48" s="331"/>
      <c r="B48" s="721"/>
      <c r="C48" s="721"/>
      <c r="D48" s="721"/>
      <c r="E48" s="721"/>
      <c r="F48" s="721"/>
      <c r="G48" s="721"/>
      <c r="H48" s="721"/>
      <c r="I48" s="721"/>
      <c r="J48" s="721"/>
      <c r="K48" s="721"/>
      <c r="L48" s="721"/>
      <c r="M48" s="721"/>
    </row>
    <row r="49" spans="1:13" s="599" customFormat="1">
      <c r="A49" s="331"/>
      <c r="B49" s="721"/>
      <c r="C49" s="721"/>
      <c r="D49" s="721"/>
      <c r="E49" s="721"/>
      <c r="F49" s="721"/>
      <c r="G49" s="721"/>
      <c r="H49" s="721"/>
      <c r="I49" s="721"/>
      <c r="J49" s="721"/>
      <c r="K49" s="721"/>
      <c r="L49" s="721"/>
      <c r="M49" s="721"/>
    </row>
    <row r="50" spans="1:13" s="599" customFormat="1">
      <c r="A50" s="331"/>
      <c r="B50" s="721"/>
      <c r="C50" s="721"/>
      <c r="D50" s="721"/>
      <c r="E50" s="721"/>
      <c r="F50" s="721"/>
      <c r="G50" s="721"/>
      <c r="H50" s="721"/>
      <c r="I50" s="721"/>
      <c r="J50" s="721"/>
      <c r="K50" s="721"/>
      <c r="L50" s="721"/>
      <c r="M50" s="721"/>
    </row>
    <row r="51" spans="1:13" s="599" customFormat="1">
      <c r="A51" s="331"/>
      <c r="B51" s="721"/>
      <c r="C51" s="721"/>
      <c r="D51" s="721"/>
      <c r="E51" s="721"/>
      <c r="F51" s="721"/>
      <c r="G51" s="721"/>
      <c r="H51" s="721"/>
      <c r="I51" s="721"/>
      <c r="J51" s="721"/>
      <c r="K51" s="721"/>
      <c r="L51" s="721"/>
      <c r="M51" s="721"/>
    </row>
    <row r="52" spans="1:13" s="599" customFormat="1">
      <c r="A52" s="331"/>
      <c r="B52" s="721"/>
      <c r="C52" s="721"/>
      <c r="D52" s="721"/>
      <c r="E52" s="721"/>
      <c r="F52" s="721"/>
      <c r="G52" s="721"/>
      <c r="H52" s="721"/>
      <c r="I52" s="721"/>
      <c r="J52" s="721"/>
      <c r="K52" s="721"/>
      <c r="L52" s="721"/>
      <c r="M52" s="721"/>
    </row>
    <row r="53" spans="1:13" s="599" customFormat="1">
      <c r="A53" s="331"/>
      <c r="B53" s="721"/>
      <c r="C53" s="721"/>
      <c r="D53" s="721"/>
      <c r="E53" s="721"/>
      <c r="F53" s="721"/>
      <c r="G53" s="721"/>
      <c r="H53" s="721"/>
      <c r="I53" s="721"/>
      <c r="J53" s="721"/>
      <c r="K53" s="721"/>
      <c r="L53" s="721"/>
      <c r="M53" s="721"/>
    </row>
    <row r="54" spans="1:13" s="599" customFormat="1">
      <c r="A54" s="331"/>
      <c r="B54" s="721"/>
      <c r="C54" s="721"/>
      <c r="D54" s="721"/>
      <c r="E54" s="721"/>
      <c r="F54" s="721"/>
      <c r="G54" s="721"/>
      <c r="H54" s="721"/>
      <c r="I54" s="721"/>
      <c r="J54" s="721"/>
      <c r="K54" s="721"/>
      <c r="L54" s="721"/>
      <c r="M54" s="721"/>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6" orientation="landscape" r:id="rId3"/>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B5" sqref="B5"/>
    </sheetView>
  </sheetViews>
  <sheetFormatPr defaultColWidth="8.90625" defaultRowHeight="15"/>
  <cols>
    <col min="1" max="1" width="21.81640625" style="678" customWidth="1"/>
    <col min="2" max="2" width="26.36328125" style="678" customWidth="1"/>
    <col min="3" max="3" width="2.36328125" style="678" customWidth="1"/>
    <col min="4" max="4" width="18.81640625" style="678" customWidth="1"/>
    <col min="5" max="5" width="1.81640625" style="678" customWidth="1"/>
    <col min="6" max="6" width="18.6328125" style="678" customWidth="1"/>
    <col min="7" max="7" width="12.81640625" style="678" customWidth="1"/>
    <col min="8" max="8" width="15" style="678" customWidth="1"/>
    <col min="9" max="9" width="15.81640625" style="678" customWidth="1"/>
    <col min="10" max="10" width="1.453125" style="678" customWidth="1"/>
    <col min="11" max="11" width="22.08984375" style="678" bestFit="1" customWidth="1"/>
    <col min="12" max="12" width="8.90625" style="678"/>
    <col min="13" max="13" width="8.453125" style="678" bestFit="1" customWidth="1"/>
    <col min="14" max="16384" width="8.90625" style="678"/>
  </cols>
  <sheetData>
    <row r="1" spans="1:11" s="676" customFormat="1">
      <c r="A1" s="932" t="s">
        <v>191</v>
      </c>
      <c r="B1" s="932"/>
      <c r="C1" s="932"/>
      <c r="D1" s="932"/>
      <c r="E1" s="932"/>
      <c r="F1" s="932"/>
      <c r="G1" s="932"/>
      <c r="H1" s="932"/>
      <c r="I1" s="932"/>
      <c r="J1" s="932"/>
      <c r="K1" s="932"/>
    </row>
    <row r="2" spans="1:11" s="676" customFormat="1">
      <c r="A2" s="933" t="s">
        <v>706</v>
      </c>
      <c r="B2" s="933"/>
      <c r="C2" s="933"/>
      <c r="D2" s="933"/>
      <c r="E2" s="933"/>
      <c r="F2" s="933"/>
      <c r="G2" s="933"/>
      <c r="H2" s="933"/>
      <c r="I2" s="933"/>
      <c r="J2" s="933"/>
      <c r="K2" s="933"/>
    </row>
    <row r="3" spans="1:11" s="676" customFormat="1" ht="18" customHeight="1">
      <c r="A3" s="934" t="str">
        <f>+'Attachment H-26'!D5</f>
        <v>Transource West Virginia, LLC</v>
      </c>
      <c r="B3" s="934"/>
      <c r="C3" s="934"/>
      <c r="D3" s="934"/>
      <c r="E3" s="934"/>
      <c r="F3" s="934"/>
      <c r="G3" s="934"/>
      <c r="H3" s="934"/>
      <c r="I3" s="934"/>
      <c r="J3" s="934"/>
      <c r="K3" s="934"/>
    </row>
    <row r="4" spans="1:11">
      <c r="A4" s="677"/>
      <c r="B4" s="677"/>
      <c r="C4" s="677"/>
      <c r="D4" s="677"/>
      <c r="E4" s="677"/>
      <c r="F4" s="677"/>
      <c r="G4" s="677"/>
      <c r="H4" s="677"/>
      <c r="I4" s="677"/>
      <c r="J4" s="677"/>
      <c r="K4" s="677"/>
    </row>
    <row r="5" spans="1:11">
      <c r="A5" s="677"/>
      <c r="B5" s="677"/>
      <c r="C5" s="677"/>
      <c r="D5" s="677"/>
      <c r="E5" s="677"/>
      <c r="F5" s="677"/>
      <c r="G5" s="677"/>
      <c r="H5" s="677"/>
      <c r="I5" s="677"/>
      <c r="J5" s="677"/>
      <c r="K5" s="677"/>
    </row>
    <row r="6" spans="1:11" s="598" customFormat="1" ht="13.8" thickBot="1">
      <c r="A6" s="687">
        <v>2015</v>
      </c>
      <c r="B6" s="688"/>
      <c r="C6" s="688"/>
      <c r="D6" s="857">
        <f>+A6</f>
        <v>2015</v>
      </c>
      <c r="E6" s="689"/>
      <c r="F6" s="689"/>
      <c r="G6" s="689"/>
      <c r="H6" s="689"/>
      <c r="J6" s="689"/>
      <c r="K6" s="689"/>
    </row>
    <row r="7" spans="1:11" s="598" customFormat="1" ht="26.4">
      <c r="A7" s="690" t="s">
        <v>793</v>
      </c>
      <c r="B7" s="689"/>
      <c r="C7" s="689"/>
      <c r="D7" s="690" t="s">
        <v>792</v>
      </c>
      <c r="E7" s="689"/>
      <c r="F7" s="689"/>
      <c r="G7" s="690" t="s">
        <v>689</v>
      </c>
      <c r="J7" s="689"/>
      <c r="K7" s="689"/>
    </row>
    <row r="8" spans="1:11" s="598" customFormat="1" ht="13.2">
      <c r="A8" s="691"/>
      <c r="B8" s="689"/>
      <c r="C8" s="689"/>
      <c r="D8" s="691"/>
      <c r="E8" s="689"/>
      <c r="F8" s="689"/>
      <c r="G8" s="692"/>
      <c r="J8" s="689"/>
      <c r="K8" s="689"/>
    </row>
    <row r="9" spans="1:11" s="598" customFormat="1" ht="13.8" thickBot="1">
      <c r="A9" s="854">
        <v>0</v>
      </c>
      <c r="B9" s="694" t="s">
        <v>690</v>
      </c>
      <c r="C9" s="695"/>
      <c r="D9" s="693">
        <f>+'3-Project True-up'!H29</f>
        <v>0</v>
      </c>
      <c r="E9" s="696"/>
      <c r="F9" s="694" t="s">
        <v>691</v>
      </c>
      <c r="G9" s="697">
        <f>IF(D9=0,0,A9-D9)</f>
        <v>0</v>
      </c>
      <c r="J9" s="689"/>
      <c r="K9" s="689"/>
    </row>
    <row r="10" spans="1:11" s="598" customFormat="1" ht="13.2">
      <c r="A10" s="696"/>
      <c r="B10" s="695"/>
      <c r="C10" s="695"/>
      <c r="D10" s="696"/>
      <c r="E10" s="696"/>
      <c r="F10" s="695"/>
      <c r="G10" s="696"/>
      <c r="H10" s="689"/>
      <c r="I10" s="689"/>
      <c r="J10" s="689"/>
      <c r="K10" s="689"/>
    </row>
    <row r="11" spans="1:11" s="598" customFormat="1" ht="13.2">
      <c r="A11" s="696" t="s">
        <v>835</v>
      </c>
      <c r="B11" s="695"/>
      <c r="C11" s="695"/>
      <c r="D11" s="696"/>
      <c r="E11" s="696"/>
      <c r="F11" s="695"/>
      <c r="G11" s="696"/>
      <c r="H11" s="689"/>
      <c r="I11" s="689"/>
      <c r="J11" s="689"/>
      <c r="K11" s="689"/>
    </row>
    <row r="12" spans="1:11" s="598" customFormat="1" ht="13.2">
      <c r="A12" s="696" t="s">
        <v>836</v>
      </c>
      <c r="B12" s="695"/>
      <c r="C12" s="695"/>
      <c r="D12" s="696"/>
      <c r="E12" s="696"/>
      <c r="F12" s="695"/>
      <c r="G12" s="696"/>
      <c r="H12" s="689"/>
      <c r="I12" s="689"/>
      <c r="J12" s="689"/>
      <c r="K12" s="689"/>
    </row>
    <row r="13" spans="1:11" s="598" customFormat="1" ht="13.2">
      <c r="A13" s="696"/>
      <c r="B13" s="695"/>
      <c r="C13" s="695"/>
      <c r="D13" s="696"/>
      <c r="E13" s="696"/>
      <c r="F13" s="695"/>
      <c r="G13" s="696"/>
      <c r="H13" s="689"/>
      <c r="I13" s="689"/>
      <c r="J13" s="689"/>
      <c r="K13" s="689"/>
    </row>
    <row r="14" spans="1:11" s="598" customFormat="1" ht="13.8" thickBot="1">
      <c r="A14" s="698"/>
      <c r="B14" s="699"/>
      <c r="C14" s="699"/>
      <c r="D14" s="698"/>
      <c r="E14" s="698"/>
      <c r="F14" s="699"/>
      <c r="G14" s="698"/>
      <c r="H14" s="700"/>
      <c r="I14" s="700"/>
      <c r="J14" s="700"/>
      <c r="K14" s="700"/>
    </row>
    <row r="15" spans="1:11" s="598" customFormat="1" ht="8.25" customHeight="1">
      <c r="A15" s="701"/>
      <c r="B15" s="695"/>
      <c r="C15" s="695"/>
      <c r="D15" s="696"/>
      <c r="E15" s="696"/>
      <c r="F15" s="695"/>
      <c r="G15" s="696"/>
      <c r="H15" s="689"/>
      <c r="I15" s="689"/>
      <c r="J15" s="689"/>
      <c r="K15" s="689"/>
    </row>
    <row r="16" spans="1:11" s="598" customFormat="1" ht="53.25" customHeight="1">
      <c r="A16" s="702" t="s">
        <v>692</v>
      </c>
      <c r="B16" s="695"/>
      <c r="C16" s="695"/>
      <c r="D16" s="703" t="s">
        <v>693</v>
      </c>
      <c r="E16" s="696"/>
      <c r="F16" s="703" t="s">
        <v>767</v>
      </c>
      <c r="G16" s="694" t="s">
        <v>694</v>
      </c>
      <c r="H16" s="704" t="s">
        <v>695</v>
      </c>
      <c r="I16" s="703" t="s">
        <v>696</v>
      </c>
      <c r="J16" s="705"/>
      <c r="K16" s="703" t="s">
        <v>697</v>
      </c>
    </row>
    <row r="17" spans="1:11" s="598" customFormat="1" ht="13.2">
      <c r="A17" s="702"/>
      <c r="B17" s="695"/>
      <c r="C17" s="695"/>
      <c r="D17" s="689"/>
      <c r="E17" s="706"/>
      <c r="F17" s="707">
        <f>+'6a - True-up Interest Rate'!E30</f>
        <v>2.7083333333333321E-3</v>
      </c>
      <c r="G17" s="696"/>
      <c r="H17" s="689"/>
      <c r="I17" s="689"/>
      <c r="J17" s="689"/>
      <c r="K17" s="689"/>
    </row>
    <row r="18" spans="1:11" s="598" customFormat="1" ht="13.2">
      <c r="A18" s="702"/>
      <c r="B18" s="695"/>
      <c r="C18" s="695"/>
      <c r="D18" s="689"/>
      <c r="E18" s="706"/>
      <c r="F18" s="706"/>
      <c r="G18" s="696"/>
      <c r="H18" s="689"/>
      <c r="I18" s="689"/>
      <c r="J18" s="689"/>
      <c r="K18" s="689"/>
    </row>
    <row r="19" spans="1:11" s="598" customFormat="1" ht="13.2">
      <c r="A19" s="702" t="s">
        <v>698</v>
      </c>
      <c r="B19" s="695"/>
      <c r="C19" s="695"/>
      <c r="D19" s="689"/>
      <c r="E19" s="706"/>
      <c r="F19" s="706"/>
      <c r="G19" s="696"/>
      <c r="H19" s="689"/>
      <c r="I19" s="689"/>
      <c r="J19" s="689"/>
      <c r="K19" s="689"/>
    </row>
    <row r="20" spans="1:11" s="598" customFormat="1" ht="13.2">
      <c r="A20" s="708" t="s">
        <v>2</v>
      </c>
      <c r="B20" s="695"/>
      <c r="C20" s="695"/>
      <c r="D20" s="695"/>
      <c r="E20" s="695"/>
      <c r="F20" s="695" t="s">
        <v>2</v>
      </c>
      <c r="G20" s="689"/>
      <c r="H20" s="689"/>
      <c r="I20" s="689"/>
      <c r="J20" s="689"/>
      <c r="K20" s="689"/>
    </row>
    <row r="21" spans="1:11" s="598" customFormat="1" ht="13.2">
      <c r="A21" s="709"/>
      <c r="B21" s="695"/>
      <c r="C21" s="695"/>
      <c r="D21" s="695"/>
      <c r="E21" s="695"/>
      <c r="F21" s="689"/>
      <c r="G21" s="689"/>
      <c r="H21" s="694"/>
      <c r="I21" s="695"/>
      <c r="J21" s="695"/>
      <c r="K21" s="695"/>
    </row>
    <row r="22" spans="1:11" s="598" customFormat="1" ht="13.2">
      <c r="A22" s="709" t="s">
        <v>699</v>
      </c>
      <c r="B22" s="695"/>
      <c r="C22" s="695"/>
      <c r="D22" s="695"/>
      <c r="E22" s="695"/>
      <c r="F22" s="689"/>
      <c r="G22" s="689"/>
      <c r="H22" s="694" t="s">
        <v>700</v>
      </c>
      <c r="I22" s="695"/>
      <c r="J22" s="695"/>
      <c r="K22" s="695"/>
    </row>
    <row r="23" spans="1:11" s="598" customFormat="1" ht="13.2">
      <c r="A23" s="689" t="s">
        <v>85</v>
      </c>
      <c r="B23" s="710" t="str">
        <f>"Year "&amp;A6</f>
        <v>Year 2015</v>
      </c>
      <c r="C23" s="689"/>
      <c r="D23" s="886">
        <f>+G9/12</f>
        <v>0</v>
      </c>
      <c r="E23" s="711"/>
      <c r="F23" s="712">
        <f>+F17</f>
        <v>2.7083333333333321E-3</v>
      </c>
      <c r="G23" s="711">
        <v>12</v>
      </c>
      <c r="H23" s="886">
        <f>F23*D23*G23*-1</f>
        <v>0</v>
      </c>
      <c r="I23" s="886"/>
      <c r="J23" s="886"/>
      <c r="K23" s="886">
        <f>(-H23+D23)*-1</f>
        <v>0</v>
      </c>
    </row>
    <row r="24" spans="1:11" s="598" customFormat="1" ht="13.2">
      <c r="A24" s="689" t="s">
        <v>84</v>
      </c>
      <c r="B24" s="710" t="str">
        <f>+B23</f>
        <v>Year 2015</v>
      </c>
      <c r="C24" s="689"/>
      <c r="D24" s="886">
        <f>+D23</f>
        <v>0</v>
      </c>
      <c r="E24" s="711"/>
      <c r="F24" s="712">
        <f>+F23</f>
        <v>2.7083333333333321E-3</v>
      </c>
      <c r="G24" s="372">
        <f t="shared" ref="G24:G34" si="0">+G23-1</f>
        <v>11</v>
      </c>
      <c r="H24" s="886">
        <f t="shared" ref="H24:H34" si="1">F24*D24*G24*-1</f>
        <v>0</v>
      </c>
      <c r="I24" s="886"/>
      <c r="J24" s="886"/>
      <c r="K24" s="886">
        <f t="shared" ref="K24:K34" si="2">(-H24+D24)*-1</f>
        <v>0</v>
      </c>
    </row>
    <row r="25" spans="1:11" s="598" customFormat="1" ht="13.2">
      <c r="A25" s="689" t="s">
        <v>83</v>
      </c>
      <c r="B25" s="710" t="str">
        <f t="shared" ref="B25:B34" si="3">+B24</f>
        <v>Year 2015</v>
      </c>
      <c r="C25" s="689"/>
      <c r="D25" s="886">
        <f t="shared" ref="D25:D34" si="4">+D24</f>
        <v>0</v>
      </c>
      <c r="E25" s="711"/>
      <c r="F25" s="712">
        <f t="shared" ref="F25:F34" si="5">+F24</f>
        <v>2.7083333333333321E-3</v>
      </c>
      <c r="G25" s="372">
        <f t="shared" si="0"/>
        <v>10</v>
      </c>
      <c r="H25" s="886">
        <f t="shared" si="1"/>
        <v>0</v>
      </c>
      <c r="I25" s="886"/>
      <c r="J25" s="886"/>
      <c r="K25" s="886">
        <f t="shared" si="2"/>
        <v>0</v>
      </c>
    </row>
    <row r="26" spans="1:11" s="598" customFormat="1" ht="13.2">
      <c r="A26" s="689" t="s">
        <v>76</v>
      </c>
      <c r="B26" s="710" t="str">
        <f t="shared" si="3"/>
        <v>Year 2015</v>
      </c>
      <c r="C26" s="689"/>
      <c r="D26" s="886">
        <f t="shared" si="4"/>
        <v>0</v>
      </c>
      <c r="E26" s="711"/>
      <c r="F26" s="712">
        <f t="shared" si="5"/>
        <v>2.7083333333333321E-3</v>
      </c>
      <c r="G26" s="372">
        <f t="shared" si="0"/>
        <v>9</v>
      </c>
      <c r="H26" s="886">
        <f t="shared" si="1"/>
        <v>0</v>
      </c>
      <c r="I26" s="886"/>
      <c r="J26" s="886"/>
      <c r="K26" s="886">
        <f t="shared" si="2"/>
        <v>0</v>
      </c>
    </row>
    <row r="27" spans="1:11" s="598" customFormat="1" ht="13.2">
      <c r="A27" s="689" t="s">
        <v>75</v>
      </c>
      <c r="B27" s="710" t="str">
        <f t="shared" si="3"/>
        <v>Year 2015</v>
      </c>
      <c r="C27" s="689"/>
      <c r="D27" s="886">
        <f t="shared" si="4"/>
        <v>0</v>
      </c>
      <c r="E27" s="711"/>
      <c r="F27" s="712">
        <f t="shared" si="5"/>
        <v>2.7083333333333321E-3</v>
      </c>
      <c r="G27" s="372">
        <f t="shared" si="0"/>
        <v>8</v>
      </c>
      <c r="H27" s="886">
        <f t="shared" si="1"/>
        <v>0</v>
      </c>
      <c r="I27" s="886"/>
      <c r="J27" s="886"/>
      <c r="K27" s="886">
        <f t="shared" si="2"/>
        <v>0</v>
      </c>
    </row>
    <row r="28" spans="1:11" s="598" customFormat="1" ht="13.2">
      <c r="A28" s="689" t="s">
        <v>95</v>
      </c>
      <c r="B28" s="710" t="str">
        <f t="shared" si="3"/>
        <v>Year 2015</v>
      </c>
      <c r="C28" s="689"/>
      <c r="D28" s="886">
        <f t="shared" si="4"/>
        <v>0</v>
      </c>
      <c r="E28" s="711"/>
      <c r="F28" s="712">
        <f t="shared" si="5"/>
        <v>2.7083333333333321E-3</v>
      </c>
      <c r="G28" s="372">
        <f t="shared" si="0"/>
        <v>7</v>
      </c>
      <c r="H28" s="886">
        <f t="shared" si="1"/>
        <v>0</v>
      </c>
      <c r="I28" s="886"/>
      <c r="J28" s="886"/>
      <c r="K28" s="886">
        <f t="shared" si="2"/>
        <v>0</v>
      </c>
    </row>
    <row r="29" spans="1:11" s="598" customFormat="1" ht="13.2">
      <c r="A29" s="689" t="s">
        <v>82</v>
      </c>
      <c r="B29" s="710" t="str">
        <f t="shared" si="3"/>
        <v>Year 2015</v>
      </c>
      <c r="C29" s="689"/>
      <c r="D29" s="886">
        <f t="shared" si="4"/>
        <v>0</v>
      </c>
      <c r="E29" s="711"/>
      <c r="F29" s="712">
        <f t="shared" si="5"/>
        <v>2.7083333333333321E-3</v>
      </c>
      <c r="G29" s="372">
        <f t="shared" si="0"/>
        <v>6</v>
      </c>
      <c r="H29" s="886">
        <f t="shared" si="1"/>
        <v>0</v>
      </c>
      <c r="I29" s="886"/>
      <c r="J29" s="886"/>
      <c r="K29" s="886">
        <f t="shared" si="2"/>
        <v>0</v>
      </c>
    </row>
    <row r="30" spans="1:11" s="598" customFormat="1" ht="13.2">
      <c r="A30" s="689" t="s">
        <v>81</v>
      </c>
      <c r="B30" s="710" t="str">
        <f t="shared" si="3"/>
        <v>Year 2015</v>
      </c>
      <c r="C30" s="689"/>
      <c r="D30" s="886">
        <f t="shared" si="4"/>
        <v>0</v>
      </c>
      <c r="E30" s="711"/>
      <c r="F30" s="712">
        <f t="shared" si="5"/>
        <v>2.7083333333333321E-3</v>
      </c>
      <c r="G30" s="372">
        <f t="shared" si="0"/>
        <v>5</v>
      </c>
      <c r="H30" s="886">
        <f t="shared" si="1"/>
        <v>0</v>
      </c>
      <c r="I30" s="886"/>
      <c r="J30" s="886"/>
      <c r="K30" s="886">
        <f t="shared" si="2"/>
        <v>0</v>
      </c>
    </row>
    <row r="31" spans="1:11" s="598" customFormat="1" ht="13.2">
      <c r="A31" s="689" t="s">
        <v>80</v>
      </c>
      <c r="B31" s="710" t="str">
        <f t="shared" si="3"/>
        <v>Year 2015</v>
      </c>
      <c r="C31" s="689"/>
      <c r="D31" s="886">
        <f t="shared" si="4"/>
        <v>0</v>
      </c>
      <c r="E31" s="711"/>
      <c r="F31" s="712">
        <f t="shared" si="5"/>
        <v>2.7083333333333321E-3</v>
      </c>
      <c r="G31" s="372">
        <f t="shared" si="0"/>
        <v>4</v>
      </c>
      <c r="H31" s="886">
        <f t="shared" si="1"/>
        <v>0</v>
      </c>
      <c r="I31" s="886"/>
      <c r="J31" s="886"/>
      <c r="K31" s="886">
        <f t="shared" si="2"/>
        <v>0</v>
      </c>
    </row>
    <row r="32" spans="1:11" s="598" customFormat="1" ht="13.2">
      <c r="A32" s="689" t="s">
        <v>86</v>
      </c>
      <c r="B32" s="710" t="str">
        <f t="shared" si="3"/>
        <v>Year 2015</v>
      </c>
      <c r="C32" s="689"/>
      <c r="D32" s="886">
        <f t="shared" si="4"/>
        <v>0</v>
      </c>
      <c r="E32" s="711"/>
      <c r="F32" s="712">
        <f t="shared" si="5"/>
        <v>2.7083333333333321E-3</v>
      </c>
      <c r="G32" s="372">
        <f t="shared" si="0"/>
        <v>3</v>
      </c>
      <c r="H32" s="886">
        <f t="shared" si="1"/>
        <v>0</v>
      </c>
      <c r="I32" s="886"/>
      <c r="J32" s="886"/>
      <c r="K32" s="886">
        <f t="shared" si="2"/>
        <v>0</v>
      </c>
    </row>
    <row r="33" spans="1:13" s="598" customFormat="1" ht="13.2">
      <c r="A33" s="689" t="s">
        <v>79</v>
      </c>
      <c r="B33" s="710" t="str">
        <f t="shared" si="3"/>
        <v>Year 2015</v>
      </c>
      <c r="C33" s="689"/>
      <c r="D33" s="886">
        <f t="shared" si="4"/>
        <v>0</v>
      </c>
      <c r="E33" s="711"/>
      <c r="F33" s="712">
        <f t="shared" si="5"/>
        <v>2.7083333333333321E-3</v>
      </c>
      <c r="G33" s="372">
        <f t="shared" si="0"/>
        <v>2</v>
      </c>
      <c r="H33" s="886">
        <f t="shared" si="1"/>
        <v>0</v>
      </c>
      <c r="I33" s="886"/>
      <c r="J33" s="886"/>
      <c r="K33" s="886">
        <f t="shared" si="2"/>
        <v>0</v>
      </c>
    </row>
    <row r="34" spans="1:13" s="598" customFormat="1" ht="13.2">
      <c r="A34" s="689" t="s">
        <v>78</v>
      </c>
      <c r="B34" s="710" t="str">
        <f t="shared" si="3"/>
        <v>Year 2015</v>
      </c>
      <c r="C34" s="689"/>
      <c r="D34" s="886">
        <f t="shared" si="4"/>
        <v>0</v>
      </c>
      <c r="E34" s="711"/>
      <c r="F34" s="712">
        <f t="shared" si="5"/>
        <v>2.7083333333333321E-3</v>
      </c>
      <c r="G34" s="372">
        <f t="shared" si="0"/>
        <v>1</v>
      </c>
      <c r="H34" s="888">
        <f t="shared" si="1"/>
        <v>0</v>
      </c>
      <c r="I34" s="886"/>
      <c r="J34" s="886"/>
      <c r="K34" s="886">
        <f t="shared" si="2"/>
        <v>0</v>
      </c>
    </row>
    <row r="35" spans="1:13" s="598" customFormat="1" ht="13.2">
      <c r="A35" s="689"/>
      <c r="B35" s="689"/>
      <c r="C35" s="689"/>
      <c r="D35" s="886"/>
      <c r="E35" s="711"/>
      <c r="F35" s="712"/>
      <c r="G35" s="372"/>
      <c r="H35" s="886">
        <f>SUM(H23:H34)</f>
        <v>0</v>
      </c>
      <c r="I35" s="886"/>
      <c r="J35" s="886"/>
      <c r="K35" s="887">
        <f>SUM(K23:K34)</f>
        <v>0</v>
      </c>
    </row>
    <row r="36" spans="1:13" s="598" customFormat="1" ht="13.2">
      <c r="A36" s="689"/>
      <c r="B36" s="689"/>
      <c r="C36" s="689"/>
      <c r="D36" s="886"/>
      <c r="E36" s="711"/>
      <c r="F36" s="712"/>
      <c r="G36" s="711"/>
      <c r="H36" s="711"/>
      <c r="I36" s="711" t="s">
        <v>2</v>
      </c>
      <c r="J36" s="711"/>
      <c r="K36" s="600"/>
    </row>
    <row r="37" spans="1:13" s="598" customFormat="1" ht="13.2">
      <c r="A37" s="689"/>
      <c r="B37" s="689"/>
      <c r="C37" s="689"/>
      <c r="D37" s="886"/>
      <c r="E37" s="696"/>
      <c r="F37" s="712"/>
      <c r="G37" s="711"/>
      <c r="H37" s="714" t="s">
        <v>701</v>
      </c>
      <c r="I37" s="711"/>
      <c r="J37" s="711"/>
      <c r="K37" s="711"/>
    </row>
    <row r="38" spans="1:13" s="598" customFormat="1" ht="13.2">
      <c r="A38" s="689" t="s">
        <v>853</v>
      </c>
      <c r="B38" s="710" t="str">
        <f>"Year "&amp;$A$6+1</f>
        <v>Year 2016</v>
      </c>
      <c r="C38" s="689"/>
      <c r="D38" s="886">
        <f>K35</f>
        <v>0</v>
      </c>
      <c r="E38" s="696"/>
      <c r="F38" s="712">
        <f>+F34</f>
        <v>2.7083333333333321E-3</v>
      </c>
      <c r="G38" s="711">
        <v>12</v>
      </c>
      <c r="H38" s="711">
        <f>+G38*F38*D38</f>
        <v>0</v>
      </c>
      <c r="I38" s="711"/>
      <c r="J38" s="711"/>
      <c r="K38" s="713">
        <f>+D38+H38</f>
        <v>0</v>
      </c>
    </row>
    <row r="39" spans="1:13" s="598" customFormat="1" ht="13.2">
      <c r="A39" s="689"/>
      <c r="B39" s="689"/>
      <c r="C39" s="689"/>
      <c r="D39" s="886"/>
      <c r="E39" s="696"/>
      <c r="F39" s="712"/>
      <c r="G39" s="689"/>
      <c r="H39" s="711"/>
      <c r="I39" s="711"/>
      <c r="J39" s="711"/>
      <c r="K39" s="711"/>
    </row>
    <row r="40" spans="1:13" s="598" customFormat="1" ht="13.2">
      <c r="A40" s="715" t="s">
        <v>702</v>
      </c>
      <c r="B40" s="689"/>
      <c r="C40" s="689"/>
      <c r="D40" s="886"/>
      <c r="E40" s="711"/>
      <c r="F40" s="712"/>
      <c r="G40" s="689"/>
      <c r="H40" s="714" t="s">
        <v>700</v>
      </c>
      <c r="I40" s="711"/>
      <c r="J40" s="711"/>
      <c r="K40" s="711"/>
    </row>
    <row r="41" spans="1:13" s="598" customFormat="1" ht="13.2">
      <c r="A41" s="689" t="s">
        <v>85</v>
      </c>
      <c r="B41" s="710" t="str">
        <f>"Year "&amp;$A$6+2</f>
        <v>Year 2017</v>
      </c>
      <c r="C41" s="689"/>
      <c r="D41" s="887">
        <f>-K38</f>
        <v>0</v>
      </c>
      <c r="E41" s="696"/>
      <c r="F41" s="712">
        <f>+F34</f>
        <v>2.7083333333333321E-3</v>
      </c>
      <c r="G41" s="689"/>
      <c r="H41" s="886">
        <f xml:space="preserve"> -F41*D41</f>
        <v>0</v>
      </c>
      <c r="I41" s="886">
        <f>PMT(F41,12,K$38)</f>
        <v>0</v>
      </c>
      <c r="J41" s="886"/>
      <c r="K41" s="886">
        <f>(+D41+D41*F41-I41)*-1</f>
        <v>0</v>
      </c>
      <c r="L41" s="716"/>
      <c r="M41" s="717"/>
    </row>
    <row r="42" spans="1:13" s="598" customFormat="1" ht="13.2">
      <c r="A42" s="689" t="s">
        <v>84</v>
      </c>
      <c r="B42" s="710" t="str">
        <f>+B41</f>
        <v>Year 2017</v>
      </c>
      <c r="C42" s="689"/>
      <c r="D42" s="886">
        <f>-K41</f>
        <v>0</v>
      </c>
      <c r="E42" s="696"/>
      <c r="F42" s="712">
        <f>+F41</f>
        <v>2.7083333333333321E-3</v>
      </c>
      <c r="G42" s="689"/>
      <c r="H42" s="886">
        <f t="shared" ref="H42:H52" si="6" xml:space="preserve"> -F42*D42</f>
        <v>0</v>
      </c>
      <c r="I42" s="886">
        <f>I41</f>
        <v>0</v>
      </c>
      <c r="J42" s="886"/>
      <c r="K42" s="886">
        <f t="shared" ref="K42:K52" si="7">(+D42+D42*F42-I42)*-1</f>
        <v>0</v>
      </c>
      <c r="L42" s="716"/>
      <c r="M42" s="717"/>
    </row>
    <row r="43" spans="1:13" s="598" customFormat="1" ht="13.2">
      <c r="A43" s="689" t="s">
        <v>83</v>
      </c>
      <c r="B43" s="710" t="str">
        <f>+B42</f>
        <v>Year 2017</v>
      </c>
      <c r="C43" s="689"/>
      <c r="D43" s="886">
        <f t="shared" ref="D43:D52" si="8">-K42</f>
        <v>0</v>
      </c>
      <c r="E43" s="696"/>
      <c r="F43" s="712">
        <f t="shared" ref="F43:F52" si="9">+F42</f>
        <v>2.7083333333333321E-3</v>
      </c>
      <c r="G43" s="689"/>
      <c r="H43" s="886">
        <f t="shared" si="6"/>
        <v>0</v>
      </c>
      <c r="I43" s="886">
        <f t="shared" ref="I43:I52" si="10">I42</f>
        <v>0</v>
      </c>
      <c r="J43" s="886"/>
      <c r="K43" s="886">
        <f t="shared" si="7"/>
        <v>0</v>
      </c>
      <c r="L43" s="716"/>
      <c r="M43" s="717"/>
    </row>
    <row r="44" spans="1:13" s="598" customFormat="1" ht="13.2">
      <c r="A44" s="689" t="s">
        <v>76</v>
      </c>
      <c r="B44" s="710" t="str">
        <f>+B43</f>
        <v>Year 2017</v>
      </c>
      <c r="C44" s="689"/>
      <c r="D44" s="886">
        <f t="shared" si="8"/>
        <v>0</v>
      </c>
      <c r="E44" s="696"/>
      <c r="F44" s="712">
        <f t="shared" si="9"/>
        <v>2.7083333333333321E-3</v>
      </c>
      <c r="G44" s="689"/>
      <c r="H44" s="886">
        <f t="shared" si="6"/>
        <v>0</v>
      </c>
      <c r="I44" s="886">
        <f t="shared" si="10"/>
        <v>0</v>
      </c>
      <c r="J44" s="886"/>
      <c r="K44" s="886">
        <f t="shared" si="7"/>
        <v>0</v>
      </c>
      <c r="L44" s="716"/>
      <c r="M44" s="717"/>
    </row>
    <row r="45" spans="1:13" s="598" customFormat="1" ht="13.2">
      <c r="A45" s="689" t="s">
        <v>75</v>
      </c>
      <c r="B45" s="710" t="str">
        <f>+B44</f>
        <v>Year 2017</v>
      </c>
      <c r="C45" s="689"/>
      <c r="D45" s="886">
        <f t="shared" si="8"/>
        <v>0</v>
      </c>
      <c r="E45" s="696"/>
      <c r="F45" s="712">
        <f t="shared" si="9"/>
        <v>2.7083333333333321E-3</v>
      </c>
      <c r="G45" s="689"/>
      <c r="H45" s="886">
        <f t="shared" si="6"/>
        <v>0</v>
      </c>
      <c r="I45" s="886">
        <f t="shared" si="10"/>
        <v>0</v>
      </c>
      <c r="J45" s="886"/>
      <c r="K45" s="886">
        <f t="shared" si="7"/>
        <v>0</v>
      </c>
      <c r="L45" s="716"/>
      <c r="M45" s="717"/>
    </row>
    <row r="46" spans="1:13" s="598" customFormat="1" ht="13.2">
      <c r="A46" s="689" t="s">
        <v>95</v>
      </c>
      <c r="B46" s="710" t="str">
        <f>B45</f>
        <v>Year 2017</v>
      </c>
      <c r="C46" s="689"/>
      <c r="D46" s="886">
        <f t="shared" si="8"/>
        <v>0</v>
      </c>
      <c r="E46" s="696"/>
      <c r="F46" s="712">
        <f t="shared" si="9"/>
        <v>2.7083333333333321E-3</v>
      </c>
      <c r="G46" s="689"/>
      <c r="H46" s="886">
        <f t="shared" si="6"/>
        <v>0</v>
      </c>
      <c r="I46" s="886">
        <f t="shared" si="10"/>
        <v>0</v>
      </c>
      <c r="J46" s="886"/>
      <c r="K46" s="886">
        <f t="shared" si="7"/>
        <v>0</v>
      </c>
      <c r="L46" s="716"/>
      <c r="M46" s="717"/>
    </row>
    <row r="47" spans="1:13" s="598" customFormat="1" ht="13.2">
      <c r="A47" s="689" t="s">
        <v>82</v>
      </c>
      <c r="B47" s="710" t="str">
        <f t="shared" ref="B47:B52" si="11">+B46</f>
        <v>Year 2017</v>
      </c>
      <c r="C47" s="689"/>
      <c r="D47" s="886">
        <f t="shared" si="8"/>
        <v>0</v>
      </c>
      <c r="E47" s="696"/>
      <c r="F47" s="712">
        <f t="shared" si="9"/>
        <v>2.7083333333333321E-3</v>
      </c>
      <c r="G47" s="689"/>
      <c r="H47" s="886">
        <f t="shared" si="6"/>
        <v>0</v>
      </c>
      <c r="I47" s="886">
        <f t="shared" si="10"/>
        <v>0</v>
      </c>
      <c r="J47" s="886"/>
      <c r="K47" s="886">
        <f t="shared" si="7"/>
        <v>0</v>
      </c>
      <c r="L47" s="716"/>
      <c r="M47" s="717"/>
    </row>
    <row r="48" spans="1:13" s="598" customFormat="1" ht="13.2">
      <c r="A48" s="689" t="s">
        <v>81</v>
      </c>
      <c r="B48" s="710" t="str">
        <f t="shared" si="11"/>
        <v>Year 2017</v>
      </c>
      <c r="C48" s="689"/>
      <c r="D48" s="886">
        <f t="shared" si="8"/>
        <v>0</v>
      </c>
      <c r="E48" s="696"/>
      <c r="F48" s="712">
        <f t="shared" si="9"/>
        <v>2.7083333333333321E-3</v>
      </c>
      <c r="G48" s="689"/>
      <c r="H48" s="886">
        <f t="shared" si="6"/>
        <v>0</v>
      </c>
      <c r="I48" s="886">
        <f t="shared" si="10"/>
        <v>0</v>
      </c>
      <c r="J48" s="886"/>
      <c r="K48" s="886">
        <f t="shared" si="7"/>
        <v>0</v>
      </c>
      <c r="L48" s="716"/>
      <c r="M48" s="717"/>
    </row>
    <row r="49" spans="1:13" s="598" customFormat="1" ht="13.2">
      <c r="A49" s="689" t="s">
        <v>80</v>
      </c>
      <c r="B49" s="710" t="str">
        <f t="shared" si="11"/>
        <v>Year 2017</v>
      </c>
      <c r="C49" s="689"/>
      <c r="D49" s="886">
        <f t="shared" si="8"/>
        <v>0</v>
      </c>
      <c r="E49" s="696"/>
      <c r="F49" s="712">
        <f t="shared" si="9"/>
        <v>2.7083333333333321E-3</v>
      </c>
      <c r="G49" s="689"/>
      <c r="H49" s="886">
        <f t="shared" si="6"/>
        <v>0</v>
      </c>
      <c r="I49" s="886">
        <f t="shared" si="10"/>
        <v>0</v>
      </c>
      <c r="J49" s="886"/>
      <c r="K49" s="886">
        <f t="shared" si="7"/>
        <v>0</v>
      </c>
      <c r="L49" s="716"/>
      <c r="M49" s="717"/>
    </row>
    <row r="50" spans="1:13" s="598" customFormat="1" ht="13.2">
      <c r="A50" s="689" t="s">
        <v>86</v>
      </c>
      <c r="B50" s="710" t="str">
        <f t="shared" si="11"/>
        <v>Year 2017</v>
      </c>
      <c r="C50" s="689"/>
      <c r="D50" s="886">
        <f t="shared" si="8"/>
        <v>0</v>
      </c>
      <c r="E50" s="696"/>
      <c r="F50" s="712">
        <f t="shared" si="9"/>
        <v>2.7083333333333321E-3</v>
      </c>
      <c r="G50" s="689"/>
      <c r="H50" s="886">
        <f t="shared" si="6"/>
        <v>0</v>
      </c>
      <c r="I50" s="886">
        <f t="shared" si="10"/>
        <v>0</v>
      </c>
      <c r="J50" s="886"/>
      <c r="K50" s="886">
        <f t="shared" si="7"/>
        <v>0</v>
      </c>
      <c r="L50" s="716"/>
      <c r="M50" s="717"/>
    </row>
    <row r="51" spans="1:13" s="598" customFormat="1" ht="13.2">
      <c r="A51" s="689" t="s">
        <v>79</v>
      </c>
      <c r="B51" s="710" t="str">
        <f t="shared" si="11"/>
        <v>Year 2017</v>
      </c>
      <c r="C51" s="689"/>
      <c r="D51" s="886">
        <f t="shared" si="8"/>
        <v>0</v>
      </c>
      <c r="E51" s="696"/>
      <c r="F51" s="712">
        <f t="shared" si="9"/>
        <v>2.7083333333333321E-3</v>
      </c>
      <c r="G51" s="689"/>
      <c r="H51" s="886">
        <f t="shared" si="6"/>
        <v>0</v>
      </c>
      <c r="I51" s="886">
        <f t="shared" si="10"/>
        <v>0</v>
      </c>
      <c r="J51" s="886"/>
      <c r="K51" s="886">
        <f t="shared" si="7"/>
        <v>0</v>
      </c>
      <c r="L51" s="716"/>
      <c r="M51" s="717"/>
    </row>
    <row r="52" spans="1:13" s="598" customFormat="1" ht="13.2">
      <c r="A52" s="689" t="s">
        <v>78</v>
      </c>
      <c r="B52" s="710" t="str">
        <f t="shared" si="11"/>
        <v>Year 2017</v>
      </c>
      <c r="C52" s="689"/>
      <c r="D52" s="886">
        <f t="shared" si="8"/>
        <v>0</v>
      </c>
      <c r="E52" s="696"/>
      <c r="F52" s="712">
        <f t="shared" si="9"/>
        <v>2.7083333333333321E-3</v>
      </c>
      <c r="G52" s="689"/>
      <c r="H52" s="888">
        <f t="shared" si="6"/>
        <v>0</v>
      </c>
      <c r="I52" s="886">
        <f t="shared" si="10"/>
        <v>0</v>
      </c>
      <c r="J52" s="886"/>
      <c r="K52" s="886">
        <f t="shared" si="7"/>
        <v>0</v>
      </c>
      <c r="L52" s="716"/>
      <c r="M52" s="717"/>
    </row>
    <row r="53" spans="1:13" s="598" customFormat="1" ht="13.2">
      <c r="A53" s="689"/>
      <c r="B53" s="689"/>
      <c r="C53" s="689"/>
      <c r="D53" s="696"/>
      <c r="E53" s="696"/>
      <c r="F53" s="718"/>
      <c r="G53" s="689"/>
      <c r="H53" s="886">
        <f>SUM(H41:H52)</f>
        <v>0</v>
      </c>
      <c r="I53" s="886"/>
      <c r="J53" s="886"/>
      <c r="K53" s="886"/>
      <c r="L53" s="716"/>
      <c r="M53" s="717"/>
    </row>
    <row r="54" spans="1:13" s="598" customFormat="1" ht="13.2">
      <c r="A54" s="600"/>
      <c r="B54" s="600"/>
      <c r="C54" s="600"/>
      <c r="D54" s="600"/>
      <c r="E54" s="600"/>
      <c r="F54" s="600"/>
      <c r="G54" s="600"/>
      <c r="H54" s="600"/>
      <c r="I54" s="600"/>
      <c r="J54" s="600"/>
      <c r="K54" s="600"/>
    </row>
    <row r="55" spans="1:13" s="598" customFormat="1" ht="13.2">
      <c r="A55" s="689" t="s">
        <v>703</v>
      </c>
      <c r="B55" s="600"/>
      <c r="C55" s="600"/>
      <c r="D55" s="600"/>
      <c r="E55" s="600"/>
      <c r="F55" s="600"/>
      <c r="G55" s="600"/>
      <c r="H55" s="600"/>
      <c r="I55" s="719">
        <f>SUM(I41:I52)*-1</f>
        <v>0</v>
      </c>
      <c r="J55" s="600"/>
      <c r="K55" s="600"/>
    </row>
    <row r="56" spans="1:13" s="598" customFormat="1" ht="13.2">
      <c r="A56" s="689" t="s">
        <v>704</v>
      </c>
      <c r="B56" s="600"/>
      <c r="C56" s="600"/>
      <c r="D56" s="600"/>
      <c r="E56" s="600"/>
      <c r="F56" s="600"/>
      <c r="G56" s="600"/>
      <c r="H56" s="600"/>
      <c r="I56" s="719">
        <f>+G9</f>
        <v>0</v>
      </c>
      <c r="J56" s="600"/>
      <c r="K56" s="600"/>
    </row>
    <row r="57" spans="1:13" s="598" customFormat="1" ht="13.2">
      <c r="A57" s="689" t="s">
        <v>705</v>
      </c>
      <c r="B57" s="600"/>
      <c r="C57" s="600"/>
      <c r="D57" s="600"/>
      <c r="E57" s="600"/>
      <c r="F57" s="600"/>
      <c r="G57" s="600"/>
      <c r="H57" s="600"/>
      <c r="I57" s="719">
        <f>(I55+I56)</f>
        <v>0</v>
      </c>
      <c r="J57" s="600"/>
      <c r="K57" s="600"/>
    </row>
    <row r="59" spans="1:13">
      <c r="A59" s="680"/>
      <c r="B59" s="646"/>
      <c r="C59" s="646"/>
      <c r="D59" s="646"/>
      <c r="E59" s="646"/>
      <c r="F59" s="681"/>
      <c r="G59" s="646"/>
      <c r="H59" s="646"/>
      <c r="I59" s="682"/>
      <c r="J59" s="646"/>
      <c r="K59" s="646"/>
    </row>
    <row r="60" spans="1:13" ht="15.6">
      <c r="A60" s="679"/>
      <c r="B60" s="646"/>
      <c r="C60" s="646"/>
      <c r="D60" s="646"/>
      <c r="E60" s="646"/>
      <c r="F60" s="646"/>
      <c r="G60" s="646"/>
      <c r="H60" s="646"/>
      <c r="I60" s="646"/>
      <c r="J60" s="646"/>
      <c r="K60" s="646"/>
    </row>
    <row r="61" spans="1:13" ht="15.6">
      <c r="A61" s="683"/>
      <c r="F61" s="684"/>
      <c r="I61" s="685"/>
    </row>
    <row r="62" spans="1:13">
      <c r="D62" s="686"/>
      <c r="F62" s="684"/>
      <c r="I62" s="685"/>
    </row>
    <row r="63" spans="1:13">
      <c r="I63" s="686"/>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58"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C4" sqref="C4"/>
    </sheetView>
  </sheetViews>
  <sheetFormatPr defaultColWidth="8.90625" defaultRowHeight="13.2"/>
  <cols>
    <col min="1" max="1" width="8.81640625" style="612" customWidth="1"/>
    <col min="2" max="2" width="9.08984375" style="612" bestFit="1" customWidth="1"/>
    <col min="3" max="3" width="8.90625" style="612"/>
    <col min="4" max="4" width="16.36328125" style="612" customWidth="1"/>
    <col min="5" max="5" width="8.90625" style="612"/>
    <col min="6" max="6" width="9.36328125" style="612" bestFit="1" customWidth="1"/>
    <col min="7" max="7" width="14.1796875" style="612" bestFit="1" customWidth="1"/>
    <col min="8" max="8" width="9.90625" style="612" customWidth="1"/>
    <col min="9" max="9" width="20.453125" style="612" bestFit="1" customWidth="1"/>
    <col min="10" max="16384" width="8.90625" style="612"/>
  </cols>
  <sheetData>
    <row r="1" spans="1:8">
      <c r="D1" s="769" t="s">
        <v>707</v>
      </c>
    </row>
    <row r="2" spans="1:8">
      <c r="D2" s="769" t="s">
        <v>455</v>
      </c>
    </row>
    <row r="3" spans="1:8">
      <c r="D3" s="769" t="str">
        <f>+'Attachment H-26'!D5</f>
        <v>Transource West Virginia, LLC</v>
      </c>
    </row>
    <row r="4" spans="1:8">
      <c r="A4" s="785"/>
    </row>
    <row r="6" spans="1:8" ht="32.25" customHeight="1">
      <c r="A6" s="942" t="s">
        <v>509</v>
      </c>
      <c r="B6" s="942"/>
      <c r="C6" s="942"/>
      <c r="D6" s="942"/>
      <c r="E6" s="942"/>
      <c r="F6" s="942"/>
      <c r="G6" s="942"/>
      <c r="H6" s="786"/>
    </row>
    <row r="7" spans="1:8">
      <c r="A7" s="787"/>
      <c r="B7" s="786"/>
      <c r="C7" s="786"/>
      <c r="D7" s="786"/>
      <c r="E7" s="786"/>
      <c r="F7" s="786"/>
      <c r="G7" s="788"/>
      <c r="H7" s="786"/>
    </row>
    <row r="8" spans="1:8">
      <c r="A8" s="787"/>
      <c r="B8" s="786"/>
      <c r="C8" s="786"/>
      <c r="D8" s="786"/>
      <c r="E8" s="786"/>
      <c r="F8" s="786"/>
      <c r="G8" s="788"/>
      <c r="H8" s="786"/>
    </row>
    <row r="9" spans="1:8">
      <c r="G9" s="789"/>
    </row>
    <row r="10" spans="1:8">
      <c r="A10" s="790"/>
      <c r="B10" s="791" t="s">
        <v>508</v>
      </c>
    </row>
    <row r="11" spans="1:8">
      <c r="A11" s="828">
        <v>1</v>
      </c>
      <c r="C11" s="791" t="s">
        <v>456</v>
      </c>
      <c r="D11" s="328"/>
      <c r="E11" s="792">
        <v>3.2500000000000001E-2</v>
      </c>
      <c r="F11" s="429"/>
      <c r="G11" s="429"/>
      <c r="H11" s="429"/>
    </row>
    <row r="12" spans="1:8">
      <c r="A12" s="828">
        <v>2</v>
      </c>
      <c r="C12" s="791" t="s">
        <v>457</v>
      </c>
      <c r="D12" s="328"/>
      <c r="E12" s="874">
        <v>3.2500000000000001E-2</v>
      </c>
      <c r="F12" s="429"/>
      <c r="G12" s="429"/>
      <c r="H12" s="429"/>
    </row>
    <row r="13" spans="1:8">
      <c r="A13" s="828">
        <v>3</v>
      </c>
      <c r="C13" s="791" t="s">
        <v>458</v>
      </c>
      <c r="D13" s="328"/>
      <c r="E13" s="874">
        <v>3.2500000000000001E-2</v>
      </c>
      <c r="F13" s="429"/>
      <c r="G13" s="429"/>
      <c r="H13" s="429"/>
    </row>
    <row r="14" spans="1:8">
      <c r="A14" s="828">
        <v>4</v>
      </c>
      <c r="C14" s="791" t="s">
        <v>459</v>
      </c>
      <c r="D14" s="328"/>
      <c r="E14" s="874">
        <v>3.2500000000000001E-2</v>
      </c>
      <c r="F14" s="429"/>
      <c r="G14" s="429"/>
      <c r="H14" s="429"/>
    </row>
    <row r="15" spans="1:8">
      <c r="A15" s="828">
        <v>5</v>
      </c>
      <c r="C15" s="791" t="s">
        <v>460</v>
      </c>
      <c r="D15" s="328"/>
      <c r="E15" s="874">
        <v>3.2500000000000001E-2</v>
      </c>
      <c r="F15" s="429"/>
      <c r="G15" s="429"/>
      <c r="H15" s="429"/>
    </row>
    <row r="16" spans="1:8">
      <c r="A16" s="828">
        <v>6</v>
      </c>
      <c r="C16" s="791" t="s">
        <v>461</v>
      </c>
      <c r="D16" s="328"/>
      <c r="E16" s="874">
        <v>3.2500000000000001E-2</v>
      </c>
      <c r="F16" s="429"/>
      <c r="G16" s="429"/>
      <c r="H16" s="429"/>
    </row>
    <row r="17" spans="1:8">
      <c r="A17" s="828">
        <v>7</v>
      </c>
      <c r="C17" s="791" t="s">
        <v>462</v>
      </c>
      <c r="D17" s="328"/>
      <c r="E17" s="874">
        <v>3.2500000000000001E-2</v>
      </c>
      <c r="F17" s="429"/>
      <c r="G17" s="429"/>
      <c r="H17" s="429"/>
    </row>
    <row r="18" spans="1:8">
      <c r="A18" s="828">
        <v>8</v>
      </c>
      <c r="C18" s="791" t="s">
        <v>463</v>
      </c>
      <c r="D18" s="328"/>
      <c r="E18" s="874">
        <v>3.2500000000000001E-2</v>
      </c>
      <c r="F18" s="429"/>
      <c r="G18" s="429"/>
      <c r="H18" s="429"/>
    </row>
    <row r="19" spans="1:8">
      <c r="A19" s="828">
        <v>9</v>
      </c>
      <c r="C19" s="791" t="s">
        <v>464</v>
      </c>
      <c r="D19" s="328"/>
      <c r="E19" s="874">
        <v>3.2500000000000001E-2</v>
      </c>
      <c r="F19" s="429"/>
      <c r="G19" s="429"/>
      <c r="H19" s="429"/>
    </row>
    <row r="20" spans="1:8">
      <c r="A20" s="828">
        <v>10</v>
      </c>
      <c r="C20" s="791" t="s">
        <v>465</v>
      </c>
      <c r="D20" s="328"/>
      <c r="E20" s="874">
        <v>3.2500000000000001E-2</v>
      </c>
      <c r="F20" s="429"/>
      <c r="G20" s="429"/>
      <c r="H20" s="429"/>
    </row>
    <row r="21" spans="1:8">
      <c r="A21" s="828">
        <v>11</v>
      </c>
      <c r="C21" s="791" t="s">
        <v>466</v>
      </c>
      <c r="D21" s="328"/>
      <c r="E21" s="874">
        <v>3.2500000000000001E-2</v>
      </c>
      <c r="F21" s="429"/>
      <c r="G21" s="429"/>
      <c r="H21" s="429"/>
    </row>
    <row r="22" spans="1:8">
      <c r="A22" s="828">
        <v>12</v>
      </c>
      <c r="C22" s="791" t="s">
        <v>467</v>
      </c>
      <c r="D22" s="328"/>
      <c r="E22" s="874">
        <v>3.2500000000000001E-2</v>
      </c>
      <c r="F22" s="429"/>
      <c r="G22" s="429"/>
      <c r="H22" s="429"/>
    </row>
    <row r="23" spans="1:8">
      <c r="A23" s="828">
        <f>+A22+1</f>
        <v>13</v>
      </c>
      <c r="C23" s="791" t="s">
        <v>638</v>
      </c>
      <c r="D23" s="328"/>
      <c r="E23" s="874">
        <v>3.2500000000000001E-2</v>
      </c>
      <c r="F23" s="429"/>
      <c r="G23" s="429"/>
      <c r="H23" s="429"/>
    </row>
    <row r="24" spans="1:8">
      <c r="A24" s="828">
        <f t="shared" ref="A24:A27" si="0">+A23+1</f>
        <v>14</v>
      </c>
      <c r="C24" s="791" t="s">
        <v>639</v>
      </c>
      <c r="D24" s="328"/>
      <c r="E24" s="874">
        <v>3.2500000000000001E-2</v>
      </c>
      <c r="F24" s="429"/>
      <c r="G24" s="429"/>
      <c r="H24" s="429"/>
    </row>
    <row r="25" spans="1:8">
      <c r="A25" s="828">
        <f t="shared" si="0"/>
        <v>15</v>
      </c>
      <c r="C25" s="791" t="s">
        <v>640</v>
      </c>
      <c r="D25" s="328"/>
      <c r="E25" s="874">
        <v>3.2500000000000001E-2</v>
      </c>
      <c r="F25" s="429"/>
      <c r="G25" s="429"/>
      <c r="H25" s="429"/>
    </row>
    <row r="26" spans="1:8">
      <c r="A26" s="828">
        <f t="shared" si="0"/>
        <v>16</v>
      </c>
      <c r="C26" s="791" t="s">
        <v>641</v>
      </c>
      <c r="D26" s="328"/>
      <c r="E26" s="874">
        <v>3.2500000000000001E-2</v>
      </c>
      <c r="F26" s="429"/>
      <c r="G26" s="429"/>
      <c r="H26" s="429"/>
    </row>
    <row r="27" spans="1:8">
      <c r="A27" s="828">
        <f t="shared" si="0"/>
        <v>17</v>
      </c>
      <c r="C27" s="791" t="s">
        <v>642</v>
      </c>
      <c r="D27" s="328"/>
      <c r="E27" s="874">
        <v>3.2500000000000001E-2</v>
      </c>
      <c r="F27" s="429"/>
      <c r="G27" s="429"/>
      <c r="H27" s="429"/>
    </row>
    <row r="28" spans="1:8">
      <c r="A28" s="828"/>
      <c r="C28" s="787"/>
      <c r="D28" s="793"/>
      <c r="E28" s="793"/>
      <c r="F28" s="429"/>
      <c r="G28" s="429"/>
      <c r="H28" s="328"/>
    </row>
    <row r="29" spans="1:8">
      <c r="A29" s="828">
        <f>+A27+1</f>
        <v>18</v>
      </c>
      <c r="B29" s="794" t="s">
        <v>637</v>
      </c>
      <c r="C29" s="786"/>
      <c r="D29" s="793"/>
      <c r="E29" s="795">
        <f>+AVERAGE(E11:E27)</f>
        <v>3.2499999999999987E-2</v>
      </c>
      <c r="F29" s="429"/>
      <c r="G29" s="429"/>
      <c r="H29" s="328"/>
    </row>
    <row r="30" spans="1:8">
      <c r="A30" s="828">
        <f>+A29+1</f>
        <v>19</v>
      </c>
      <c r="B30" s="612" t="s">
        <v>513</v>
      </c>
      <c r="E30" s="219">
        <f>+E29/12</f>
        <v>2.7083333333333321E-3</v>
      </c>
    </row>
    <row r="31" spans="1:8">
      <c r="E31" s="796"/>
    </row>
    <row r="32" spans="1:8" ht="36" customHeight="1">
      <c r="A32" s="943" t="s">
        <v>795</v>
      </c>
      <c r="B32" s="943"/>
      <c r="C32" s="943"/>
      <c r="D32" s="943"/>
      <c r="E32" s="943"/>
      <c r="F32" s="943"/>
      <c r="G32" s="943"/>
      <c r="H32" s="87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B5" sqref="B5"/>
    </sheetView>
  </sheetViews>
  <sheetFormatPr defaultColWidth="8.90625" defaultRowHeight="15.6"/>
  <cols>
    <col min="1" max="1" width="8.90625" style="231"/>
    <col min="2" max="2" width="43.81640625" style="231" customWidth="1"/>
    <col min="3" max="3" width="20.6328125" style="231" bestFit="1" customWidth="1"/>
    <col min="4" max="5" width="13.6328125" style="231" customWidth="1"/>
    <col min="6" max="6" width="12.08984375" style="231" customWidth="1"/>
    <col min="7" max="8" width="11.90625" style="231" bestFit="1" customWidth="1"/>
    <col min="9" max="16384" width="8.90625" style="231"/>
  </cols>
  <sheetData>
    <row r="1" spans="1:9">
      <c r="A1" s="941" t="s">
        <v>192</v>
      </c>
      <c r="B1" s="941"/>
      <c r="C1" s="941"/>
      <c r="D1" s="941"/>
      <c r="E1" s="941"/>
      <c r="F1" s="941"/>
    </row>
    <row r="2" spans="1:9">
      <c r="A2" s="944" t="s">
        <v>416</v>
      </c>
      <c r="B2" s="944"/>
      <c r="C2" s="944"/>
      <c r="D2" s="944"/>
      <c r="E2" s="944"/>
      <c r="F2" s="944"/>
    </row>
    <row r="3" spans="1:9">
      <c r="A3" s="941" t="str">
        <f>+'Attachment H-26'!D5</f>
        <v>Transource West Virginia, LLC</v>
      </c>
      <c r="B3" s="941"/>
      <c r="C3" s="941"/>
      <c r="D3" s="941"/>
      <c r="E3" s="941"/>
      <c r="F3" s="941"/>
      <c r="G3" s="762"/>
      <c r="H3" s="762"/>
    </row>
    <row r="4" spans="1:9">
      <c r="A4" s="763"/>
      <c r="C4" s="764"/>
      <c r="G4" s="762"/>
      <c r="H4" s="762"/>
    </row>
    <row r="5" spans="1:9">
      <c r="A5" s="309"/>
      <c r="B5" s="315" t="s">
        <v>279</v>
      </c>
      <c r="C5" s="316"/>
      <c r="D5" s="309"/>
      <c r="E5" s="317"/>
      <c r="F5" s="328"/>
      <c r="G5" s="765"/>
      <c r="H5" s="765"/>
    </row>
    <row r="6" spans="1:9" s="760" customFormat="1">
      <c r="A6" s="309"/>
      <c r="B6" s="315"/>
      <c r="C6" s="316"/>
      <c r="D6" s="318" t="s">
        <v>340</v>
      </c>
      <c r="E6" s="862" t="s">
        <v>341</v>
      </c>
      <c r="F6" s="319" t="s">
        <v>13</v>
      </c>
      <c r="G6" s="766"/>
      <c r="H6" s="766"/>
      <c r="I6" s="766"/>
    </row>
    <row r="7" spans="1:9">
      <c r="A7" s="517" t="s">
        <v>154</v>
      </c>
      <c r="B7" s="320"/>
      <c r="C7" s="320"/>
      <c r="D7" s="319" t="s">
        <v>196</v>
      </c>
      <c r="E7" s="863" t="s">
        <v>197</v>
      </c>
      <c r="F7" s="319" t="s">
        <v>725</v>
      </c>
      <c r="G7" s="767"/>
      <c r="H7" s="767"/>
      <c r="I7" s="761"/>
    </row>
    <row r="8" spans="1:9" ht="44.25" customHeight="1">
      <c r="A8" s="309">
        <v>1</v>
      </c>
      <c r="B8" s="328"/>
      <c r="C8" s="310"/>
      <c r="D8" s="311" t="s">
        <v>787</v>
      </c>
      <c r="E8" s="864" t="s">
        <v>787</v>
      </c>
      <c r="F8" s="770"/>
      <c r="G8" s="326"/>
      <c r="H8" s="326"/>
      <c r="I8" s="326"/>
    </row>
    <row r="9" spans="1:9">
      <c r="A9" s="309">
        <v>2</v>
      </c>
      <c r="B9" s="312" t="s">
        <v>577</v>
      </c>
      <c r="C9" s="312" t="s">
        <v>316</v>
      </c>
      <c r="D9" s="524">
        <v>-76811513</v>
      </c>
      <c r="E9" s="523">
        <v>9446530</v>
      </c>
      <c r="F9" s="328"/>
      <c r="G9" s="302"/>
      <c r="H9" s="302"/>
      <c r="I9" s="284"/>
    </row>
    <row r="10" spans="1:9">
      <c r="A10" s="309">
        <v>3</v>
      </c>
      <c r="B10" s="312" t="s">
        <v>342</v>
      </c>
      <c r="C10" s="312" t="s">
        <v>316</v>
      </c>
      <c r="D10" s="524">
        <v>-44124792</v>
      </c>
      <c r="E10" s="524">
        <v>3889136</v>
      </c>
      <c r="F10" s="328"/>
      <c r="G10" s="302"/>
      <c r="H10" s="302"/>
      <c r="I10" s="284"/>
    </row>
    <row r="11" spans="1:9">
      <c r="A11" s="309">
        <v>4</v>
      </c>
      <c r="B11" s="312" t="s">
        <v>343</v>
      </c>
      <c r="C11" s="312" t="s">
        <v>344</v>
      </c>
      <c r="D11" s="321">
        <f>D9-D10</f>
        <v>-32686721</v>
      </c>
      <c r="E11" s="321">
        <f>E9-E10</f>
        <v>5557394</v>
      </c>
      <c r="F11" s="328"/>
      <c r="G11" s="313"/>
      <c r="H11" s="313"/>
      <c r="I11" s="284"/>
    </row>
    <row r="12" spans="1:9">
      <c r="A12" s="309">
        <v>5</v>
      </c>
      <c r="B12" s="312" t="s">
        <v>345</v>
      </c>
      <c r="C12" s="312" t="s">
        <v>317</v>
      </c>
      <c r="D12" s="524">
        <v>1300120728.74</v>
      </c>
      <c r="E12" s="523">
        <v>182771659</v>
      </c>
      <c r="F12" s="328"/>
      <c r="G12" s="325"/>
      <c r="H12" s="325"/>
      <c r="I12" s="573"/>
    </row>
    <row r="13" spans="1:9">
      <c r="A13" s="309">
        <v>6</v>
      </c>
      <c r="B13" s="312" t="s">
        <v>346</v>
      </c>
      <c r="C13" s="312" t="s">
        <v>347</v>
      </c>
      <c r="D13" s="322">
        <f>IFERROR(D11/D12,0)</f>
        <v>-2.5141296709943264E-2</v>
      </c>
      <c r="E13" s="322">
        <f>IFERROR(E11/E12,0)</f>
        <v>3.0406213033279957E-2</v>
      </c>
      <c r="F13" s="323"/>
      <c r="G13" s="47"/>
      <c r="H13" s="47"/>
      <c r="I13" s="573"/>
    </row>
    <row r="14" spans="1:9">
      <c r="A14" s="309">
        <v>7</v>
      </c>
      <c r="B14" s="312" t="s">
        <v>578</v>
      </c>
      <c r="C14" s="312" t="s">
        <v>405</v>
      </c>
      <c r="D14" s="905">
        <v>94570</v>
      </c>
      <c r="E14" s="905">
        <v>0</v>
      </c>
      <c r="F14" s="323"/>
      <c r="G14" s="567"/>
      <c r="H14" s="567"/>
      <c r="I14" s="284"/>
    </row>
    <row r="15" spans="1:9">
      <c r="A15" s="309">
        <v>8</v>
      </c>
      <c r="B15" s="312" t="s">
        <v>413</v>
      </c>
      <c r="C15" s="312" t="s">
        <v>348</v>
      </c>
      <c r="D15" s="771">
        <f>D13*D14</f>
        <v>-2377.6124298593345</v>
      </c>
      <c r="E15" s="771">
        <f>E13*E14</f>
        <v>0</v>
      </c>
      <c r="F15" s="564">
        <f>SUM(D15:E15)</f>
        <v>-2377.6124298593345</v>
      </c>
      <c r="G15" s="284"/>
      <c r="H15" s="284"/>
      <c r="I15" s="284"/>
    </row>
    <row r="16" spans="1:9">
      <c r="A16" s="309">
        <v>9</v>
      </c>
      <c r="B16" s="324"/>
      <c r="C16" s="312"/>
      <c r="D16" s="312"/>
      <c r="E16" s="612"/>
      <c r="F16" s="323"/>
      <c r="G16" s="284"/>
      <c r="H16" s="284"/>
      <c r="I16" s="573"/>
    </row>
    <row r="17" spans="1:17">
      <c r="A17" s="362"/>
      <c r="B17" s="328"/>
      <c r="C17" s="328"/>
      <c r="D17" s="328"/>
      <c r="E17" s="328"/>
      <c r="F17" s="323"/>
      <c r="G17" s="761"/>
      <c r="H17" s="761"/>
      <c r="I17" s="761"/>
    </row>
    <row r="18" spans="1:17">
      <c r="A18" s="220">
        <v>10</v>
      </c>
      <c r="B18" s="324" t="s">
        <v>797</v>
      </c>
      <c r="C18" s="328"/>
      <c r="D18" s="858"/>
      <c r="E18" s="858"/>
      <c r="F18" s="859">
        <v>0</v>
      </c>
      <c r="G18" s="567"/>
      <c r="H18" s="567"/>
      <c r="I18" s="567"/>
      <c r="J18" s="567"/>
      <c r="K18" s="567"/>
      <c r="L18" s="567"/>
      <c r="M18" s="567"/>
      <c r="N18" s="567"/>
      <c r="O18" s="567"/>
      <c r="P18" s="567"/>
      <c r="Q18" s="567"/>
    </row>
    <row r="19" spans="1:17">
      <c r="A19" s="518"/>
      <c r="B19" s="328"/>
      <c r="C19" s="328"/>
      <c r="D19" s="328"/>
      <c r="E19" s="328"/>
      <c r="F19" s="328"/>
      <c r="G19" s="567"/>
      <c r="H19" s="567"/>
      <c r="I19" s="567"/>
      <c r="J19" s="567"/>
      <c r="K19" s="567"/>
      <c r="L19" s="567"/>
      <c r="M19" s="567"/>
      <c r="N19" s="567"/>
      <c r="O19" s="567"/>
      <c r="P19" s="567"/>
      <c r="Q19" s="567"/>
    </row>
    <row r="20" spans="1:17">
      <c r="B20" s="567"/>
      <c r="C20" s="328"/>
      <c r="D20" s="328"/>
      <c r="E20" s="328"/>
      <c r="F20" s="328"/>
      <c r="G20" s="314"/>
      <c r="H20" s="314"/>
      <c r="I20" s="314"/>
      <c r="J20" s="314"/>
      <c r="K20" s="314"/>
      <c r="L20" s="314"/>
      <c r="M20" s="314"/>
      <c r="N20" s="314"/>
      <c r="O20" s="314"/>
      <c r="P20" s="314"/>
      <c r="Q20" s="314"/>
    </row>
    <row r="21" spans="1:17">
      <c r="A21" s="519" t="s">
        <v>579</v>
      </c>
      <c r="B21" s="567"/>
      <c r="C21" s="328"/>
      <c r="D21" s="328"/>
      <c r="E21" s="328"/>
      <c r="F21" s="328"/>
      <c r="G21" s="761"/>
      <c r="H21" s="761"/>
      <c r="I21" s="761"/>
    </row>
    <row r="22" spans="1:17" ht="26.25" customHeight="1">
      <c r="A22" s="589" t="s">
        <v>62</v>
      </c>
      <c r="B22" s="919" t="s">
        <v>796</v>
      </c>
      <c r="C22" s="919"/>
      <c r="D22" s="919"/>
      <c r="E22" s="919"/>
      <c r="F22" s="868"/>
      <c r="G22" s="761"/>
      <c r="H22" s="761"/>
      <c r="I22" s="761"/>
    </row>
    <row r="23" spans="1:17">
      <c r="A23" s="776"/>
      <c r="B23" s="776"/>
      <c r="C23" s="868"/>
      <c r="D23" s="868"/>
      <c r="E23" s="868"/>
      <c r="F23" s="868"/>
      <c r="G23" s="761"/>
      <c r="H23" s="761"/>
      <c r="I23" s="761"/>
    </row>
    <row r="24" spans="1:17" ht="27.75" customHeight="1">
      <c r="A24" s="889" t="s">
        <v>63</v>
      </c>
      <c r="B24" s="936" t="s">
        <v>808</v>
      </c>
      <c r="C24" s="936"/>
      <c r="D24" s="936"/>
      <c r="E24" s="936"/>
      <c r="F24" s="936"/>
      <c r="G24" s="761"/>
      <c r="H24" s="761"/>
      <c r="I24" s="761"/>
    </row>
    <row r="25" spans="1:17">
      <c r="A25" s="776"/>
      <c r="B25" s="776"/>
      <c r="C25" s="776"/>
      <c r="D25" s="776"/>
      <c r="E25" s="776"/>
      <c r="F25" s="776"/>
      <c r="G25" s="761"/>
      <c r="H25" s="761"/>
      <c r="I25" s="761"/>
    </row>
    <row r="26" spans="1:17">
      <c r="A26" s="889" t="s">
        <v>64</v>
      </c>
      <c r="B26" s="869" t="s">
        <v>814</v>
      </c>
      <c r="C26" s="890"/>
      <c r="D26" s="890"/>
      <c r="E26" s="776"/>
      <c r="F26" s="776"/>
      <c r="G26" s="761"/>
      <c r="H26" s="761"/>
      <c r="I26" s="761"/>
    </row>
    <row r="27" spans="1:17">
      <c r="G27" s="761"/>
      <c r="H27" s="761"/>
      <c r="I27" s="761"/>
    </row>
    <row r="28" spans="1:17">
      <c r="G28" s="761"/>
      <c r="H28" s="761"/>
      <c r="I28" s="761"/>
    </row>
    <row r="29" spans="1:17" s="760" customFormat="1">
      <c r="B29" s="768"/>
      <c r="C29" s="768"/>
      <c r="D29" s="768"/>
      <c r="G29" s="761"/>
      <c r="H29" s="761"/>
      <c r="I29" s="761"/>
    </row>
    <row r="30" spans="1:17" s="760" customFormat="1">
      <c r="B30" s="768"/>
      <c r="C30" s="768"/>
      <c r="D30" s="768"/>
      <c r="G30" s="761"/>
      <c r="H30" s="761"/>
      <c r="I30" s="761"/>
    </row>
    <row r="31" spans="1:17" s="760" customFormat="1">
      <c r="B31" s="768"/>
      <c r="C31" s="768"/>
      <c r="D31" s="768"/>
    </row>
    <row r="32" spans="1:17" s="760" customFormat="1">
      <c r="B32" s="768"/>
      <c r="C32" s="768"/>
      <c r="D32" s="768"/>
    </row>
    <row r="33" spans="2:4" s="760" customFormat="1">
      <c r="B33" s="768"/>
      <c r="C33" s="768"/>
      <c r="D33" s="768"/>
    </row>
    <row r="34" spans="2:4" s="760"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lastModifiedBy>AEP</cp:lastModifiedBy>
  <cp:lastPrinted>2015-07-06T19:07:26Z</cp:lastPrinted>
  <dcterms:created xsi:type="dcterms:W3CDTF">1970-01-01T04:00:00Z</dcterms:created>
  <dcterms:modified xsi:type="dcterms:W3CDTF">2016-09-29T17:15:35Z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ies>
</file>