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ERC\FORMULA RATES\AEP East Transmission Formula Rates\Discovery Requests\2019 Projection Discovery\JI 1st Set 4-19-2019\"/>
    </mc:Choice>
  </mc:AlternateContent>
  <bookViews>
    <workbookView xWindow="11865" yWindow="315" windowWidth="12030" windowHeight="9315" tabRatio="787"/>
  </bookViews>
  <sheets>
    <sheet name="2019" sheetId="28" r:id="rId1"/>
  </sheets>
  <definedNames>
    <definedName name="_xlnm.Print_Area" localSheetId="0">'2019'!$A$1:$AD$29</definedName>
  </definedNames>
  <calcPr calcId="162913" iterate="1" iterateDelta="1E-4"/>
  <customWorkbookViews>
    <customWorkbookView name="Jeffrey R. Ward - Personal View" guid="{32D7E179-10B1-499D-BCC7-F0E7F9E376FE}" mergeInterval="0" personalView="1" maximized="1" windowWidth="1280" windowHeight="751" activeSheetId="1"/>
    <customWorkbookView name="Dave Hodgson - Personal View" guid="{0AF09DF6-F11F-4F14-95F0-42CA7651E798}" mergeInterval="0" personalView="1" maximized="1" windowWidth="1600" windowHeight="655" activeSheetId="1"/>
    <customWorkbookView name="Ruthann Hannigan - Personal View" guid="{9EBABDCE-D38E-4471-BF16-51D95B3AB371}" mergeInterval="0" personalView="1" maximized="1" windowWidth="1280" windowHeight="799" activeSheetId="1"/>
    <customWorkbookView name="Michael Kelly - Personal View" guid="{CC9D67B5-0DBD-4E49-B60D-38E54F8EEE84}" mergeInterval="0" personalView="1" maximized="1" windowWidth="1280" windowHeight="751" activeSheetId="1"/>
    <customWorkbookView name="s045355 - Personal View" guid="{D823E67B-8FD0-453A-B2AF-349A97BC5FA5}" mergeInterval="0" personalView="1" maximized="1" windowWidth="1280" windowHeight="799" activeSheetId="1"/>
  </customWorkbookViews>
</workbook>
</file>

<file path=xl/calcChain.xml><?xml version="1.0" encoding="utf-8"?>
<calcChain xmlns="http://schemas.openxmlformats.org/spreadsheetml/2006/main">
  <c r="P22" i="28" l="1"/>
  <c r="P18" i="28"/>
  <c r="P21" i="28" l="1"/>
  <c r="P17" i="28"/>
  <c r="P20" i="28" l="1"/>
  <c r="O20" i="28"/>
  <c r="P29" i="28" l="1"/>
  <c r="P28" i="28"/>
  <c r="P27" i="28"/>
  <c r="P26" i="28"/>
  <c r="P25" i="28"/>
  <c r="P19" i="28" l="1"/>
  <c r="O29" i="28" l="1"/>
  <c r="O25" i="28"/>
  <c r="O22" i="28" l="1"/>
  <c r="O21" i="28" l="1"/>
  <c r="O19" i="28"/>
  <c r="O18" i="28"/>
  <c r="O17" i="28"/>
  <c r="X22" i="28" l="1"/>
  <c r="K22" i="28"/>
  <c r="X21" i="28"/>
  <c r="K21" i="28"/>
  <c r="X20" i="28"/>
  <c r="K20" i="28"/>
  <c r="X19" i="28"/>
  <c r="K19" i="28"/>
  <c r="X18" i="28"/>
  <c r="K18" i="28"/>
  <c r="X17" i="28"/>
  <c r="K17" i="28"/>
  <c r="T29" i="28"/>
  <c r="G29" i="28"/>
  <c r="T28" i="28"/>
  <c r="G28" i="28"/>
  <c r="T27" i="28"/>
  <c r="G27" i="28"/>
  <c r="T25" i="28"/>
  <c r="G25" i="28"/>
  <c r="T22" i="28"/>
  <c r="G22" i="28"/>
  <c r="T21" i="28"/>
  <c r="G21" i="28"/>
  <c r="T20" i="28"/>
  <c r="G20" i="28"/>
  <c r="T19" i="28"/>
  <c r="G19" i="28"/>
  <c r="T17" i="28"/>
  <c r="T18" i="28"/>
  <c r="G18" i="28"/>
  <c r="G17" i="28"/>
  <c r="V29" i="28" l="1"/>
  <c r="Z29" i="28" s="1"/>
  <c r="AD29" i="28"/>
  <c r="I29" i="28"/>
  <c r="M29" i="28" s="1"/>
  <c r="V28" i="28"/>
  <c r="Z28" i="28" s="1"/>
  <c r="AD28" i="28"/>
  <c r="I28" i="28"/>
  <c r="M28" i="28" s="1"/>
  <c r="V27" i="28"/>
  <c r="Z27" i="28" s="1"/>
  <c r="Q27" i="28"/>
  <c r="I27" i="28"/>
  <c r="M27" i="28" s="1"/>
  <c r="V26" i="28"/>
  <c r="Z26" i="28" s="1"/>
  <c r="Q26" i="28"/>
  <c r="I26" i="28"/>
  <c r="M26" i="28" s="1"/>
  <c r="V25" i="28"/>
  <c r="Z25" i="28" s="1"/>
  <c r="Q25" i="28"/>
  <c r="I25" i="28"/>
  <c r="M25" i="28" s="1"/>
  <c r="AD22" i="28"/>
  <c r="V22" i="28"/>
  <c r="Z22" i="28" s="1"/>
  <c r="Q22" i="28"/>
  <c r="I22" i="28"/>
  <c r="M22" i="28" s="1"/>
  <c r="AD21" i="28"/>
  <c r="V21" i="28"/>
  <c r="Q21" i="28"/>
  <c r="I21" i="28"/>
  <c r="M21" i="28" s="1"/>
  <c r="V20" i="28"/>
  <c r="Z20" i="28" s="1"/>
  <c r="I20" i="28"/>
  <c r="M20" i="28" s="1"/>
  <c r="AD19" i="28"/>
  <c r="V19" i="28"/>
  <c r="Q19" i="28"/>
  <c r="I19" i="28"/>
  <c r="M19" i="28" s="1"/>
  <c r="AD18" i="28"/>
  <c r="V18" i="28"/>
  <c r="Z18" i="28" s="1"/>
  <c r="Q18" i="28"/>
  <c r="I18" i="28"/>
  <c r="M18" i="28" s="1"/>
  <c r="AD17" i="28"/>
  <c r="V17" i="28"/>
  <c r="Q17" i="28"/>
  <c r="I17" i="28"/>
  <c r="M17" i="28" s="1"/>
  <c r="Z21" i="28" l="1"/>
  <c r="Z19" i="28"/>
  <c r="Z17" i="28"/>
  <c r="AD25" i="28"/>
  <c r="AD26" i="28"/>
  <c r="Q28" i="28"/>
  <c r="Q29" i="28"/>
  <c r="AD27" i="28"/>
  <c r="AD20" i="28" l="1"/>
  <c r="Q20" i="28" l="1"/>
</calcChain>
</file>

<file path=xl/sharedStrings.xml><?xml version="1.0" encoding="utf-8"?>
<sst xmlns="http://schemas.openxmlformats.org/spreadsheetml/2006/main" count="79" uniqueCount="50">
  <si>
    <t>AEP SYSTEM</t>
  </si>
  <si>
    <t>COMPANY NAME</t>
  </si>
  <si>
    <t>Kingsport Power</t>
  </si>
  <si>
    <t>Kentucky Power</t>
  </si>
  <si>
    <t>Wheeling Power</t>
  </si>
  <si>
    <t>AEP Ohio Transmission Company, LLC</t>
  </si>
  <si>
    <t>AEP Kentucky Transmission Company, LLC</t>
  </si>
  <si>
    <t>AEP Indiana Michigan Transmission Co, LLC</t>
  </si>
  <si>
    <t>AEP West Virginia Transmission Co, LLC</t>
  </si>
  <si>
    <t>AEP Appalachian Transmission Co, LLC</t>
  </si>
  <si>
    <t>Ohio Power Company</t>
  </si>
  <si>
    <t>TRANSMISSION COMPANIES</t>
  </si>
  <si>
    <t>Appalachian Power</t>
  </si>
  <si>
    <t>Indiana Michigan Power</t>
  </si>
  <si>
    <t>Flow-Thru</t>
  </si>
  <si>
    <t>Depreciation</t>
  </si>
  <si>
    <t>Schedule M</t>
  </si>
  <si>
    <t>Federal Tax</t>
  </si>
  <si>
    <t>Impact of F/T</t>
  </si>
  <si>
    <t>Impact of Excess</t>
  </si>
  <si>
    <t>ADFIT Reversals</t>
  </si>
  <si>
    <t>TRANSMISSION FUNCTION ONLY</t>
  </si>
  <si>
    <t>TOTAL COMPANY</t>
  </si>
  <si>
    <t>Impact of ADIT</t>
  </si>
  <si>
    <t>Amortizations</t>
  </si>
  <si>
    <t>Total FIT</t>
  </si>
  <si>
    <t>Revised</t>
  </si>
  <si>
    <t>Projection</t>
  </si>
  <si>
    <t xml:space="preserve"> </t>
  </si>
  <si>
    <t>(1)</t>
  </si>
  <si>
    <t>(2)=(1)*.21</t>
  </si>
  <si>
    <t>(4)=(2)+(3)</t>
  </si>
  <si>
    <t>(6)=Tax Est. 40P/10UP</t>
  </si>
  <si>
    <t>TAX INFORMATION - 2019 FORECAST</t>
  </si>
  <si>
    <t>Balances as of December 31, 2019</t>
  </si>
  <si>
    <t>Excess ADIT Reg. Liability Amortization Unprotected</t>
  </si>
  <si>
    <t xml:space="preserve">Excess ADIT Reg. Liability </t>
  </si>
  <si>
    <t>Amortization Protected</t>
  </si>
  <si>
    <t xml:space="preserve">(3)=#? </t>
  </si>
  <si>
    <t>(5)=Tax Est. 40P/10UP</t>
  </si>
  <si>
    <r>
      <rPr>
        <b/>
        <sz val="8"/>
        <rFont val="Arial"/>
        <family val="2"/>
      </rPr>
      <t>(7)</t>
    </r>
    <r>
      <rPr>
        <sz val="8"/>
        <rFont val="Arial"/>
        <family val="2"/>
      </rPr>
      <t xml:space="preserve"> = (5) + (6)</t>
    </r>
  </si>
  <si>
    <t>(8)</t>
  </si>
  <si>
    <t>(9)=(8)*.21</t>
  </si>
  <si>
    <t>(10)=#?</t>
  </si>
  <si>
    <t>(11)=(9)+(10)</t>
  </si>
  <si>
    <t>(12)=Tax Est. 40P/10UP</t>
  </si>
  <si>
    <t>(13)=Tax Est. 40P/10UP</t>
  </si>
  <si>
    <t>(14) = (12) + (13)</t>
  </si>
  <si>
    <t>JI Set 1--5</t>
  </si>
  <si>
    <t>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</si>
</sst>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b/>
      <i/>
      <sz val="8"/>
      <name val="Arial"/>
      <family val="2"/>
    </font>
    <font>
      <sz val="10"/>
      <name val="Arial"/>
    </font>
    <font>
      <b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strike/>
      <sz val="8"/>
      <color rgb="FFFF0000"/>
      <name val="Arial"/>
      <family val="2"/>
    </font>
    <font>
      <strike/>
      <sz val="8"/>
      <name val="Arial"/>
      <family val="2"/>
    </font>
    <font>
      <b/>
      <strike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6" fillId="0" borderId="0"/>
    <xf numFmtId="0" fontId="11" fillId="0" borderId="0"/>
    <xf numFmtId="0" fontId="6" fillId="0" borderId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2">
      <alignment horizontal="center"/>
    </xf>
    <xf numFmtId="3" fontId="11" fillId="0" borderId="0" applyFont="0" applyFill="0" applyBorder="0" applyAlignment="0" applyProtection="0"/>
    <xf numFmtId="0" fontId="11" fillId="2" borderId="0" applyNumberFormat="0" applyFont="0" applyBorder="0" applyAlignment="0" applyProtection="0"/>
    <xf numFmtId="9" fontId="14" fillId="0" borderId="0" applyFont="0" applyFill="0" applyBorder="0" applyAlignment="0" applyProtection="0"/>
  </cellStyleXfs>
  <cellXfs count="48">
    <xf numFmtId="0" fontId="0" fillId="0" borderId="0" xfId="0"/>
    <xf numFmtId="37" fontId="3" fillId="0" borderId="0" xfId="0" applyNumberFormat="1" applyFont="1" applyFill="1" applyBorder="1" applyProtection="1"/>
    <xf numFmtId="0" fontId="5" fillId="0" borderId="0" xfId="0" applyFont="1" applyFill="1"/>
    <xf numFmtId="3" fontId="6" fillId="0" borderId="0" xfId="0" applyNumberFormat="1" applyFont="1" applyFill="1" applyBorder="1" applyAlignment="1"/>
    <xf numFmtId="37" fontId="6" fillId="0" borderId="0" xfId="1" applyNumberFormat="1" applyFont="1" applyFill="1" applyBorder="1" applyAlignment="1"/>
    <xf numFmtId="0" fontId="6" fillId="0" borderId="0" xfId="0" applyFont="1" applyFill="1"/>
    <xf numFmtId="0" fontId="7" fillId="0" borderId="0" xfId="0" applyFont="1" applyFill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41" fontId="6" fillId="0" borderId="0" xfId="2" applyFont="1" applyFill="1" applyBorder="1" applyProtection="1"/>
    <xf numFmtId="41" fontId="6" fillId="0" borderId="0" xfId="2" applyFont="1" applyFill="1" applyAlignment="1" applyProtection="1">
      <protection locked="0"/>
    </xf>
    <xf numFmtId="0" fontId="3" fillId="0" borderId="0" xfId="0" applyFont="1" applyFill="1"/>
    <xf numFmtId="41" fontId="6" fillId="0" borderId="0" xfId="2" applyFont="1" applyFill="1" applyBorder="1" applyAlignment="1">
      <alignment horizontal="fill"/>
    </xf>
    <xf numFmtId="41" fontId="6" fillId="0" borderId="0" xfId="2" applyFont="1" applyFill="1" applyAlignment="1">
      <alignment horizontal="fill"/>
    </xf>
    <xf numFmtId="0" fontId="1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0" fontId="9" fillId="0" borderId="6" xfId="0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41" fontId="2" fillId="0" borderId="0" xfId="2" applyFont="1" applyFill="1" applyAlignment="1" applyProtection="1">
      <protection locked="0"/>
    </xf>
    <xf numFmtId="165" fontId="6" fillId="0" borderId="0" xfId="2" applyNumberFormat="1" applyFont="1" applyFill="1" applyAlignment="1" applyProtection="1">
      <protection locked="0"/>
    </xf>
    <xf numFmtId="37" fontId="6" fillId="0" borderId="0" xfId="0" applyNumberFormat="1" applyFont="1" applyFill="1"/>
    <xf numFmtId="0" fontId="6" fillId="0" borderId="0" xfId="0" applyFont="1" applyFill="1" applyAlignment="1"/>
    <xf numFmtId="41" fontId="3" fillId="0" borderId="0" xfId="0" applyNumberFormat="1" applyFont="1" applyFill="1"/>
    <xf numFmtId="10" fontId="3" fillId="0" borderId="0" xfId="2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7" fillId="3" borderId="0" xfId="0" applyFont="1" applyFill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41" fontId="6" fillId="3" borderId="0" xfId="2" applyFont="1" applyFill="1" applyAlignment="1" applyProtection="1">
      <protection locked="0"/>
    </xf>
    <xf numFmtId="41" fontId="6" fillId="3" borderId="0" xfId="2" applyFont="1" applyFill="1" applyBorder="1" applyAlignment="1">
      <alignment horizontal="fill"/>
    </xf>
    <xf numFmtId="41" fontId="6" fillId="3" borderId="0" xfId="2" applyFont="1" applyFill="1" applyAlignment="1">
      <alignment horizontal="fill"/>
    </xf>
    <xf numFmtId="0" fontId="15" fillId="0" borderId="0" xfId="0" applyFont="1" applyFill="1" applyAlignment="1">
      <alignment horizontal="center"/>
    </xf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quotePrefix="1" applyNumberFormat="1" applyFont="1" applyFill="1" applyAlignment="1" applyProtection="1">
      <alignment horizontal="center"/>
      <protection locked="0"/>
    </xf>
    <xf numFmtId="164" fontId="4" fillId="0" borderId="0" xfId="0" applyNumberFormat="1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wrapText="1"/>
      <protection locked="0"/>
    </xf>
    <xf numFmtId="0" fontId="7" fillId="0" borderId="2" xfId="0" applyFont="1" applyFill="1" applyBorder="1" applyAlignment="1" applyProtection="1">
      <alignment horizontal="center" wrapText="1"/>
      <protection locked="0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</cellXfs>
  <cellStyles count="21">
    <cellStyle name="Comma [0]" xfId="2" builtinId="6"/>
    <cellStyle name="Comma 2" xfId="3"/>
    <cellStyle name="Comma 2 2" xfId="7"/>
    <cellStyle name="Comma 3" xfId="8"/>
    <cellStyle name="Comma 4" xfId="9"/>
    <cellStyle name="Currency 2" xfId="10"/>
    <cellStyle name="Normal" xfId="0" builtinId="0"/>
    <cellStyle name="Normal 2" xfId="5"/>
    <cellStyle name="Normal 2 2" xfId="11"/>
    <cellStyle name="Normal 3" xfId="12"/>
    <cellStyle name="Normal 4" xfId="6"/>
    <cellStyle name="Normal 5" xfId="13"/>
    <cellStyle name="Normal_FIT T-R Adj" xfId="1"/>
    <cellStyle name="Percent" xfId="20" builtinId="5"/>
    <cellStyle name="Percent 2" xfId="4"/>
    <cellStyle name="PSChar" xfId="14"/>
    <cellStyle name="PSDate" xfId="15"/>
    <cellStyle name="PSDec" xfId="16"/>
    <cellStyle name="PSHeading" xfId="17"/>
    <cellStyle name="PSInt" xfId="18"/>
    <cellStyle name="PSSpacer" xfId="19"/>
  </cellStyles>
  <dxfs count="0"/>
  <tableStyles count="0" defaultTableStyle="TableStyleMedium9" defaultPivotStyle="PivotStyleLight16"/>
  <colors>
    <mruColors>
      <color rgb="FFFF66CC"/>
      <color rgb="FFFF00FF"/>
      <color rgb="FFFFFF99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pane xSplit="6" ySplit="15" topLeftCell="G16" activePane="bottomRight" state="frozen"/>
      <selection activeCell="T18" sqref="T18"/>
      <selection pane="topRight" activeCell="T18" sqref="T18"/>
      <selection pane="bottomLeft" activeCell="T18" sqref="T18"/>
      <selection pane="bottomRight" activeCell="A15" sqref="A15"/>
    </sheetView>
  </sheetViews>
  <sheetFormatPr defaultColWidth="9.140625" defaultRowHeight="11.25" x14ac:dyDescent="0.2"/>
  <cols>
    <col min="1" max="1" width="1.7109375" style="10" customWidth="1"/>
    <col min="2" max="2" width="40.7109375" style="10" customWidth="1"/>
    <col min="3" max="5" width="0.85546875" style="10" customWidth="1"/>
    <col min="6" max="6" width="1.28515625" style="10" customWidth="1"/>
    <col min="7" max="7" width="14.7109375" style="10" customWidth="1"/>
    <col min="8" max="8" width="0.85546875" style="10" customWidth="1"/>
    <col min="9" max="9" width="14.7109375" style="10" customWidth="1"/>
    <col min="10" max="10" width="0.85546875" style="10" customWidth="1"/>
    <col min="11" max="11" width="14.7109375" style="10" customWidth="1"/>
    <col min="12" max="12" width="0.85546875" style="10" customWidth="1"/>
    <col min="13" max="13" width="14.7109375" style="10" customWidth="1"/>
    <col min="14" max="14" width="0.85546875" style="10" customWidth="1"/>
    <col min="15" max="15" width="22.5703125" style="10" bestFit="1" customWidth="1"/>
    <col min="16" max="16" width="22.28515625" style="10" customWidth="1"/>
    <col min="17" max="17" width="19.42578125" style="10" customWidth="1"/>
    <col min="18" max="18" width="1.42578125" style="10" customWidth="1"/>
    <col min="19" max="19" width="0.85546875" style="10" customWidth="1"/>
    <col min="20" max="20" width="14.7109375" style="10" customWidth="1"/>
    <col min="21" max="21" width="0.85546875" style="10" customWidth="1"/>
    <col min="22" max="22" width="14.7109375" style="10" customWidth="1"/>
    <col min="23" max="23" width="0.85546875" style="10" customWidth="1"/>
    <col min="24" max="24" width="14.7109375" style="10" customWidth="1"/>
    <col min="25" max="25" width="0.85546875" style="10" customWidth="1"/>
    <col min="26" max="26" width="14.7109375" style="10" customWidth="1"/>
    <col min="27" max="27" width="0.85546875" style="10" customWidth="1"/>
    <col min="28" max="28" width="22.5703125" style="10" bestFit="1" customWidth="1"/>
    <col min="29" max="29" width="24.5703125" style="10" customWidth="1"/>
    <col min="30" max="30" width="22.7109375" style="10" customWidth="1"/>
    <col min="31" max="32" width="9.140625" style="10"/>
    <col min="33" max="33" width="10.42578125" style="10" bestFit="1" customWidth="1"/>
    <col min="34" max="16384" width="9.140625" style="10"/>
  </cols>
  <sheetData>
    <row r="1" spans="1:30" ht="15.75" x14ac:dyDescent="0.25">
      <c r="B1" s="40" t="s">
        <v>0</v>
      </c>
      <c r="C1" s="40"/>
      <c r="D1" s="40"/>
      <c r="E1" s="40"/>
      <c r="F1" s="14"/>
      <c r="AD1" s="10" t="s">
        <v>48</v>
      </c>
    </row>
    <row r="2" spans="1:30" ht="15.75" x14ac:dyDescent="0.25">
      <c r="B2" s="40" t="s">
        <v>11</v>
      </c>
      <c r="C2" s="40"/>
      <c r="D2" s="40"/>
      <c r="E2" s="40"/>
      <c r="F2" s="14"/>
      <c r="AD2" s="10" t="s">
        <v>49</v>
      </c>
    </row>
    <row r="3" spans="1:30" ht="15.75" x14ac:dyDescent="0.25">
      <c r="B3" s="41" t="s">
        <v>33</v>
      </c>
      <c r="C3" s="42"/>
      <c r="D3" s="42"/>
      <c r="E3" s="42"/>
      <c r="F3" s="15"/>
    </row>
    <row r="4" spans="1:30" x14ac:dyDescent="0.2">
      <c r="B4" s="16"/>
    </row>
    <row r="5" spans="1:30" x14ac:dyDescent="0.2">
      <c r="B5" s="17" t="s">
        <v>34</v>
      </c>
    </row>
    <row r="6" spans="1:30" x14ac:dyDescent="0.2">
      <c r="B6" s="16"/>
      <c r="P6" s="25"/>
      <c r="T6" s="26"/>
    </row>
    <row r="7" spans="1:30" x14ac:dyDescent="0.2">
      <c r="B7" s="16"/>
      <c r="P7" s="25"/>
    </row>
    <row r="8" spans="1:30" x14ac:dyDescent="0.2">
      <c r="B8" s="16"/>
      <c r="O8" s="25"/>
      <c r="P8" s="25"/>
    </row>
    <row r="9" spans="1:30" x14ac:dyDescent="0.2">
      <c r="B9" s="16"/>
      <c r="G9" s="18" t="s">
        <v>29</v>
      </c>
      <c r="I9" s="18" t="s">
        <v>30</v>
      </c>
      <c r="J9" s="18" t="s">
        <v>29</v>
      </c>
      <c r="K9" s="18" t="s">
        <v>38</v>
      </c>
      <c r="L9" s="18" t="s">
        <v>29</v>
      </c>
      <c r="M9" s="18" t="s">
        <v>31</v>
      </c>
      <c r="O9" s="19" t="s">
        <v>39</v>
      </c>
      <c r="P9" s="19" t="s">
        <v>32</v>
      </c>
      <c r="Q9" s="27" t="s">
        <v>40</v>
      </c>
      <c r="T9" s="18" t="s">
        <v>41</v>
      </c>
      <c r="V9" s="18" t="s">
        <v>42</v>
      </c>
      <c r="W9" s="18" t="s">
        <v>29</v>
      </c>
      <c r="X9" s="18" t="s">
        <v>43</v>
      </c>
      <c r="Y9" s="18" t="s">
        <v>29</v>
      </c>
      <c r="Z9" s="18" t="s">
        <v>44</v>
      </c>
      <c r="AB9" s="19" t="s">
        <v>45</v>
      </c>
      <c r="AC9" s="19" t="s">
        <v>46</v>
      </c>
      <c r="AD9" s="27" t="s">
        <v>47</v>
      </c>
    </row>
    <row r="10" spans="1:30" x14ac:dyDescent="0.2">
      <c r="G10" s="35"/>
      <c r="H10" s="36"/>
      <c r="I10" s="36"/>
      <c r="J10" s="36"/>
      <c r="K10" s="36"/>
      <c r="L10" s="36"/>
      <c r="M10" s="36"/>
      <c r="N10" s="36"/>
      <c r="O10" s="34"/>
      <c r="P10" s="13" t="s">
        <v>28</v>
      </c>
      <c r="Q10" s="28"/>
      <c r="T10" s="35"/>
      <c r="U10" s="36"/>
      <c r="V10" s="36"/>
      <c r="W10" s="36"/>
      <c r="X10" s="36"/>
      <c r="Y10" s="36"/>
      <c r="Z10" s="36"/>
      <c r="AA10" s="36"/>
      <c r="AB10" s="36"/>
      <c r="AC10" s="35"/>
      <c r="AD10" s="28"/>
    </row>
    <row r="11" spans="1:30" ht="12.75" customHeight="1" thickBot="1" x14ac:dyDescent="0.25">
      <c r="G11" s="38"/>
      <c r="H11" s="36"/>
      <c r="I11" s="38"/>
      <c r="J11" s="38"/>
      <c r="K11" s="38"/>
      <c r="L11" s="38"/>
      <c r="M11" s="39"/>
      <c r="N11" s="36"/>
      <c r="O11" s="37"/>
      <c r="P11" s="43" t="s">
        <v>35</v>
      </c>
      <c r="Q11" s="29" t="s">
        <v>26</v>
      </c>
      <c r="T11" s="38"/>
      <c r="U11" s="36"/>
      <c r="V11" s="38"/>
      <c r="W11" s="38"/>
      <c r="X11" s="38"/>
      <c r="Y11" s="38"/>
      <c r="Z11" s="39"/>
      <c r="AA11" s="36"/>
      <c r="AB11" s="36"/>
      <c r="AC11" s="43" t="s">
        <v>35</v>
      </c>
      <c r="AD11" s="29" t="s">
        <v>26</v>
      </c>
    </row>
    <row r="12" spans="1:30" ht="13.5" customHeight="1" thickBot="1" x14ac:dyDescent="0.25">
      <c r="G12" s="45" t="s">
        <v>22</v>
      </c>
      <c r="H12" s="46"/>
      <c r="I12" s="46"/>
      <c r="J12" s="46"/>
      <c r="K12" s="46"/>
      <c r="L12" s="46"/>
      <c r="M12" s="46"/>
      <c r="N12" s="46"/>
      <c r="O12" s="47"/>
      <c r="P12" s="43"/>
      <c r="Q12" s="29" t="s">
        <v>27</v>
      </c>
      <c r="T12" s="45" t="s">
        <v>21</v>
      </c>
      <c r="U12" s="46"/>
      <c r="V12" s="46"/>
      <c r="W12" s="46"/>
      <c r="X12" s="46"/>
      <c r="Y12" s="46"/>
      <c r="Z12" s="46"/>
      <c r="AA12" s="46"/>
      <c r="AB12" s="47"/>
      <c r="AC12" s="43"/>
      <c r="AD12" s="29" t="s">
        <v>27</v>
      </c>
    </row>
    <row r="13" spans="1:30" ht="12.75" customHeight="1" x14ac:dyDescent="0.2">
      <c r="A13" s="2"/>
      <c r="B13" s="2"/>
      <c r="C13" s="2"/>
      <c r="D13" s="2"/>
      <c r="E13" s="2"/>
      <c r="F13" s="2"/>
      <c r="G13" s="6" t="s">
        <v>14</v>
      </c>
      <c r="H13" s="2"/>
      <c r="I13" s="6" t="s">
        <v>17</v>
      </c>
      <c r="J13" s="2"/>
      <c r="K13" s="6" t="s">
        <v>17</v>
      </c>
      <c r="L13" s="2"/>
      <c r="M13" s="6" t="s">
        <v>25</v>
      </c>
      <c r="N13" s="2"/>
      <c r="O13" s="6"/>
      <c r="P13" s="43"/>
      <c r="Q13" s="29" t="s">
        <v>17</v>
      </c>
      <c r="T13" s="6" t="s">
        <v>14</v>
      </c>
      <c r="U13" s="2"/>
      <c r="V13" s="6" t="s">
        <v>17</v>
      </c>
      <c r="W13" s="2"/>
      <c r="X13" s="6" t="s">
        <v>17</v>
      </c>
      <c r="Y13" s="2"/>
      <c r="Z13" s="6" t="s">
        <v>25</v>
      </c>
      <c r="AA13" s="2"/>
      <c r="AB13" s="6"/>
      <c r="AC13" s="43"/>
      <c r="AD13" s="29" t="s">
        <v>17</v>
      </c>
    </row>
    <row r="14" spans="1:30" ht="13.5" customHeight="1" thickBot="1" x14ac:dyDescent="0.25">
      <c r="A14" s="2"/>
      <c r="B14" s="2"/>
      <c r="C14" s="2"/>
      <c r="D14" s="2"/>
      <c r="E14" s="2"/>
      <c r="F14" s="2"/>
      <c r="G14" s="6" t="s">
        <v>15</v>
      </c>
      <c r="H14" s="2"/>
      <c r="I14" s="6" t="s">
        <v>18</v>
      </c>
      <c r="J14" s="2"/>
      <c r="K14" s="6" t="s">
        <v>23</v>
      </c>
      <c r="L14" s="2"/>
      <c r="M14" s="6" t="s">
        <v>18</v>
      </c>
      <c r="N14" s="2"/>
      <c r="O14" s="6" t="s">
        <v>36</v>
      </c>
      <c r="P14" s="43"/>
      <c r="Q14" s="29" t="s">
        <v>19</v>
      </c>
      <c r="T14" s="6" t="s">
        <v>15</v>
      </c>
      <c r="U14" s="2"/>
      <c r="V14" s="6" t="s">
        <v>18</v>
      </c>
      <c r="W14" s="2"/>
      <c r="X14" s="6" t="s">
        <v>23</v>
      </c>
      <c r="Y14" s="2"/>
      <c r="Z14" s="6" t="s">
        <v>18</v>
      </c>
      <c r="AA14" s="2"/>
      <c r="AB14" s="6" t="s">
        <v>36</v>
      </c>
      <c r="AC14" s="43"/>
      <c r="AD14" s="29" t="s">
        <v>19</v>
      </c>
    </row>
    <row r="15" spans="1:30" ht="13.5" customHeight="1" thickBot="1" x14ac:dyDescent="0.25">
      <c r="A15" s="2"/>
      <c r="B15" s="20" t="s">
        <v>1</v>
      </c>
      <c r="C15" s="2"/>
      <c r="D15" s="2"/>
      <c r="E15" s="2"/>
      <c r="F15" s="2"/>
      <c r="G15" s="7" t="s">
        <v>16</v>
      </c>
      <c r="H15" s="2"/>
      <c r="I15" s="7" t="s">
        <v>16</v>
      </c>
      <c r="J15" s="2"/>
      <c r="K15" s="7" t="s">
        <v>24</v>
      </c>
      <c r="L15" s="2"/>
      <c r="M15" s="7" t="s">
        <v>16</v>
      </c>
      <c r="N15" s="2"/>
      <c r="O15" s="7" t="s">
        <v>37</v>
      </c>
      <c r="P15" s="44"/>
      <c r="Q15" s="30" t="s">
        <v>20</v>
      </c>
      <c r="T15" s="7" t="s">
        <v>16</v>
      </c>
      <c r="U15" s="2"/>
      <c r="V15" s="7" t="s">
        <v>16</v>
      </c>
      <c r="W15" s="2"/>
      <c r="X15" s="7" t="s">
        <v>24</v>
      </c>
      <c r="Y15" s="2"/>
      <c r="Z15" s="7" t="s">
        <v>16</v>
      </c>
      <c r="AA15" s="2"/>
      <c r="AB15" s="7" t="s">
        <v>37</v>
      </c>
      <c r="AC15" s="44"/>
      <c r="AD15" s="30" t="s">
        <v>20</v>
      </c>
    </row>
    <row r="16" spans="1:30" ht="11.25" customHeight="1" x14ac:dyDescent="0.2">
      <c r="Q16" s="28"/>
      <c r="AD16" s="28"/>
    </row>
    <row r="17" spans="1:30" ht="12.75" x14ac:dyDescent="0.2">
      <c r="A17" s="3"/>
      <c r="B17" s="4" t="s">
        <v>2</v>
      </c>
      <c r="C17" s="5"/>
      <c r="D17" s="5"/>
      <c r="E17" s="5"/>
      <c r="F17" s="8"/>
      <c r="G17" s="21">
        <f>644000+472000</f>
        <v>1116000</v>
      </c>
      <c r="H17" s="8"/>
      <c r="I17" s="8">
        <f>ROUND(G17*0.21,0)</f>
        <v>234360</v>
      </c>
      <c r="J17" s="8"/>
      <c r="K17" s="21">
        <f>-5337*12-507*12</f>
        <v>-70128</v>
      </c>
      <c r="L17" s="8"/>
      <c r="M17" s="8">
        <f>I17+K17</f>
        <v>164232</v>
      </c>
      <c r="N17" s="8"/>
      <c r="O17" s="9">
        <f>-270756+AB17</f>
        <v>-289294</v>
      </c>
      <c r="P17" s="9">
        <f>AC17</f>
        <v>-37948</v>
      </c>
      <c r="Q17" s="31">
        <f>SUM(O17:P17)</f>
        <v>-327242</v>
      </c>
      <c r="R17" s="1"/>
      <c r="S17" s="1"/>
      <c r="T17" s="9">
        <f>42000+31000</f>
        <v>73000</v>
      </c>
      <c r="U17" s="8"/>
      <c r="V17" s="8">
        <f>ROUND(T17*0.21,0)</f>
        <v>15330</v>
      </c>
      <c r="W17" s="8"/>
      <c r="X17" s="21">
        <f>-507*12</f>
        <v>-6084</v>
      </c>
      <c r="Y17" s="8"/>
      <c r="Z17" s="8">
        <f>V17+X17</f>
        <v>9246</v>
      </c>
      <c r="AA17" s="8"/>
      <c r="AB17" s="9">
        <v>-18538</v>
      </c>
      <c r="AC17" s="9">
        <v>-37948</v>
      </c>
      <c r="AD17" s="31">
        <f>SUM(AB17:AC17)</f>
        <v>-56486</v>
      </c>
    </row>
    <row r="18" spans="1:30" ht="12.75" x14ac:dyDescent="0.2">
      <c r="A18" s="3"/>
      <c r="B18" s="4" t="s">
        <v>12</v>
      </c>
      <c r="C18" s="5"/>
      <c r="D18" s="5"/>
      <c r="E18" s="5"/>
      <c r="F18" s="8"/>
      <c r="G18" s="9">
        <f>39550000+31100000</f>
        <v>70650000</v>
      </c>
      <c r="H18" s="8"/>
      <c r="I18" s="8">
        <f t="shared" ref="I18:I22" si="0">ROUND(G18*0.21,0)</f>
        <v>14836500</v>
      </c>
      <c r="J18" s="8"/>
      <c r="K18" s="21">
        <f>-159148*12+9215*12-126032*12</f>
        <v>-3311580</v>
      </c>
      <c r="L18" s="8"/>
      <c r="M18" s="8">
        <f t="shared" ref="M18:M22" si="1">I18+K18</f>
        <v>11524920</v>
      </c>
      <c r="N18" s="8"/>
      <c r="O18" s="9">
        <f>-6098646-7285749+AB18</f>
        <v>-14824593</v>
      </c>
      <c r="P18" s="22">
        <f>(-41521969*10/12)+(-1256309*9/12)+(-7076251)-15600000+AC18</f>
        <v>-59338856.583333336</v>
      </c>
      <c r="Q18" s="31">
        <f t="shared" ref="Q18:Q22" si="2">SUM(O18:P18)</f>
        <v>-74163449.583333343</v>
      </c>
      <c r="R18" s="1"/>
      <c r="S18" s="1"/>
      <c r="T18" s="9">
        <f>4886000+4066000</f>
        <v>8952000</v>
      </c>
      <c r="U18" s="8"/>
      <c r="V18" s="8">
        <f t="shared" ref="V18:V22" si="3">ROUND(T18*0.21,0)</f>
        <v>1879920</v>
      </c>
      <c r="W18" s="8"/>
      <c r="X18" s="21">
        <f>9215*12</f>
        <v>110580</v>
      </c>
      <c r="Y18" s="8"/>
      <c r="Z18" s="8">
        <f t="shared" ref="Z18:Z22" si="4">V18+X18</f>
        <v>1990500</v>
      </c>
      <c r="AA18" s="8"/>
      <c r="AB18" s="9">
        <v>-1440198</v>
      </c>
      <c r="AC18" s="9">
        <v>-1118733</v>
      </c>
      <c r="AD18" s="31">
        <f t="shared" ref="AD18:AD22" si="5">SUM(AB18:AC18)</f>
        <v>-2558931</v>
      </c>
    </row>
    <row r="19" spans="1:30" ht="12.75" x14ac:dyDescent="0.2">
      <c r="A19" s="3"/>
      <c r="B19" s="4" t="s">
        <v>3</v>
      </c>
      <c r="C19" s="5"/>
      <c r="D19" s="5"/>
      <c r="E19" s="5"/>
      <c r="F19" s="8"/>
      <c r="G19" s="9">
        <f>7497000+5948000</f>
        <v>13445000</v>
      </c>
      <c r="H19" s="8"/>
      <c r="I19" s="8">
        <f t="shared" si="0"/>
        <v>2823450</v>
      </c>
      <c r="J19" s="8"/>
      <c r="K19" s="21">
        <f>-37675*12-8078*12</f>
        <v>-549036</v>
      </c>
      <c r="L19" s="8"/>
      <c r="M19" s="8">
        <f t="shared" si="1"/>
        <v>2274414</v>
      </c>
      <c r="N19" s="8"/>
      <c r="O19" s="9">
        <f>-1098505-1305333+AB19</f>
        <v>-3030861</v>
      </c>
      <c r="P19" s="9">
        <f>((-434175-559945)+(-7467-5653))*12+AC19</f>
        <v>-12313905</v>
      </c>
      <c r="Q19" s="31">
        <f t="shared" si="2"/>
        <v>-15344766</v>
      </c>
      <c r="R19" s="1"/>
      <c r="S19" s="1"/>
      <c r="T19" s="9">
        <f>2296000+1818000</f>
        <v>4114000</v>
      </c>
      <c r="U19" s="8"/>
      <c r="V19" s="8">
        <f t="shared" si="3"/>
        <v>863940</v>
      </c>
      <c r="W19" s="8"/>
      <c r="X19" s="21">
        <f>-8078*12</f>
        <v>-96936</v>
      </c>
      <c r="Y19" s="8"/>
      <c r="Z19" s="8">
        <f t="shared" si="4"/>
        <v>767004</v>
      </c>
      <c r="AA19" s="8"/>
      <c r="AB19" s="9">
        <v>-627023</v>
      </c>
      <c r="AC19" s="9">
        <v>-227025</v>
      </c>
      <c r="AD19" s="31">
        <f t="shared" si="5"/>
        <v>-854048</v>
      </c>
    </row>
    <row r="20" spans="1:30" ht="12.75" x14ac:dyDescent="0.2">
      <c r="A20" s="3"/>
      <c r="B20" s="4" t="s">
        <v>13</v>
      </c>
      <c r="C20" s="5"/>
      <c r="D20" s="5"/>
      <c r="E20" s="5"/>
      <c r="F20" s="8"/>
      <c r="G20" s="9">
        <f>11928000+62563000+5180000+679000</f>
        <v>80350000</v>
      </c>
      <c r="H20" s="8"/>
      <c r="I20" s="8">
        <f t="shared" si="0"/>
        <v>16873500</v>
      </c>
      <c r="J20" s="8"/>
      <c r="K20" s="21">
        <f>-26000*12-12701*12-111612*12-56599*12</f>
        <v>-2482944</v>
      </c>
      <c r="L20" s="8"/>
      <c r="M20" s="8">
        <f t="shared" si="1"/>
        <v>14390556</v>
      </c>
      <c r="N20" s="8"/>
      <c r="O20" s="9">
        <f>-2699712-1698285-3318786+AB20</f>
        <v>-8723045</v>
      </c>
      <c r="P20" s="9">
        <f>(-29900000-(-7716783*0.6891))-2784506-4266060</f>
        <v>-31632930.8347</v>
      </c>
      <c r="Q20" s="31">
        <f t="shared" si="2"/>
        <v>-40355975.834700003</v>
      </c>
      <c r="R20" s="1"/>
      <c r="S20" s="1"/>
      <c r="T20" s="9">
        <f>4249000+4356000</f>
        <v>8605000</v>
      </c>
      <c r="U20" s="8"/>
      <c r="V20" s="8">
        <f t="shared" si="3"/>
        <v>1807050</v>
      </c>
      <c r="W20" s="8"/>
      <c r="X20" s="21">
        <f>-26000*12</f>
        <v>-312000</v>
      </c>
      <c r="Y20" s="8"/>
      <c r="Z20" s="8">
        <f t="shared" si="4"/>
        <v>1495050</v>
      </c>
      <c r="AA20" s="8"/>
      <c r="AB20" s="9">
        <v>-1006262</v>
      </c>
      <c r="AC20" s="9">
        <v>-963177</v>
      </c>
      <c r="AD20" s="31">
        <f t="shared" si="5"/>
        <v>-1969439</v>
      </c>
    </row>
    <row r="21" spans="1:30" ht="12.75" x14ac:dyDescent="0.2">
      <c r="A21" s="3"/>
      <c r="B21" s="4" t="s">
        <v>4</v>
      </c>
      <c r="C21" s="5"/>
      <c r="D21" s="5"/>
      <c r="E21" s="5"/>
      <c r="F21" s="8"/>
      <c r="G21" s="9">
        <f>1778000+1693000</f>
        <v>3471000</v>
      </c>
      <c r="H21" s="8"/>
      <c r="I21" s="8">
        <f t="shared" si="0"/>
        <v>728910</v>
      </c>
      <c r="J21" s="8"/>
      <c r="K21" s="21">
        <f>-322*12-5024*12-5496*12</f>
        <v>-130104</v>
      </c>
      <c r="L21" s="8"/>
      <c r="M21" s="8">
        <f t="shared" si="1"/>
        <v>598806</v>
      </c>
      <c r="N21" s="8"/>
      <c r="O21" s="9">
        <f>-230330-1109295+AB21</f>
        <v>-1372871</v>
      </c>
      <c r="P21" s="9">
        <f>-2067000+AC21</f>
        <v>-2083621</v>
      </c>
      <c r="Q21" s="31">
        <f t="shared" si="2"/>
        <v>-3456492</v>
      </c>
      <c r="R21" s="1"/>
      <c r="S21" s="1"/>
      <c r="T21" s="9">
        <f>119000+94000</f>
        <v>213000</v>
      </c>
      <c r="U21" s="8"/>
      <c r="V21" s="8">
        <f t="shared" si="3"/>
        <v>44730</v>
      </c>
      <c r="W21" s="8"/>
      <c r="X21" s="21">
        <f>-322*12</f>
        <v>-3864</v>
      </c>
      <c r="Y21" s="8"/>
      <c r="Z21" s="8">
        <f t="shared" si="4"/>
        <v>40866</v>
      </c>
      <c r="AA21" s="8"/>
      <c r="AB21" s="9">
        <v>-33246</v>
      </c>
      <c r="AC21" s="9">
        <v>-16621</v>
      </c>
      <c r="AD21" s="31">
        <f t="shared" si="5"/>
        <v>-49867</v>
      </c>
    </row>
    <row r="22" spans="1:30" ht="12.75" x14ac:dyDescent="0.2">
      <c r="A22" s="3"/>
      <c r="B22" s="4" t="s">
        <v>10</v>
      </c>
      <c r="C22" s="5"/>
      <c r="D22" s="5"/>
      <c r="E22" s="5"/>
      <c r="F22" s="8"/>
      <c r="G22" s="9">
        <f>24563000+16405000</f>
        <v>40968000</v>
      </c>
      <c r="H22" s="8"/>
      <c r="I22" s="8">
        <f t="shared" si="0"/>
        <v>8603280</v>
      </c>
      <c r="J22" s="8"/>
      <c r="K22" s="21">
        <f>-106793*12-397195*12</f>
        <v>-6047856</v>
      </c>
      <c r="L22" s="8"/>
      <c r="M22" s="8">
        <f t="shared" si="1"/>
        <v>2555424</v>
      </c>
      <c r="N22" s="8"/>
      <c r="O22" s="9">
        <f>-3068531+AB22</f>
        <v>-4125318</v>
      </c>
      <c r="P22" s="9">
        <f>(-102000000/6.25)+AC22</f>
        <v>-20483655</v>
      </c>
      <c r="Q22" s="31">
        <f t="shared" si="2"/>
        <v>-24608973</v>
      </c>
      <c r="R22" s="1"/>
      <c r="S22" s="1"/>
      <c r="T22" s="9">
        <f>8820000+5928000</f>
        <v>14748000</v>
      </c>
      <c r="U22" s="8"/>
      <c r="V22" s="8">
        <f t="shared" si="3"/>
        <v>3097080</v>
      </c>
      <c r="W22" s="8"/>
      <c r="X22" s="21">
        <f>-106793*12</f>
        <v>-1281516</v>
      </c>
      <c r="Y22" s="8"/>
      <c r="Z22" s="8">
        <f t="shared" si="4"/>
        <v>1815564</v>
      </c>
      <c r="AA22" s="8"/>
      <c r="AB22" s="9">
        <v>-1056787</v>
      </c>
      <c r="AC22" s="9">
        <v>-4163655</v>
      </c>
      <c r="AD22" s="31">
        <f t="shared" si="5"/>
        <v>-5220442</v>
      </c>
    </row>
    <row r="23" spans="1:30" ht="12.75" x14ac:dyDescent="0.2">
      <c r="A23" s="3"/>
      <c r="B23" s="4"/>
      <c r="C23" s="5"/>
      <c r="D23" s="5"/>
      <c r="E23" s="5"/>
      <c r="F23" s="8"/>
      <c r="G23" s="11"/>
      <c r="H23" s="8"/>
      <c r="I23" s="8"/>
      <c r="J23" s="8"/>
      <c r="K23" s="8"/>
      <c r="L23" s="8"/>
      <c r="M23" s="8"/>
      <c r="N23" s="8"/>
      <c r="O23" s="11"/>
      <c r="Q23" s="32"/>
      <c r="R23" s="1"/>
      <c r="S23" s="1"/>
      <c r="T23" s="11"/>
      <c r="U23" s="8"/>
      <c r="V23" s="8"/>
      <c r="W23" s="8"/>
      <c r="X23" s="8"/>
      <c r="Y23" s="8"/>
      <c r="Z23" s="8"/>
      <c r="AA23" s="8"/>
      <c r="AB23" s="11"/>
      <c r="AC23" s="11"/>
      <c r="AD23" s="32"/>
    </row>
    <row r="24" spans="1:30" ht="12.75" x14ac:dyDescent="0.2">
      <c r="A24" s="3"/>
      <c r="B24" s="4"/>
      <c r="C24" s="5"/>
      <c r="D24" s="5"/>
      <c r="E24" s="5"/>
      <c r="F24" s="8"/>
      <c r="G24" s="12"/>
      <c r="H24" s="8"/>
      <c r="I24" s="8"/>
      <c r="J24" s="8"/>
      <c r="K24" s="8"/>
      <c r="L24" s="8"/>
      <c r="M24" s="8"/>
      <c r="N24" s="8"/>
      <c r="O24" s="12"/>
      <c r="P24" s="12"/>
      <c r="Q24" s="33"/>
      <c r="R24" s="1"/>
      <c r="S24" s="1"/>
      <c r="T24" s="12"/>
      <c r="U24" s="8"/>
      <c r="V24" s="8"/>
      <c r="W24" s="8"/>
      <c r="X24" s="8"/>
      <c r="Y24" s="8"/>
      <c r="Z24" s="8"/>
      <c r="AA24" s="8"/>
      <c r="AB24" s="12"/>
      <c r="AC24" s="12"/>
      <c r="AD24" s="33"/>
    </row>
    <row r="25" spans="1:30" ht="12.75" x14ac:dyDescent="0.2">
      <c r="A25" s="3"/>
      <c r="B25" s="23" t="s">
        <v>5</v>
      </c>
      <c r="C25" s="5"/>
      <c r="D25" s="5"/>
      <c r="E25" s="5"/>
      <c r="F25" s="8"/>
      <c r="G25" s="9">
        <f>1085000+726000</f>
        <v>1811000</v>
      </c>
      <c r="H25" s="8"/>
      <c r="I25" s="8">
        <f>ROUND(G25*0.21,0)</f>
        <v>380310</v>
      </c>
      <c r="J25" s="8"/>
      <c r="K25" s="9">
        <v>0</v>
      </c>
      <c r="L25" s="8"/>
      <c r="M25" s="8">
        <f t="shared" ref="M25:M29" si="6">I25+K25</f>
        <v>380310</v>
      </c>
      <c r="N25" s="8"/>
      <c r="O25" s="9">
        <f>AB25</f>
        <v>-447986</v>
      </c>
      <c r="P25" s="9">
        <f>AC25</f>
        <v>501353</v>
      </c>
      <c r="Q25" s="31">
        <f t="shared" ref="Q25:Q29" si="7">SUM(O25:P25)</f>
        <v>53367</v>
      </c>
      <c r="R25" s="1"/>
      <c r="S25" s="1"/>
      <c r="T25" s="9">
        <f>1085000+726000</f>
        <v>1811000</v>
      </c>
      <c r="U25" s="8"/>
      <c r="V25" s="8">
        <f t="shared" ref="V25:V29" si="8">ROUND(T25*0.21,0)</f>
        <v>380310</v>
      </c>
      <c r="W25" s="8"/>
      <c r="X25" s="9">
        <v>0</v>
      </c>
      <c r="Y25" s="8"/>
      <c r="Z25" s="8">
        <f t="shared" ref="Z25:Z29" si="9">V25+X25</f>
        <v>380310</v>
      </c>
      <c r="AA25" s="8"/>
      <c r="AB25" s="9">
        <v>-447986</v>
      </c>
      <c r="AC25" s="9">
        <v>501353</v>
      </c>
      <c r="AD25" s="31">
        <f t="shared" ref="AD25:AD29" si="10">SUM(AB25:AC25)</f>
        <v>53367</v>
      </c>
    </row>
    <row r="26" spans="1:30" ht="12.75" x14ac:dyDescent="0.2">
      <c r="A26" s="24"/>
      <c r="B26" s="23" t="s">
        <v>9</v>
      </c>
      <c r="C26" s="5"/>
      <c r="D26" s="5"/>
      <c r="E26" s="5"/>
      <c r="F26" s="8"/>
      <c r="G26" s="9">
        <v>0</v>
      </c>
      <c r="H26" s="8"/>
      <c r="I26" s="8">
        <f t="shared" ref="I26:I29" si="11">ROUND(G26*0.21,0)</f>
        <v>0</v>
      </c>
      <c r="J26" s="8"/>
      <c r="K26" s="9">
        <v>0</v>
      </c>
      <c r="L26" s="8"/>
      <c r="M26" s="8">
        <f t="shared" si="6"/>
        <v>0</v>
      </c>
      <c r="N26" s="8"/>
      <c r="O26" s="9">
        <v>0</v>
      </c>
      <c r="P26" s="9">
        <f t="shared" ref="P26:P29" si="12">AC26</f>
        <v>-706</v>
      </c>
      <c r="Q26" s="31">
        <f t="shared" si="7"/>
        <v>-706</v>
      </c>
      <c r="R26" s="1"/>
      <c r="S26" s="1"/>
      <c r="T26" s="9">
        <v>0</v>
      </c>
      <c r="U26" s="8"/>
      <c r="V26" s="8">
        <f t="shared" si="8"/>
        <v>0</v>
      </c>
      <c r="W26" s="8"/>
      <c r="X26" s="9">
        <v>0</v>
      </c>
      <c r="Y26" s="8"/>
      <c r="Z26" s="8">
        <f t="shared" si="9"/>
        <v>0</v>
      </c>
      <c r="AA26" s="8"/>
      <c r="AB26" s="9">
        <v>0</v>
      </c>
      <c r="AC26" s="9">
        <v>-706</v>
      </c>
      <c r="AD26" s="31">
        <f t="shared" si="10"/>
        <v>-706</v>
      </c>
    </row>
    <row r="27" spans="1:30" ht="12.75" x14ac:dyDescent="0.2">
      <c r="A27" s="24"/>
      <c r="B27" s="23" t="s">
        <v>8</v>
      </c>
      <c r="C27" s="5"/>
      <c r="D27" s="5"/>
      <c r="E27" s="5"/>
      <c r="F27" s="8"/>
      <c r="G27" s="9">
        <f>301000+161000</f>
        <v>462000</v>
      </c>
      <c r="H27" s="8"/>
      <c r="I27" s="8">
        <f t="shared" si="11"/>
        <v>97020</v>
      </c>
      <c r="J27" s="8"/>
      <c r="K27" s="9">
        <v>0</v>
      </c>
      <c r="L27" s="8"/>
      <c r="M27" s="8">
        <f t="shared" si="6"/>
        <v>97020</v>
      </c>
      <c r="N27" s="8"/>
      <c r="O27" s="9">
        <v>0</v>
      </c>
      <c r="P27" s="9">
        <f t="shared" si="12"/>
        <v>407817</v>
      </c>
      <c r="Q27" s="31">
        <f t="shared" si="7"/>
        <v>407817</v>
      </c>
      <c r="R27" s="1"/>
      <c r="S27" s="1"/>
      <c r="T27" s="9">
        <f>301000+161000</f>
        <v>462000</v>
      </c>
      <c r="U27" s="8"/>
      <c r="V27" s="8">
        <f t="shared" si="8"/>
        <v>97020</v>
      </c>
      <c r="W27" s="8"/>
      <c r="X27" s="9">
        <v>0</v>
      </c>
      <c r="Y27" s="8"/>
      <c r="Z27" s="8">
        <f t="shared" si="9"/>
        <v>97020</v>
      </c>
      <c r="AA27" s="8"/>
      <c r="AB27" s="9">
        <v>0</v>
      </c>
      <c r="AC27" s="9">
        <v>407817</v>
      </c>
      <c r="AD27" s="31">
        <f t="shared" si="10"/>
        <v>407817</v>
      </c>
    </row>
    <row r="28" spans="1:30" ht="12.75" x14ac:dyDescent="0.2">
      <c r="A28" s="24"/>
      <c r="B28" s="23" t="s">
        <v>6</v>
      </c>
      <c r="C28" s="5"/>
      <c r="D28" s="5"/>
      <c r="E28" s="5"/>
      <c r="F28" s="8"/>
      <c r="G28" s="9">
        <f>42000+30000</f>
        <v>72000</v>
      </c>
      <c r="H28" s="8"/>
      <c r="I28" s="8">
        <f t="shared" si="11"/>
        <v>15120</v>
      </c>
      <c r="J28" s="8"/>
      <c r="K28" s="9">
        <v>0</v>
      </c>
      <c r="L28" s="8"/>
      <c r="M28" s="8">
        <f t="shared" si="6"/>
        <v>15120</v>
      </c>
      <c r="N28" s="8"/>
      <c r="O28" s="9">
        <v>0</v>
      </c>
      <c r="P28" s="9">
        <f t="shared" si="12"/>
        <v>3964</v>
      </c>
      <c r="Q28" s="31">
        <f t="shared" si="7"/>
        <v>3964</v>
      </c>
      <c r="R28" s="1"/>
      <c r="S28" s="1"/>
      <c r="T28" s="9">
        <f>42000+30000</f>
        <v>72000</v>
      </c>
      <c r="U28" s="8"/>
      <c r="V28" s="8">
        <f t="shared" si="8"/>
        <v>15120</v>
      </c>
      <c r="W28" s="8"/>
      <c r="X28" s="9">
        <v>0</v>
      </c>
      <c r="Y28" s="8"/>
      <c r="Z28" s="8">
        <f t="shared" si="9"/>
        <v>15120</v>
      </c>
      <c r="AA28" s="8"/>
      <c r="AB28" s="9">
        <v>0</v>
      </c>
      <c r="AC28" s="9">
        <v>3964</v>
      </c>
      <c r="AD28" s="31">
        <f t="shared" si="10"/>
        <v>3964</v>
      </c>
    </row>
    <row r="29" spans="1:30" ht="12.75" x14ac:dyDescent="0.2">
      <c r="A29" s="24"/>
      <c r="B29" s="23" t="s">
        <v>7</v>
      </c>
      <c r="C29" s="5"/>
      <c r="D29" s="5"/>
      <c r="E29" s="5"/>
      <c r="F29" s="8"/>
      <c r="G29" s="9">
        <f>819000+370000</f>
        <v>1189000</v>
      </c>
      <c r="H29" s="8"/>
      <c r="I29" s="8">
        <f t="shared" si="11"/>
        <v>249690</v>
      </c>
      <c r="J29" s="8"/>
      <c r="K29" s="9">
        <v>0</v>
      </c>
      <c r="L29" s="8"/>
      <c r="M29" s="8">
        <f t="shared" si="6"/>
        <v>249690</v>
      </c>
      <c r="N29" s="8"/>
      <c r="O29" s="9">
        <f>AB29</f>
        <v>-35867</v>
      </c>
      <c r="P29" s="9">
        <f t="shared" si="12"/>
        <v>649852</v>
      </c>
      <c r="Q29" s="31">
        <f t="shared" si="7"/>
        <v>613985</v>
      </c>
      <c r="R29" s="1"/>
      <c r="S29" s="1"/>
      <c r="T29" s="9">
        <f>819000+370000</f>
        <v>1189000</v>
      </c>
      <c r="U29" s="8"/>
      <c r="V29" s="8">
        <f t="shared" si="8"/>
        <v>249690</v>
      </c>
      <c r="W29" s="8"/>
      <c r="X29" s="9">
        <v>0</v>
      </c>
      <c r="Y29" s="8"/>
      <c r="Z29" s="8">
        <f t="shared" si="9"/>
        <v>249690</v>
      </c>
      <c r="AA29" s="8"/>
      <c r="AB29" s="9">
        <v>-35867</v>
      </c>
      <c r="AC29" s="9">
        <v>649852</v>
      </c>
      <c r="AD29" s="31">
        <f t="shared" si="10"/>
        <v>613985</v>
      </c>
    </row>
    <row r="35" spans="15:17" ht="12.75" x14ac:dyDescent="0.2">
      <c r="O35" s="25"/>
      <c r="Q35" s="11"/>
    </row>
  </sheetData>
  <mergeCells count="7">
    <mergeCell ref="B1:E1"/>
    <mergeCell ref="B2:E2"/>
    <mergeCell ref="B3:E3"/>
    <mergeCell ref="P11:P15"/>
    <mergeCell ref="AC11:AC15"/>
    <mergeCell ref="G12:O12"/>
    <mergeCell ref="T12:AB12"/>
  </mergeCells>
  <pageMargins left="0.75" right="0.25" top="0.75" bottom="0.5" header="0.3" footer="0.3"/>
  <pageSetup scale="70" fitToHeight="0" orientation="landscape" r:id="rId1"/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6C1B854B-0057-47FF-8ABB-88C62EFCDC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Company>IT-CPS-8/28/1-(Help#=8-835-3050)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>AEP Internal</cp:keywords>
  <cp:lastModifiedBy>s134129</cp:lastModifiedBy>
  <cp:lastPrinted>2018-10-30T13:08:46Z</cp:lastPrinted>
  <dcterms:created xsi:type="dcterms:W3CDTF">2003-03-12T22:24:35Z</dcterms:created>
  <dcterms:modified xsi:type="dcterms:W3CDTF">2019-05-09T20:44:22Z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df13622a-bc45-48f4-85d6-7fa5b2169d72</vt:lpwstr>
  </property>
  <property fmtid="{D5CDD505-2E9C-101B-9397-08002B2CF9AE}" pid="3" name="bjSaver">
    <vt:lpwstr>VngSzoMzUtogy4ju4yUdJ6VwVG5COqXw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