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ANALYSIS\Transource\Transource WV\2019 True Up\Filing Documents\Source Data\"/>
    </mc:Choice>
  </mc:AlternateContent>
  <bookViews>
    <workbookView xWindow="23835" yWindow="90" windowWidth="23700" windowHeight="9750" tabRatio="865"/>
  </bookViews>
  <sheets>
    <sheet name="Attachment H-26" sheetId="1" r:id="rId1"/>
    <sheet name="1-Project Rev Req" sheetId="2" r:id="rId2"/>
    <sheet name="2-Incentive ROE" sheetId="3" r:id="rId3"/>
    <sheet name="3-Project True-up" sheetId="4" r:id="rId4"/>
    <sheet name="4- Rate Base" sheetId="5" r:id="rId5"/>
    <sheet name="5-Return" sheetId="6" r:id="rId6"/>
    <sheet name="6 - True-Up Interest" sheetId="7" r:id="rId7"/>
    <sheet name="6a - True-up Interest Rate" sheetId="8" r:id="rId8"/>
    <sheet name="7 - PBOP" sheetId="9" r:id="rId9"/>
    <sheet name="8-Construction Debt" sheetId="10" r:id="rId10"/>
    <sheet name="9- Cost of Debt True-up" sheetId="11" r:id="rId11"/>
    <sheet name="10 -Depreciation Rates" sheetId="12" r:id="rId12"/>
    <sheet name="11-Corrections" sheetId="13" r:id="rId13"/>
    <sheet name="12 - Revenue Credits" sheetId="14" r:id="rId14"/>
  </sheets>
  <externalReferences>
    <externalReference r:id="rId15"/>
    <externalReference r:id="rId16"/>
    <externalReference r:id="rId17"/>
    <externalReference r:id="rId18"/>
    <externalReference r:id="rId19"/>
  </externalReferences>
  <definedNames>
    <definedName name="_1E_1">#N/A</definedName>
    <definedName name="_31_Dec_00" localSheetId="3">#REF!</definedName>
    <definedName name="_31_Dec_00" localSheetId="9">#REF!</definedName>
    <definedName name="_31_Dec_00" localSheetId="10">#REF!</definedName>
    <definedName name="_31_Dec_00">#REF!</definedName>
    <definedName name="_31_Jan_01" localSheetId="3">#REF!</definedName>
    <definedName name="_31_Jan_01" localSheetId="10">#REF!</definedName>
    <definedName name="_31_Jan_01">#REF!</definedName>
    <definedName name="Balances" localSheetId="3">#REF!</definedName>
    <definedName name="Balances" localSheetId="10">#REF!</definedName>
    <definedName name="Balances">#REF!</definedName>
    <definedName name="CH_COS" localSheetId="3">#REF!</definedName>
    <definedName name="CH_COS" localSheetId="10">#REF!</definedName>
    <definedName name="CH_COS">#REF!</definedName>
    <definedName name="Columns" localSheetId="3">#REF!</definedName>
    <definedName name="Columns" localSheetId="10">#REF!</definedName>
    <definedName name="Columns">#REF!</definedName>
    <definedName name="Current_sum" localSheetId="3">#REF!</definedName>
    <definedName name="Current_sum" localSheetId="10">#REF!</definedName>
    <definedName name="Current_sum">#REF!</definedName>
    <definedName name="DA">'[1]Actual Gross Rev Req'!$K$42</definedName>
    <definedName name="data_3">[2]Permanent!$A$9:$O$20</definedName>
    <definedName name="DefaultCopy" localSheetId="3">#REF!</definedName>
    <definedName name="DefaultCopy" localSheetId="10">#REF!</definedName>
    <definedName name="DefaultCopy">#REF!</definedName>
    <definedName name="DefaultPaste" localSheetId="3">#REF!</definedName>
    <definedName name="DefaultPaste" localSheetId="10">#REF!</definedName>
    <definedName name="DefaultPaste">#REF!</definedName>
    <definedName name="detail" localSheetId="3">#REF!</definedName>
    <definedName name="detail" localSheetId="10">#REF!</definedName>
    <definedName name="detail">#REF!</definedName>
    <definedName name="dg">#REF!</definedName>
    <definedName name="FERCrefund">'[3]Appx E'!$G$33</definedName>
    <definedName name="FIT">#REF!</definedName>
    <definedName name="GP">'[1]Actual Gross Rev Req'!$K$156</definedName>
    <definedName name="itc" localSheetId="3">#REF!</definedName>
    <definedName name="itc" localSheetId="10">#REF!</definedName>
    <definedName name="itc">#REF!</definedName>
    <definedName name="kk" localSheetId="3">#REF!</definedName>
    <definedName name="kk" localSheetId="10">#REF!</definedName>
    <definedName name="kk">#REF!</definedName>
    <definedName name="Mgmt" localSheetId="3">[4]Current!#REF!</definedName>
    <definedName name="Mgmt" localSheetId="10">[4]Current!#REF!</definedName>
    <definedName name="Mgmt">[4]Current!#REF!</definedName>
    <definedName name="months">[2]Permanent!$A$24:$A$35</definedName>
    <definedName name="new" localSheetId="3">#REF!</definedName>
    <definedName name="new" localSheetId="10">#REF!</definedName>
    <definedName name="new">#REF!</definedName>
    <definedName name="NP">#REF!</definedName>
    <definedName name="NSP_COS" localSheetId="3">#REF!</definedName>
    <definedName name="NSP_COS" localSheetId="10">#REF!</definedName>
    <definedName name="NSP_COS">#REF!</definedName>
    <definedName name="PeakKW_DEK">'[3]Partner KW'!$B$16:$M$16</definedName>
    <definedName name="PeakKW_DEO">'[3]Partner KW'!$B$18:$M$18</definedName>
    <definedName name="PeakKW_DEOK">'[3]Partner KW'!$B$13:$M$13</definedName>
    <definedName name="PG1_Support_Corrections">'11-Corrections'!$A$1:$G$31</definedName>
    <definedName name="_xlnm.Print_Area" localSheetId="12">'11-Corrections'!$A$1:$G$35</definedName>
    <definedName name="_xlnm.Print_Area" localSheetId="13">'12 -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'5-Return'!$A$1:$J$46</definedName>
    <definedName name="_xlnm.Print_Area" localSheetId="7">'6a - True-up Interest Rate'!$A$1:$H$32</definedName>
    <definedName name="_xlnm.Print_Area" localSheetId="9">'8-Construction Debt'!$A$1:$I$60</definedName>
    <definedName name="_xlnm.Print_Area" localSheetId="10">'9- Cost of Debt True-up'!$A$1:$G$38</definedName>
    <definedName name="Print1" localSheetId="3">#REF!</definedName>
    <definedName name="Print1" localSheetId="10">#REF!</definedName>
    <definedName name="Print1">#REF!</definedName>
    <definedName name="Print3" localSheetId="3">#REF!</definedName>
    <definedName name="Print3" localSheetId="10">#REF!</definedName>
    <definedName name="Print3">#REF!</definedName>
    <definedName name="Print4" localSheetId="3">#REF!</definedName>
    <definedName name="Print4" localSheetId="10">#REF!</definedName>
    <definedName name="Print4">#REF!</definedName>
    <definedName name="Print5" localSheetId="3">#REF!</definedName>
    <definedName name="Print5" localSheetId="10">#REF!</definedName>
    <definedName name="Print5">#REF!</definedName>
    <definedName name="ProjIDList" localSheetId="3">#REF!</definedName>
    <definedName name="ProjIDList" localSheetId="10">#REF!</definedName>
    <definedName name="ProjIDList">#REF!</definedName>
    <definedName name="PSCo_COS" localSheetId="3">#REF!</definedName>
    <definedName name="PSCo_COS" localSheetId="10">#REF!</definedName>
    <definedName name="PSCo_COS">#REF!</definedName>
    <definedName name="q_MTEP06_App_AB_Facility" localSheetId="3">#REF!</definedName>
    <definedName name="q_MTEP06_App_AB_Facility" localSheetId="10">#REF!</definedName>
    <definedName name="q_MTEP06_App_AB_Facility">#REF!</definedName>
    <definedName name="q_MTEP06_App_AB_Projects" localSheetId="3">#REF!</definedName>
    <definedName name="q_MTEP06_App_AB_Projects" localSheetId="10">#REF!</definedName>
    <definedName name="q_MTEP06_App_AB_Projects">#REF!</definedName>
    <definedName name="revreq" localSheetId="3">#REF!</definedName>
    <definedName name="revreq" localSheetId="10">#REF!</definedName>
    <definedName name="revreq">#REF!</definedName>
    <definedName name="ROE">#REF!</definedName>
    <definedName name="solver_adj" localSheetId="9" hidden="1">'8-Construction Debt'!#REF!</definedName>
    <definedName name="solver_adj" localSheetId="10" hidden="1">'9- Cost of Debt True-up'!#REF!</definedName>
    <definedName name="solver_cvg" localSheetId="9" hidden="1">0.0001</definedName>
    <definedName name="solver_cvg" localSheetId="10" hidden="1">0.0001</definedName>
    <definedName name="solver_drv" localSheetId="9" hidden="1">1</definedName>
    <definedName name="solver_drv" localSheetId="10" hidden="1">1</definedName>
    <definedName name="solver_eng" localSheetId="9" hidden="1">1</definedName>
    <definedName name="solver_eng" localSheetId="10" hidden="1">1</definedName>
    <definedName name="solver_est" localSheetId="9" hidden="1">1</definedName>
    <definedName name="solver_est" localSheetId="10" hidden="1">1</definedName>
    <definedName name="solver_itr" localSheetId="9" hidden="1">2147483647</definedName>
    <definedName name="solver_itr" localSheetId="10" hidden="1">2147483647</definedName>
    <definedName name="solver_mip" localSheetId="9" hidden="1">2147483647</definedName>
    <definedName name="solver_mip" localSheetId="10" hidden="1">2147483647</definedName>
    <definedName name="solver_mni" localSheetId="9" hidden="1">30</definedName>
    <definedName name="solver_mni" localSheetId="10" hidden="1">30</definedName>
    <definedName name="solver_mrt" localSheetId="9" hidden="1">0.075</definedName>
    <definedName name="solver_mrt" localSheetId="10" hidden="1">0.075</definedName>
    <definedName name="solver_msl" localSheetId="9" hidden="1">2</definedName>
    <definedName name="solver_msl" localSheetId="10" hidden="1">2</definedName>
    <definedName name="solver_neg" localSheetId="9" hidden="1">1</definedName>
    <definedName name="solver_neg" localSheetId="10" hidden="1">1</definedName>
    <definedName name="solver_nod" localSheetId="9" hidden="1">2147483647</definedName>
    <definedName name="solver_nod" localSheetId="10" hidden="1">2147483647</definedName>
    <definedName name="solver_num" localSheetId="9" hidden="1">0</definedName>
    <definedName name="solver_num" localSheetId="10" hidden="1">0</definedName>
    <definedName name="solver_nwt" localSheetId="9" hidden="1">1</definedName>
    <definedName name="solver_nwt" localSheetId="10" hidden="1">1</definedName>
    <definedName name="solver_opt" localSheetId="9" hidden="1">'8-Construction Debt'!#REF!</definedName>
    <definedName name="solver_opt" localSheetId="10" hidden="1">'9- Cost of Debt True-up'!#REF!</definedName>
    <definedName name="solver_pre" localSheetId="9" hidden="1">0.000001</definedName>
    <definedName name="solver_pre" localSheetId="10" hidden="1">0.000001</definedName>
    <definedName name="solver_rbv" localSheetId="9" hidden="1">1</definedName>
    <definedName name="solver_rbv" localSheetId="10" hidden="1">1</definedName>
    <definedName name="solver_rlx" localSheetId="9" hidden="1">2</definedName>
    <definedName name="solver_rlx" localSheetId="10" hidden="1">2</definedName>
    <definedName name="solver_rsd" localSheetId="9" hidden="1">0</definedName>
    <definedName name="solver_rsd" localSheetId="10" hidden="1">0</definedName>
    <definedName name="solver_scl" localSheetId="9" hidden="1">1</definedName>
    <definedName name="solver_scl" localSheetId="10" hidden="1">1</definedName>
    <definedName name="solver_sho" localSheetId="9" hidden="1">2</definedName>
    <definedName name="solver_sho" localSheetId="10" hidden="1">2</definedName>
    <definedName name="solver_ssz" localSheetId="9" hidden="1">100</definedName>
    <definedName name="solver_ssz" localSheetId="10" hidden="1">100</definedName>
    <definedName name="solver_tim" localSheetId="9" hidden="1">2147483647</definedName>
    <definedName name="solver_tim" localSheetId="10" hidden="1">2147483647</definedName>
    <definedName name="solver_tol" localSheetId="9" hidden="1">0.01</definedName>
    <definedName name="solver_tol" localSheetId="10" hidden="1">0.01</definedName>
    <definedName name="solver_typ" localSheetId="9" hidden="1">3</definedName>
    <definedName name="solver_typ" localSheetId="10" hidden="1">3</definedName>
    <definedName name="solver_val" localSheetId="9" hidden="1">200000000</definedName>
    <definedName name="solver_val" localSheetId="10" hidden="1">200000000</definedName>
    <definedName name="solver_ver" localSheetId="9" hidden="1">3</definedName>
    <definedName name="solver_ver" localSheetId="10" hidden="1">3</definedName>
    <definedName name="SPS_COS" localSheetId="3">#REF!</definedName>
    <definedName name="SPS_COS" localSheetId="10">#REF!</definedName>
    <definedName name="SPS_COS">#REF!</definedName>
    <definedName name="taxcalc" localSheetId="3">#REF!</definedName>
    <definedName name="taxcalc" localSheetId="10">#REF!</definedName>
    <definedName name="taxcalc">#REF!</definedName>
    <definedName name="Tota_Deferred" localSheetId="3">#REF!</definedName>
    <definedName name="Tota_Deferred" localSheetId="10">#REF!</definedName>
    <definedName name="Tota_Deferred">#REF!</definedName>
    <definedName name="tp">#REF!</definedName>
    <definedName name="Workpaper">#REF!</definedName>
    <definedName name="WS">'[1]Actual Gross Rev Req'!$M$194</definedName>
    <definedName name="Xcel" localSheetId="3">'[5]Data Entry and Forecaster'!#REF!</definedName>
    <definedName name="Xcel" localSheetId="10">'[5]Data Entry and Forecaster'!#REF!</definedName>
    <definedName name="Xcel">'[5]Data Entry and Forecaster'!#REF!</definedName>
    <definedName name="Xcel_COS" localSheetId="3">#REF!</definedName>
    <definedName name="Xcel_COS" localSheetId="10">#REF!</definedName>
    <definedName name="Xcel_COS">#REF!</definedName>
    <definedName name="Z_3768C7C8_9953_11DA_B318_000FB55D51DC_.wvu.PrintArea" localSheetId="13" hidden="1">'12 - Revenue Credits'!$A$5:$E$30</definedName>
    <definedName name="Z_3BDD6235_B127_4929_8311_BDAF7BB89818_.wvu.PrintArea" localSheetId="13" hidden="1">'12 - Revenue Credits'!$A$5:$E$30</definedName>
    <definedName name="Z_63AFAF34_E340_4B5E_A289_FFB7051CA9B6_.wvu.PrintArea" localSheetId="12" hidden="1">'11-Corrections'!$A$1:$G$31</definedName>
    <definedName name="Z_63AFAF34_E340_4B5E_A289_FFB7051CA9B6_.wvu.PrintArea" localSheetId="13"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5" hidden="1">'5-Return'!$A$1:$L$46</definedName>
    <definedName name="Z_63AFAF34_E340_4B5E_A289_FFB7051CA9B6_.wvu.PrintArea" localSheetId="7" hidden="1">'6a - True-up Interest Rate'!$A$1:$H$32</definedName>
    <definedName name="Z_63AFAF34_E340_4B5E_A289_FFB7051CA9B6_.wvu.PrintArea" localSheetId="9" hidden="1">'8-Construction Debt'!$A$1:$J$60</definedName>
    <definedName name="Z_63AFAF34_E340_4B5E_A289_FFB7051CA9B6_.wvu.PrintArea" localSheetId="10" hidden="1">'9- Cost of Debt True-up'!$A$1:$G$38</definedName>
    <definedName name="Z_B0241363_5C8A_48FC_89A6_56D55586BABE_.wvu.PrintArea" localSheetId="13" hidden="1">'12 - Revenue Credits'!$A$5:$E$30</definedName>
    <definedName name="Z_C0EA0F9F_7310_4201_82C9_7B8FC8DB9137_.wvu.PrintArea" localSheetId="13"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9" hidden="1">'8-Construction Debt'!$A$1:$K$57</definedName>
    <definedName name="Z_F04A2B9A_C6FE_4FEB_AD1E_2CF9AC309BE4_.wvu.PrintArea" localSheetId="10" hidden="1">'9- Cost of Debt True-up'!$A$1:$K$38</definedName>
    <definedName name="Z_F04A2B9A_C6FE_4FEB_AD1E_2CF9AC309BE4_.wvu.PrintArea" localSheetId="0" hidden="1">'Attachment H-26'!$A$1:$K$246</definedName>
  </definedNames>
  <calcPr calcId="162913"/>
  <customWorkbookViews>
    <customWorkbookView name="Jim Martin - Personal View" guid="{63AFAF34-E340-4B5E-A289-FFB7051CA9B6}" mergeInterval="0" personalView="1" maximized="1" windowWidth="1600" windowHeight="654" tabRatio="829" activeSheetId="1"/>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workbook>
</file>

<file path=xl/calcChain.xml><?xml version="1.0" encoding="utf-8"?>
<calcChain xmlns="http://schemas.openxmlformats.org/spreadsheetml/2006/main">
  <c r="T59" i="2" l="1"/>
  <c r="A9" i="7" l="1"/>
  <c r="B36" i="1" l="1"/>
  <c r="C42" i="5" l="1"/>
  <c r="J215" i="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F24" i="14"/>
  <c r="E14" i="14" l="1"/>
  <c r="E25" i="14"/>
  <c r="E27" i="14" s="1"/>
  <c r="F21" i="14"/>
  <c r="F20" i="14"/>
  <c r="F19" i="14"/>
  <c r="F18" i="14"/>
  <c r="F17" i="14"/>
  <c r="F9" i="14"/>
  <c r="F10" i="14"/>
  <c r="F11" i="14"/>
  <c r="F12" i="14"/>
  <c r="F13" i="14"/>
  <c r="F8" i="14"/>
  <c r="D14" i="14"/>
  <c r="A8" i="14"/>
  <c r="A9" i="14" s="1"/>
  <c r="A10" i="14" s="1"/>
  <c r="A11" i="14" s="1"/>
  <c r="A12" i="14" s="1"/>
  <c r="A13" i="14" s="1"/>
  <c r="A14" i="14" s="1"/>
  <c r="D22" i="14"/>
  <c r="E11" i="9"/>
  <c r="D11" i="9"/>
  <c r="A16" i="14" l="1"/>
  <c r="A17" i="14" s="1"/>
  <c r="A18" i="14" s="1"/>
  <c r="A19" i="14" s="1"/>
  <c r="A20" i="14" s="1"/>
  <c r="A21" i="14" s="1"/>
  <c r="A22" i="14" s="1"/>
  <c r="F22" i="14"/>
  <c r="F14" i="14"/>
  <c r="I209" i="1" l="1"/>
  <c r="A23" i="14"/>
  <c r="A24" i="14" s="1"/>
  <c r="A25" i="14" s="1"/>
  <c r="C25" i="14"/>
  <c r="A3" i="14"/>
  <c r="A27" i="14" l="1"/>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E59" i="5"/>
  <c r="E60" i="5"/>
  <c r="E61" i="5"/>
  <c r="E62" i="5"/>
  <c r="E63" i="5"/>
  <c r="E64" i="5"/>
  <c r="E65" i="5"/>
  <c r="D66" i="5"/>
  <c r="A73" i="5" l="1"/>
  <c r="A72" i="5"/>
  <c r="A71" i="5"/>
  <c r="B44" i="1"/>
  <c r="B43" i="1"/>
  <c r="B42" i="1"/>
  <c r="B41" i="1"/>
  <c r="B40" i="1"/>
  <c r="B39" i="1"/>
  <c r="B38" i="1"/>
  <c r="A30" i="1"/>
  <c r="C31" i="1" s="1"/>
  <c r="A31" i="1" l="1"/>
  <c r="A27" i="4"/>
  <c r="A29" i="4" s="1"/>
  <c r="A31" i="4" s="1"/>
  <c r="K25" i="4"/>
  <c r="E25" i="4"/>
  <c r="K21" i="4"/>
  <c r="E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s="1"/>
  <c r="A69" i="2" l="1"/>
  <c r="L69" i="2" s="1"/>
  <c r="E29" i="4"/>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14" i="11"/>
  <c r="D20" i="1" l="1"/>
  <c r="I20" i="1" s="1"/>
  <c r="D38" i="4"/>
  <c r="K17" i="4" s="1"/>
  <c r="K29" i="4" s="1"/>
  <c r="F24" i="4"/>
  <c r="G24" i="4" s="1"/>
  <c r="F23" i="4"/>
  <c r="G23" i="4" s="1"/>
  <c r="F17" i="4"/>
  <c r="G17" i="4" s="1"/>
  <c r="F19" i="4"/>
  <c r="G19" i="4" s="1"/>
  <c r="F20" i="4"/>
  <c r="G20" i="4" s="1"/>
  <c r="G44" i="10"/>
  <c r="G51" i="10" s="1"/>
  <c r="I44" i="10"/>
  <c r="I51" i="10" s="1"/>
  <c r="H21" i="10"/>
  <c r="G25" i="4" l="1"/>
  <c r="I17" i="4"/>
  <c r="G21" i="4"/>
  <c r="F29" i="4"/>
  <c r="F24" i="10"/>
  <c r="G24" i="10" s="1"/>
  <c r="F23" i="10"/>
  <c r="G23" i="10" s="1"/>
  <c r="H25" i="10"/>
  <c r="G29" i="4" l="1"/>
  <c r="F25" i="10"/>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F17" i="7" l="1"/>
  <c r="A3" i="12"/>
  <c r="G34" i="12"/>
  <c r="H34" i="12" s="1"/>
  <c r="G33" i="12"/>
  <c r="H33" i="12" s="1"/>
  <c r="H32" i="12"/>
  <c r="G32" i="12"/>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F42" i="5"/>
  <c r="D86" i="1" s="1"/>
  <c r="F41" i="7" l="1"/>
  <c r="F42" i="7" s="1"/>
  <c r="F43" i="7" s="1"/>
  <c r="F44" i="7" s="1"/>
  <c r="F45" i="7" s="1"/>
  <c r="F46" i="7" s="1"/>
  <c r="F47" i="7" s="1"/>
  <c r="F48" i="7" s="1"/>
  <c r="F49" i="7" s="1"/>
  <c r="F50" i="7" s="1"/>
  <c r="F51" i="7" s="1"/>
  <c r="F52" i="7" s="1"/>
  <c r="F38" i="7"/>
  <c r="I72" i="5"/>
  <c r="I71" i="5"/>
  <c r="D125" i="1" l="1"/>
  <c r="E13" i="9"/>
  <c r="E15" i="9" s="1"/>
  <c r="D15" i="9" l="1"/>
  <c r="F15" i="9" s="1"/>
  <c r="D127" i="1" s="1"/>
  <c r="I78" i="1"/>
  <c r="I73" i="5" l="1"/>
  <c r="D90" i="1" s="1"/>
  <c r="D73" i="5"/>
  <c r="G90" i="1" l="1"/>
  <c r="I90" i="1" s="1"/>
  <c r="F5" i="2" l="1"/>
  <c r="F50" i="2" s="1"/>
  <c r="P50" i="2" s="1"/>
  <c r="F49" i="2"/>
  <c r="P49" i="2" s="1"/>
  <c r="F48" i="2"/>
  <c r="P48" i="2" s="1"/>
  <c r="I128" i="1"/>
  <c r="E17" i="3"/>
  <c r="E21" i="3" s="1"/>
  <c r="E28" i="3" s="1"/>
  <c r="A7" i="3"/>
  <c r="A10" i="3" s="1"/>
  <c r="A11" i="3" s="1"/>
  <c r="A12" i="3" s="1"/>
  <c r="A13" i="3" s="1"/>
  <c r="A14" i="3" s="1"/>
  <c r="H42" i="5"/>
  <c r="D88" i="1" s="1"/>
  <c r="G42" i="5"/>
  <c r="D87" i="1" s="1"/>
  <c r="E42" i="5"/>
  <c r="D85" i="1" s="1"/>
  <c r="D153" i="1"/>
  <c r="U68" i="2"/>
  <c r="D3" i="8"/>
  <c r="A9" i="6"/>
  <c r="A11" i="6" s="1"/>
  <c r="A12" i="6" s="1"/>
  <c r="A13" i="6" s="1"/>
  <c r="D14" i="1"/>
  <c r="I42" i="5"/>
  <c r="D89" i="1" s="1"/>
  <c r="I138" i="1"/>
  <c r="F128" i="1"/>
  <c r="D42" i="5"/>
  <c r="D93" i="1" s="1"/>
  <c r="I93" i="1" s="1"/>
  <c r="H23" i="5"/>
  <c r="D101" i="1" s="1"/>
  <c r="G23" i="5"/>
  <c r="D100" i="1" s="1"/>
  <c r="F23" i="5"/>
  <c r="D96"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I80" i="1" s="1"/>
  <c r="K109" i="1"/>
  <c r="K174" i="1"/>
  <c r="K215" i="1"/>
  <c r="K55" i="1"/>
  <c r="A14" i="6" l="1"/>
  <c r="A15" i="6" s="1"/>
  <c r="A19" i="6" s="1"/>
  <c r="A20" i="6" s="1"/>
  <c r="A21" i="6" s="1"/>
  <c r="A22" i="6" s="1"/>
  <c r="A27" i="6" s="1"/>
  <c r="A28" i="6" s="1"/>
  <c r="A29" i="6" s="1"/>
  <c r="A30" i="6" s="1"/>
  <c r="A31" i="6" s="1"/>
  <c r="A32" i="6" s="1"/>
  <c r="A33" i="6" s="1"/>
  <c r="A34" i="6" s="1"/>
  <c r="A35" i="6" s="1"/>
  <c r="A36" i="6" s="1"/>
  <c r="A37" i="6" s="1"/>
  <c r="A38" i="6" s="1"/>
  <c r="A39" i="6" s="1"/>
  <c r="A40" i="6" s="1"/>
  <c r="A16" i="3"/>
  <c r="A17" i="3" s="1"/>
  <c r="D157" i="1"/>
  <c r="D164" i="1" s="1"/>
  <c r="A16" i="1"/>
  <c r="A17" i="1" s="1"/>
  <c r="A193" i="1"/>
  <c r="A194" i="1" s="1"/>
  <c r="A195" i="1" s="1"/>
  <c r="A196" i="1" s="1"/>
  <c r="A126" i="1"/>
  <c r="A127" i="1" s="1"/>
  <c r="A128" i="1" s="1"/>
  <c r="A129" i="1" s="1"/>
  <c r="A130" i="1" s="1"/>
  <c r="A66" i="1"/>
  <c r="A67" i="1" s="1"/>
  <c r="A68" i="1" s="1"/>
  <c r="E27" i="3"/>
  <c r="A18" i="3"/>
  <c r="B25" i="3" s="1"/>
  <c r="B21" i="3"/>
  <c r="A131" i="1" l="1"/>
  <c r="A132" i="1" s="1"/>
  <c r="A133" i="1" s="1"/>
  <c r="A135" i="1" s="1"/>
  <c r="A136" i="1" s="1"/>
  <c r="C196" i="1"/>
  <c r="A18" i="1"/>
  <c r="A20" i="1" s="1"/>
  <c r="A199" i="1"/>
  <c r="A200" i="1" s="1"/>
  <c r="A201" i="1" s="1"/>
  <c r="A202" i="1" s="1"/>
  <c r="A70" i="1"/>
  <c r="A71" i="1" s="1"/>
  <c r="C78" i="1" s="1"/>
  <c r="A19" i="3"/>
  <c r="A20" i="3" s="1"/>
  <c r="A21" i="3" s="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G124" i="1" l="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I127"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I24" i="4" l="1"/>
  <c r="H25" i="4" l="1"/>
  <c r="I20" i="4" l="1"/>
  <c r="I23" i="4" l="1"/>
  <c r="I25" i="4" l="1"/>
  <c r="D92" i="1"/>
  <c r="I92" i="1" l="1"/>
  <c r="J23" i="5" l="1"/>
  <c r="D74" i="1" s="1"/>
  <c r="I74" i="1" s="1"/>
  <c r="E58" i="5"/>
  <c r="E57" i="5"/>
  <c r="E56" i="5"/>
  <c r="E55" i="5"/>
  <c r="E54" i="5"/>
  <c r="E53" i="5"/>
  <c r="I23" i="5" l="1"/>
  <c r="D72" i="1" s="1"/>
  <c r="D75" i="1" s="1"/>
  <c r="E66" i="5"/>
  <c r="C66" i="5" s="1"/>
  <c r="D23" i="5"/>
  <c r="D67" i="1" s="1"/>
  <c r="C23" i="5"/>
  <c r="D65" i="1" s="1"/>
  <c r="I183" i="1" l="1"/>
  <c r="D79" i="1"/>
  <c r="D68" i="1"/>
  <c r="D81" i="1"/>
  <c r="I67" i="1"/>
  <c r="I81" i="1" s="1"/>
  <c r="D82" i="1" l="1"/>
  <c r="I186" i="1"/>
  <c r="I188" i="1" s="1"/>
  <c r="G96" i="1" l="1"/>
  <c r="I96" i="1" s="1"/>
  <c r="G72" i="1"/>
  <c r="I72" i="1" s="1"/>
  <c r="G15" i="1"/>
  <c r="G131" i="1"/>
  <c r="G136" i="1"/>
  <c r="G17" i="1"/>
  <c r="I17" i="1" s="1"/>
  <c r="G118" i="1"/>
  <c r="G126" i="1"/>
  <c r="G16" i="1"/>
  <c r="I16" i="1" s="1"/>
  <c r="G100" i="1"/>
  <c r="I100" i="1" s="1"/>
  <c r="G14" i="1"/>
  <c r="I14" i="1" s="1"/>
  <c r="G117" i="1"/>
  <c r="G65" i="1"/>
  <c r="I65" i="1" s="1"/>
  <c r="E193" i="1"/>
  <c r="G193" i="1" s="1"/>
  <c r="G196" i="1" s="1"/>
  <c r="G119" i="1"/>
  <c r="I119" i="1" s="1"/>
  <c r="I79" i="1" l="1"/>
  <c r="I75" i="1"/>
  <c r="I68" i="1"/>
  <c r="G68" i="1" s="1"/>
  <c r="G101" i="1" l="1"/>
  <c r="I101" i="1" s="1"/>
  <c r="G148" i="1"/>
  <c r="I148" i="1" s="1"/>
  <c r="G146" i="1"/>
  <c r="G149" i="1"/>
  <c r="I149" i="1" s="1"/>
  <c r="I82" i="1"/>
  <c r="G82" i="1" s="1"/>
  <c r="G164" i="1" l="1"/>
  <c r="I164" i="1" s="1"/>
  <c r="G162" i="1"/>
  <c r="H26" i="3"/>
  <c r="G89" i="1"/>
  <c r="I89" i="1" s="1"/>
  <c r="G88" i="1"/>
  <c r="I88" i="1" s="1"/>
  <c r="G86" i="1"/>
  <c r="I86" i="1" s="1"/>
  <c r="G163" i="1"/>
  <c r="I163" i="1" s="1"/>
  <c r="G87" i="1"/>
  <c r="I87" i="1" s="1"/>
  <c r="H27" i="3" l="1"/>
  <c r="H28" i="3" l="1"/>
  <c r="I28" i="3" s="1"/>
  <c r="I27" i="3"/>
  <c r="I137" i="1" l="1"/>
  <c r="I23" i="2" s="1"/>
  <c r="E22" i="3" l="1"/>
  <c r="E26" i="3" s="1"/>
  <c r="I26" i="3" s="1"/>
  <c r="D162" i="1"/>
  <c r="I162" i="1" s="1"/>
  <c r="D139" i="1"/>
  <c r="I136" i="1"/>
  <c r="D150" i="1"/>
  <c r="I146" i="1"/>
  <c r="I150" i="1" s="1"/>
  <c r="I27" i="2" s="1"/>
  <c r="I126" i="1"/>
  <c r="I124" i="1"/>
  <c r="I123" i="1"/>
  <c r="I120" i="1"/>
  <c r="I118" i="1"/>
  <c r="I117" i="1"/>
  <c r="M59" i="2" l="1"/>
  <c r="M61" i="2" s="1"/>
  <c r="M69" i="2" s="1"/>
  <c r="I139" i="1"/>
  <c r="E23" i="5" l="1"/>
  <c r="D91" i="1" s="1"/>
  <c r="I130" i="1"/>
  <c r="I91" i="1" l="1"/>
  <c r="D94" i="1"/>
  <c r="I15" i="2" l="1"/>
  <c r="I16" i="2"/>
  <c r="I59" i="2" s="1"/>
  <c r="I61" i="2" s="1"/>
  <c r="I69" i="2" s="1"/>
  <c r="I94" i="1"/>
  <c r="I131" i="1"/>
  <c r="I132" i="1" s="1"/>
  <c r="I133" i="1" s="1"/>
  <c r="D132" i="1"/>
  <c r="D133" i="1" s="1"/>
  <c r="D99" i="1" s="1"/>
  <c r="D102" i="1" s="1"/>
  <c r="D104" i="1" s="1"/>
  <c r="F59" i="2" l="1"/>
  <c r="F61" i="2" s="1"/>
  <c r="F69" i="2" s="1"/>
  <c r="I24" i="2"/>
  <c r="K24" i="2" s="1"/>
  <c r="I28" i="2"/>
  <c r="K28" i="2" s="1"/>
  <c r="I99" i="1"/>
  <c r="I102" i="1" s="1"/>
  <c r="I104" i="1" s="1"/>
  <c r="I19" i="2"/>
  <c r="I20" i="2" s="1"/>
  <c r="K20" i="2" s="1"/>
  <c r="J5" i="3" l="1"/>
  <c r="J37" i="3" l="1"/>
  <c r="C40" i="6" l="1"/>
  <c r="F19" i="6" s="1"/>
  <c r="F40" i="6"/>
  <c r="F13" i="6" s="1"/>
  <c r="D40" i="6"/>
  <c r="G40" i="6"/>
  <c r="F14" i="6" s="1"/>
  <c r="F20" i="6"/>
  <c r="F12" i="6"/>
  <c r="D202" i="1" l="1"/>
  <c r="E40" i="6"/>
  <c r="E10" i="3"/>
  <c r="F11" i="6"/>
  <c r="F15" i="6" s="1"/>
  <c r="F21" i="6"/>
  <c r="H20" i="6"/>
  <c r="G203" i="1" s="1"/>
  <c r="H11" i="3" s="1"/>
  <c r="D203" i="1"/>
  <c r="E11" i="3" s="1"/>
  <c r="D204" i="1" l="1"/>
  <c r="E12" i="3" s="1"/>
  <c r="D205" i="1"/>
  <c r="E13" i="3"/>
  <c r="F22" i="6"/>
  <c r="G20" i="6" l="1"/>
  <c r="E203" i="1" s="1"/>
  <c r="G19" i="6"/>
  <c r="E202" i="1" s="1"/>
  <c r="F10" i="3" s="1"/>
  <c r="G21" i="6"/>
  <c r="I20" i="6"/>
  <c r="I203" i="1"/>
  <c r="F11" i="3"/>
  <c r="I11" i="3" s="1"/>
  <c r="E204" i="1" l="1"/>
  <c r="I21" i="6"/>
  <c r="F12" i="3" l="1"/>
  <c r="I12" i="3" s="1"/>
  <c r="I204" i="1"/>
  <c r="F23" i="14"/>
  <c r="D25" i="14"/>
  <c r="D27" i="14" l="1"/>
  <c r="F25" i="14"/>
  <c r="I211" i="1" l="1"/>
  <c r="D15" i="1" s="1"/>
  <c r="F27" i="14"/>
  <c r="D18" i="1" l="1"/>
  <c r="I15" i="1"/>
  <c r="I18" i="1" s="1"/>
  <c r="I30" i="2" s="1"/>
  <c r="I31" i="2" s="1"/>
  <c r="K31" i="2" s="1"/>
  <c r="K33" i="2" s="1"/>
  <c r="D33" i="11" l="1"/>
  <c r="D35" i="11" s="1"/>
  <c r="H19" i="6" s="1"/>
  <c r="G202" i="1" s="1"/>
  <c r="G60" i="2"/>
  <c r="H60" i="2" s="1"/>
  <c r="G63" i="2"/>
  <c r="H63" i="2" s="1"/>
  <c r="G59" i="2"/>
  <c r="H59" i="2" s="1"/>
  <c r="G64" i="2"/>
  <c r="H64" i="2" s="1"/>
  <c r="I19" i="6" l="1"/>
  <c r="I22" i="6" s="1"/>
  <c r="H10" i="3"/>
  <c r="I10" i="3" s="1"/>
  <c r="I13" i="3" s="1"/>
  <c r="I202" i="1"/>
  <c r="I205" i="1" s="1"/>
  <c r="H61" i="2"/>
  <c r="H65" i="2"/>
  <c r="E18" i="3" l="1"/>
  <c r="J14" i="3"/>
  <c r="D154" i="1"/>
  <c r="D168" i="1"/>
  <c r="I168" i="1"/>
  <c r="H69" i="2"/>
  <c r="D161" i="1" l="1"/>
  <c r="D165" i="1" s="1"/>
  <c r="D170" i="1" s="1"/>
  <c r="I25" i="3"/>
  <c r="I29" i="3" s="1"/>
  <c r="J29" i="3" s="1"/>
  <c r="J31" i="3" s="1"/>
  <c r="I40" i="2"/>
  <c r="I41" i="2" s="1"/>
  <c r="J33" i="3"/>
  <c r="I161" i="1"/>
  <c r="I165" i="1" s="1"/>
  <c r="I170" i="1" l="1"/>
  <c r="I11" i="1" s="1"/>
  <c r="I36" i="2"/>
  <c r="I37" i="2" s="1"/>
  <c r="K37" i="2" s="1"/>
  <c r="J34" i="3"/>
  <c r="J35" i="3" s="1"/>
  <c r="J36" i="3" s="1"/>
  <c r="J38" i="3" s="1"/>
  <c r="K41" i="2"/>
  <c r="K43" i="2" l="1"/>
  <c r="J59" i="2" s="1"/>
  <c r="K59" i="2" s="1"/>
  <c r="P59" i="2"/>
  <c r="P63" i="2"/>
  <c r="P60" i="2"/>
  <c r="P64" i="2"/>
  <c r="J64" i="2"/>
  <c r="K64" i="2" s="1"/>
  <c r="N64" i="2" s="1"/>
  <c r="J60" i="2"/>
  <c r="K60" i="2" s="1"/>
  <c r="N60" i="2" s="1"/>
  <c r="J63" i="2"/>
  <c r="K63" i="2" s="1"/>
  <c r="I43" i="2"/>
  <c r="P65" i="2" l="1"/>
  <c r="D32" i="1" s="1"/>
  <c r="Q60" i="2"/>
  <c r="S60" i="2"/>
  <c r="K61" i="2"/>
  <c r="N59" i="2"/>
  <c r="K65" i="2"/>
  <c r="N63" i="2"/>
  <c r="S64" i="2"/>
  <c r="Q64" i="2"/>
  <c r="P61" i="2"/>
  <c r="N65" i="2" l="1"/>
  <c r="S63" i="2"/>
  <c r="S65" i="2" s="1"/>
  <c r="Q63" i="2"/>
  <c r="Q65" i="2" s="1"/>
  <c r="Q59" i="2"/>
  <c r="Q61" i="2" s="1"/>
  <c r="Q69" i="2" s="1"/>
  <c r="N61" i="2"/>
  <c r="S59" i="2"/>
  <c r="K69" i="2"/>
  <c r="P69" i="2"/>
  <c r="D49" i="1"/>
  <c r="N69" i="2" l="1"/>
  <c r="U59" i="2"/>
  <c r="H19" i="4" s="1"/>
  <c r="S61" i="2"/>
  <c r="S69" i="2" s="1"/>
  <c r="I19" i="4" l="1"/>
  <c r="I21" i="4" s="1"/>
  <c r="I29" i="4" s="1"/>
  <c r="H21" i="4"/>
  <c r="H29" i="4" s="1"/>
  <c r="D9" i="7" s="1"/>
  <c r="G9" i="7" s="1"/>
  <c r="D23" i="7" l="1"/>
  <c r="I56" i="7"/>
  <c r="D24" i="7" l="1"/>
  <c r="H23" i="7"/>
  <c r="K23" i="7" s="1"/>
  <c r="D25" i="7" l="1"/>
  <c r="H24" i="7"/>
  <c r="K24" i="7" s="1"/>
  <c r="D26" i="7" l="1"/>
  <c r="H25" i="7"/>
  <c r="K25" i="7" s="1"/>
  <c r="H26" i="7" l="1"/>
  <c r="K26" i="7" s="1"/>
  <c r="D27" i="7"/>
  <c r="D28" i="7" l="1"/>
  <c r="H27" i="7"/>
  <c r="K27" i="7" s="1"/>
  <c r="H28" i="7" l="1"/>
  <c r="K28" i="7" s="1"/>
  <c r="D29" i="7"/>
  <c r="H29" i="7" l="1"/>
  <c r="K29" i="7" s="1"/>
  <c r="D30" i="7"/>
  <c r="D31" i="7" l="1"/>
  <c r="H30" i="7"/>
  <c r="K30" i="7" l="1"/>
  <c r="D32" i="7"/>
  <c r="H31" i="7"/>
  <c r="K31" i="7" s="1"/>
  <c r="D33" i="7" l="1"/>
  <c r="H32" i="7"/>
  <c r="K32" i="7" s="1"/>
  <c r="D34" i="7" l="1"/>
  <c r="H34" i="7" s="1"/>
  <c r="K34" i="7" s="1"/>
  <c r="H33" i="7"/>
  <c r="K33" i="7" s="1"/>
  <c r="K35" i="7" l="1"/>
  <c r="D38" i="7" s="1"/>
  <c r="H38" i="7" s="1"/>
  <c r="K38" i="7" s="1"/>
  <c r="D41" i="7" s="1"/>
  <c r="H35" i="7"/>
  <c r="I41" i="7" l="1"/>
  <c r="I42" i="7" s="1"/>
  <c r="I43" i="7" s="1"/>
  <c r="I44" i="7" s="1"/>
  <c r="I45" i="7" s="1"/>
  <c r="I46" i="7" s="1"/>
  <c r="I47" i="7" s="1"/>
  <c r="I48" i="7" s="1"/>
  <c r="I49" i="7" s="1"/>
  <c r="I50" i="7" s="1"/>
  <c r="I51" i="7" s="1"/>
  <c r="I52" i="7" s="1"/>
  <c r="H41" i="7"/>
  <c r="K41" i="7" l="1"/>
  <c r="D42" i="7" s="1"/>
  <c r="H42" i="7" s="1"/>
  <c r="I55" i="7"/>
  <c r="I57" i="7" s="1"/>
  <c r="J31" i="4" s="1"/>
  <c r="J23" i="4" s="1"/>
  <c r="J17" i="4" l="1"/>
  <c r="J24" i="4"/>
  <c r="L24" i="4" s="1"/>
  <c r="T64" i="2" s="1"/>
  <c r="U64" i="2" s="1"/>
  <c r="J19" i="4"/>
  <c r="J20" i="4"/>
  <c r="L20" i="4" s="1"/>
  <c r="T60" i="2" s="1"/>
  <c r="T61" i="2" s="1"/>
  <c r="K42" i="7"/>
  <c r="D43" i="7" s="1"/>
  <c r="K43" i="7" s="1"/>
  <c r="D44" i="7" s="1"/>
  <c r="L17" i="4"/>
  <c r="J25" i="4"/>
  <c r="L23" i="4"/>
  <c r="J21" i="4" l="1"/>
  <c r="J29" i="4" s="1"/>
  <c r="I21" i="1" s="1"/>
  <c r="I23" i="1" s="1"/>
  <c r="D29" i="1" s="1"/>
  <c r="U60" i="2"/>
  <c r="U61" i="2" s="1"/>
  <c r="D30" i="1" s="1"/>
  <c r="D31" i="1" s="1"/>
  <c r="D33" i="1" s="1"/>
  <c r="D38" i="1" s="1"/>
  <c r="H43" i="7"/>
  <c r="L19" i="4"/>
  <c r="L21" i="4" s="1"/>
  <c r="T63" i="2"/>
  <c r="L25" i="4"/>
  <c r="K44" i="7"/>
  <c r="D45" i="7" s="1"/>
  <c r="H44" i="7"/>
  <c r="L29" i="4" l="1"/>
  <c r="D48" i="1"/>
  <c r="D50" i="1" s="1"/>
  <c r="D44" i="1"/>
  <c r="D43" i="1"/>
  <c r="D41" i="1"/>
  <c r="D39" i="1"/>
  <c r="D42" i="1"/>
  <c r="D40" i="1"/>
  <c r="K45" i="7"/>
  <c r="D46" i="7" s="1"/>
  <c r="H45" i="7"/>
  <c r="T65" i="2"/>
  <c r="T69" i="2" s="1"/>
  <c r="U63" i="2"/>
  <c r="U65" i="2" s="1"/>
  <c r="U69" i="2" s="1"/>
  <c r="K46" i="7" l="1"/>
  <c r="D47" i="7" s="1"/>
  <c r="H46" i="7"/>
  <c r="K47" i="7" l="1"/>
  <c r="D48" i="7" s="1"/>
  <c r="H47" i="7"/>
  <c r="K48" i="7" l="1"/>
  <c r="D49" i="7" s="1"/>
  <c r="H48" i="7"/>
  <c r="H49" i="7" l="1"/>
  <c r="K49" i="7"/>
  <c r="D50" i="7" s="1"/>
  <c r="K50" i="7" l="1"/>
  <c r="D51" i="7" s="1"/>
  <c r="H50" i="7"/>
  <c r="K51" i="7" l="1"/>
  <c r="D52" i="7" s="1"/>
  <c r="H51" i="7"/>
  <c r="K52" i="7" l="1"/>
  <c r="H52" i="7"/>
  <c r="H53" i="7" s="1"/>
</calcChain>
</file>

<file path=xl/sharedStrings.xml><?xml version="1.0" encoding="utf-8"?>
<sst xmlns="http://schemas.openxmlformats.org/spreadsheetml/2006/main" count="1294" uniqueCount="862">
  <si>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</si>
  <si>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</si>
  <si>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</si>
  <si>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</si>
  <si>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</si>
  <si>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</si>
  <si>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</si>
  <si>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</si>
  <si>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</si>
  <si>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</si>
  <si>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</si>
  <si>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</si>
  <si>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</si>
  <si>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</si>
  <si>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</si>
  <si>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</si>
  <si>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</si>
  <si>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</si>
  <si>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</si>
  <si>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</si>
  <si>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</si>
  <si>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</si>
  <si>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</si>
  <si>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</si>
  <si>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</si>
  <si>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</si>
  <si>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</si>
  <si>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</si>
  <si>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</si>
  <si>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</si>
  <si>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</si>
  <si>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</si>
  <si>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</si>
  <si>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</si>
  <si>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</si>
  <si>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</si>
  <si>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</si>
  <si>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</si>
  <si>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</si>
  <si>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</si>
  <si>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</si>
  <si>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</si>
  <si>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</si>
  <si>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</si>
  <si>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</si>
  <si>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</si>
  <si>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</si>
  <si>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</si>
  <si>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</si>
  <si>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</si>
  <si>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</si>
  <si>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</si>
  <si>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</si>
  <si>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</si>
  <si>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</si>
  <si>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</si>
  <si>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</si>
  <si>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</si>
  <si>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</si>
  <si>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</si>
  <si>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</si>
  <si>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</si>
  <si>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</si>
  <si>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</si>
  <si>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</si>
  <si>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</si>
  <si>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</si>
  <si>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</si>
  <si>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</si>
  <si>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</si>
  <si>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</si>
  <si>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</si>
  <si>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</si>
  <si>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</si>
  <si>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</si>
  <si>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</si>
  <si>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</si>
  <si>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</si>
  <si>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</si>
  <si>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</si>
  <si>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</si>
  <si>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</si>
  <si>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</si>
  <si>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</si>
  <si>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</si>
  <si>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</si>
  <si>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</si>
  <si>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</si>
  <si>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</si>
  <si>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</si>
  <si>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</si>
  <si>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</si>
  <si>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</si>
  <si>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</si>
  <si>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</si>
  <si>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</si>
  <si>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</si>
  <si>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</si>
  <si>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</si>
  <si>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</si>
  <si>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</si>
  <si>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</si>
  <si>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</si>
  <si>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</si>
  <si>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</si>
  <si>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</si>
  <si>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</si>
  <si>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</si>
  <si>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</si>
  <si>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</si>
  <si>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</si>
  <si>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</si>
  <si>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</si>
  <si>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</si>
  <si>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</si>
  <si>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</si>
  <si>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</si>
  <si>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</si>
  <si>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</si>
  <si>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</si>
  <si>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</si>
  <si>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</si>
  <si>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</si>
  <si>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</si>
  <si>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</si>
  <si>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</si>
  <si>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</si>
  <si>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</si>
  <si>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</si>
  <si>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</si>
  <si>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</si>
  <si>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</si>
  <si>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</si>
  <si>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</si>
  <si>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</si>
  <si>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</si>
  <si>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</si>
  <si>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</si>
  <si>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</si>
  <si>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</si>
  <si>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</si>
  <si>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</si>
  <si>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</si>
  <si>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</si>
  <si>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</si>
  <si>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</si>
  <si>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</si>
  <si>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</si>
  <si>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</si>
  <si>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</si>
  <si>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</si>
  <si>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</si>
  <si>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</si>
  <si>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</si>
  <si>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</si>
  <si>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</si>
  <si>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</si>
  <si>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</si>
  <si>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</si>
  <si>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</si>
  <si>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</si>
  <si>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</si>
  <si>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</si>
  <si>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</si>
  <si>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</si>
  <si>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</si>
  <si>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</si>
  <si>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</si>
  <si>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</si>
  <si>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</si>
  <si>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</si>
  <si>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</si>
  <si>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</si>
  <si>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</si>
  <si>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</si>
  <si>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</si>
  <si>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</si>
  <si>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</si>
  <si>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</si>
  <si>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</si>
  <si>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</si>
  <si>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</si>
  <si>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</si>
  <si>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</si>
  <si>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</si>
  <si>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</si>
  <si>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</si>
  <si>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</si>
  <si>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</si>
  <si>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</si>
  <si>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</si>
  <si>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</si>
  <si>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</si>
  <si>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</si>
  <si>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</si>
  <si>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</si>
  <si>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</si>
  <si>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</si>
  <si>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</si>
  <si>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</si>
  <si>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</si>
  <si>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</si>
  <si>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</si>
  <si>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</si>
  <si>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</si>
  <si>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</si>
  <si>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</si>
  <si>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</si>
  <si>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</si>
  <si>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</si>
  <si>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</si>
  <si>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</si>
  <si>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</si>
  <si>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</si>
  <si>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</si>
  <si>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</si>
  <si>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</si>
  <si>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</si>
  <si>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</si>
  <si>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</si>
  <si>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</si>
  <si>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</si>
  <si>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</si>
  <si>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</si>
  <si>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</si>
  <si>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</si>
  <si>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</si>
  <si>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</si>
  <si>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</si>
  <si>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</si>
  <si>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</si>
  <si>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</si>
  <si>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</si>
  <si>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</si>
  <si>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</si>
  <si>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</si>
  <si>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</si>
  <si>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</si>
  <si>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</si>
  <si>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</si>
  <si>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</si>
  <si>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</si>
  <si>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</si>
  <si>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</si>
  <si>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</si>
  <si>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</si>
  <si>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</si>
  <si>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</si>
  <si>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</si>
  <si>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</si>
  <si>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</si>
  <si>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</si>
  <si>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</si>
  <si>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</si>
  <si>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</si>
  <si>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</si>
  <si>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</si>
  <si>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</si>
  <si>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</si>
  <si>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</si>
  <si>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</si>
  <si>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</si>
  <si>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</si>
  <si>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</si>
  <si>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</si>
  <si>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</si>
  <si>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</si>
  <si>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</si>
  <si>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</si>
  <si>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</si>
  <si>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</si>
  <si>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</si>
  <si>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</si>
  <si>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</si>
  <si>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</si>
  <si>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</si>
  <si>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</si>
  <si>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</si>
  <si>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</si>
  <si>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</si>
  <si>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</si>
  <si>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</si>
  <si>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</si>
  <si>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</si>
  <si>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</si>
  <si>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</si>
  <si>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</si>
  <si>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</si>
  <si>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</si>
  <si>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</si>
  <si>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</si>
  <si>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</si>
  <si>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</si>
  <si>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</si>
  <si>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</si>
  <si>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</si>
  <si>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</si>
  <si>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</si>
  <si>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</si>
  <si>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</si>
  <si>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</si>
  <si>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</si>
  <si>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</si>
  <si>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</si>
  <si>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</si>
  <si>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</si>
  <si>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</si>
  <si>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</si>
  <si>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</si>
  <si>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</si>
  <si>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</si>
  <si>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</si>
  <si>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</si>
  <si>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</si>
  <si>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</si>
  <si>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</si>
  <si>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</si>
  <si>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</si>
  <si>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</si>
  <si>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</si>
  <si>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</si>
  <si>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</si>
  <si>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</si>
  <si>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</si>
  <si>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</si>
  <si>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</si>
  <si>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</si>
  <si>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</si>
  <si>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</si>
  <si>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</si>
  <si>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</si>
  <si>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</si>
  <si>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</si>
  <si>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</si>
  <si>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</si>
  <si>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</si>
  <si>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</si>
  <si>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</si>
  <si>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</si>
  <si>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</si>
  <si>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</si>
  <si>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</si>
  <si>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</si>
  <si>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</si>
  <si>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</si>
  <si>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</si>
  <si>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</si>
  <si>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</si>
  <si>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</si>
  <si>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</si>
  <si>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</si>
  <si>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</si>
  <si>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</si>
  <si>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</si>
  <si>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</si>
  <si>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</si>
  <si>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</si>
  <si>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</si>
  <si>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</si>
  <si>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</si>
  <si>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</si>
  <si>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</si>
  <si>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</si>
  <si>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</si>
  <si>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</si>
  <si>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</si>
  <si>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</si>
  <si>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</si>
  <si>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</si>
  <si>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</si>
  <si>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</si>
  <si>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</si>
  <si>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</si>
  <si>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</si>
  <si>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</si>
  <si>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</si>
  <si>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</si>
  <si>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</si>
  <si>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</si>
  <si>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</si>
  <si>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</si>
  <si>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</si>
  <si>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</si>
  <si>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</si>
  <si>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</si>
  <si>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</si>
  <si>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</si>
  <si>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</si>
  <si>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</si>
  <si>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</si>
  <si>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</si>
  <si>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</si>
  <si>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</si>
  <si>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</si>
  <si>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</si>
  <si>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</si>
  <si>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</si>
  <si>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</si>
  <si>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</si>
  <si>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</si>
  <si>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</si>
  <si>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</si>
  <si>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</si>
  <si>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</si>
  <si>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</si>
  <si>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</si>
  <si>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</si>
  <si>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</si>
  <si>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</si>
  <si>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</si>
  <si>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</si>
  <si>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</si>
  <si>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</si>
  <si>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</si>
  <si>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</si>
  <si>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</si>
  <si>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</si>
  <si>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</si>
  <si>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</si>
  <si>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</si>
  <si>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</si>
  <si>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</si>
  <si>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</si>
  <si>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</si>
  <si>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</si>
  <si>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</si>
  <si>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</si>
  <si>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</si>
  <si>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</si>
  <si>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</si>
  <si>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</si>
  <si>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</si>
  <si>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</si>
  <si>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</si>
  <si>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</si>
  <si>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</si>
  <si>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</si>
  <si>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</si>
  <si>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</si>
  <si>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</si>
  <si>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</si>
  <si>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</si>
  <si>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</si>
  <si>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</si>
  <si>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</si>
  <si>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</si>
  <si>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</si>
  <si>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</si>
  <si>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</si>
  <si>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</si>
  <si>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</si>
  <si>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</si>
  <si>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</si>
  <si>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</si>
  <si>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</si>
  <si>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</si>
  <si>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</si>
  <si>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</si>
  <si>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</si>
  <si>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</si>
  <si>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</si>
  <si>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</si>
  <si>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</si>
  <si>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</si>
  <si>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</si>
  <si>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</si>
  <si>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</si>
  <si>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</si>
  <si>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</si>
  <si>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</si>
  <si>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</si>
  <si>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</si>
  <si>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</si>
  <si>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</si>
  <si>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</si>
  <si>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</si>
  <si>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(enter negative)</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</si>
  <si>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</si>
  <si>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</si>
  <si>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</si>
  <si>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</si>
  <si>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</si>
  <si>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</si>
  <si>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</si>
  <si>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</si>
  <si>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</si>
  <si>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</si>
  <si>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</si>
  <si>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</si>
  <si>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</si>
  <si>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</si>
  <si>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</si>
  <si>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</si>
  <si>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</si>
  <si>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</si>
  <si>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</si>
  <si>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</si>
  <si>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</si>
  <si>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</si>
  <si>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</si>
  <si>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</si>
  <si>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</si>
  <si>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</si>
  <si>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</si>
  <si>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</si>
  <si>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</si>
  <si>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</si>
  <si>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</si>
  <si>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</si>
  <si>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</si>
  <si>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</si>
  <si>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</si>
  <si>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</si>
  <si>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</si>
  <si>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</si>
  <si>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</si>
  <si>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</si>
  <si>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</si>
  <si>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</si>
  <si>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</si>
  <si>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</si>
  <si>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</si>
  <si>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</si>
  <si>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</si>
  <si>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</si>
  <si>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</si>
  <si>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</si>
  <si>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</si>
  <si>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</si>
  <si>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</si>
  <si>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</si>
  <si>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</si>
  <si>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</si>
  <si>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</si>
  <si>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</si>
  <si>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</si>
  <si>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</si>
  <si>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</si>
  <si>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</si>
  <si>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</si>
  <si>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</si>
  <si>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</si>
  <si>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</si>
  <si>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</si>
  <si>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</si>
  <si>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</si>
  <si>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</si>
  <si>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</si>
  <si>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</si>
  <si>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</si>
  <si>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</si>
  <si>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</si>
  <si>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</si>
  <si>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</si>
  <si>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</si>
  <si>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</si>
  <si>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</si>
  <si>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</si>
  <si>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</si>
  <si>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</si>
  <si>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</si>
  <si>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(d) (Note D)</t>
  </si>
  <si>
    <t>Attachment 4, Line 28, Col. (e) (Note D)</t>
  </si>
  <si>
    <t>Attachment 4, Line 28, Col. (f) (Note D)</t>
  </si>
  <si>
    <t>Attachment 4, Line 28, Col. (g) (Note D)</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</si>
  <si>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</si>
  <si>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</si>
  <si>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</si>
  <si>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</si>
  <si>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</si>
  <si>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</si>
  <si>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</si>
  <si>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</si>
  <si>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</si>
  <si>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</si>
  <si>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</si>
  <si>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</si>
  <si>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</si>
  <si>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</si>
  <si>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</si>
  <si>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</si>
  <si>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</si>
  <si>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</si>
  <si>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</si>
  <si>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</si>
  <si>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</si>
  <si>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</si>
  <si>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</si>
  <si>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</si>
  <si>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</si>
  <si>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</si>
  <si>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</si>
  <si>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</si>
  <si>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</si>
  <si>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</si>
  <si>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</si>
  <si>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</si>
  <si>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</si>
  <si>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</si>
  <si>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</si>
  <si>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</si>
  <si>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</si>
  <si>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</si>
  <si>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</si>
  <si>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</si>
  <si>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</si>
  <si>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</si>
  <si>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</si>
  <si>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</si>
  <si>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</si>
  <si>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</si>
  <si>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</si>
  <si>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</si>
  <si>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</si>
  <si>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</si>
  <si>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</si>
  <si>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</si>
  <si>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</si>
  <si>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</si>
  <si>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</si>
  <si>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</si>
  <si>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</si>
  <si>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</si>
  <si>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</si>
  <si>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</si>
  <si>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</si>
  <si>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</si>
  <si>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</si>
  <si>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</si>
  <si>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</si>
  <si>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</si>
  <si>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</si>
  <si>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</si>
  <si>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ADIT is computed using the average of the beginning of the year and the end of the year balances. Electric ADIT only, Excludes ARO-related ADIT.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</si>
  <si>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</si>
  <si>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</si>
  <si>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</si>
  <si>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</si>
  <si>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</si>
  <si>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</si>
  <si>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</si>
  <si>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</si>
  <si>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</si>
  <si>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</si>
  <si>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</si>
  <si>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</si>
  <si>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</si>
  <si>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</si>
  <si>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</si>
  <si>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</si>
  <si>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</si>
  <si>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</si>
  <si>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</si>
  <si>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</si>
  <si>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</si>
  <si>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</si>
  <si>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</si>
  <si>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</si>
  <si>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</si>
  <si>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</si>
  <si>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</si>
  <si>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</si>
  <si>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</si>
  <si>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</si>
  <si>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</si>
  <si>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</si>
  <si>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</si>
  <si>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</si>
  <si>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</si>
  <si>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</si>
  <si>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</si>
  <si>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</si>
  <si>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</si>
  <si>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</si>
  <si>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</si>
  <si>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</si>
  <si>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</si>
  <si>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</si>
  <si>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</si>
  <si>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</si>
  <si>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</si>
  <si>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</si>
  <si>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</si>
  <si>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</si>
  <si>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</si>
  <si>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</si>
  <si>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</si>
  <si>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</si>
  <si>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</si>
  <si>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</si>
  <si>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</si>
  <si>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</si>
  <si>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</si>
  <si>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</si>
  <si>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</si>
  <si>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</si>
  <si>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</si>
  <si>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</si>
  <si>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</si>
  <si>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</si>
  <si>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</si>
  <si>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</si>
  <si>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</si>
  <si>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</si>
  <si>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</si>
  <si>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</si>
  <si>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</si>
  <si>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</si>
  <si>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</si>
  <si>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</si>
  <si>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</si>
  <si>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</si>
  <si>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</si>
  <si>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</si>
  <si>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</si>
  <si>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</si>
  <si>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</si>
  <si>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</si>
  <si>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</si>
  <si>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</si>
  <si>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</si>
  <si>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</si>
  <si>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</si>
  <si>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</si>
  <si>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</si>
  <si>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</si>
  <si>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</si>
  <si>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</si>
  <si>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</si>
  <si>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</si>
  <si>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</si>
  <si>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</si>
  <si>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</si>
  <si>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</si>
  <si>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</si>
  <si>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</si>
  <si>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</si>
  <si>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</si>
  <si>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</si>
  <si>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</si>
  <si>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</si>
  <si>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</si>
  <si>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</si>
  <si>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</si>
  <si>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</si>
  <si>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</si>
  <si>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</si>
  <si>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</si>
  <si>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</si>
  <si>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</si>
  <si>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</si>
  <si>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</si>
  <si>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</si>
  <si>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</si>
  <si>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</si>
  <si>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</si>
  <si>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</si>
  <si>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</si>
  <si>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</si>
  <si>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</si>
  <si>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</si>
  <si>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</si>
  <si>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</si>
  <si>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</si>
  <si>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</si>
  <si>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</si>
  <si>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</si>
  <si>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</si>
  <si>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</si>
  <si>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</si>
  <si>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</si>
  <si>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</si>
  <si>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</si>
  <si>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</si>
  <si>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</si>
  <si>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</si>
  <si>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</si>
  <si>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</si>
  <si>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</si>
  <si>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</si>
  <si>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</si>
  <si>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</si>
  <si>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</si>
  <si>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</si>
  <si>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</si>
  <si>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</si>
  <si>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</si>
  <si>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</si>
  <si>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</si>
  <si>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</si>
  <si>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</si>
  <si>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</si>
  <si>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</si>
  <si>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</si>
  <si>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</si>
  <si>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</si>
  <si>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</si>
  <si>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</si>
  <si>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</si>
  <si>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</si>
  <si>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</si>
  <si>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</si>
  <si>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</si>
  <si>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</si>
  <si>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</si>
  <si>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</si>
  <si>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</si>
  <si>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</si>
  <si>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</si>
  <si>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</si>
  <si>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</si>
  <si>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</si>
  <si>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</si>
  <si>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</si>
  <si>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</si>
  <si>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</si>
  <si>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</si>
  <si>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</si>
  <si>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</si>
  <si>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</si>
  <si>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</si>
  <si>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</si>
  <si>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</si>
  <si>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</si>
  <si>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</si>
  <si>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</si>
  <si>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</si>
  <si>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</si>
  <si>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</si>
  <si>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</si>
  <si>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</si>
  <si>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</si>
  <si>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</si>
  <si>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</si>
  <si>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</si>
  <si>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</si>
  <si>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</si>
  <si>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</si>
  <si>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</si>
  <si>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</si>
  <si>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</si>
  <si>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</si>
  <si>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</si>
  <si>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</si>
  <si>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</si>
  <si>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</si>
  <si>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</si>
  <si>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</si>
  <si>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</si>
  <si>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</si>
  <si>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</si>
  <si>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</si>
  <si>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</si>
  <si>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</si>
  <si>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</si>
  <si>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</si>
  <si>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</si>
  <si>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</si>
  <si>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</si>
  <si>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</si>
  <si>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For the 12 months ended </t>
  </si>
  <si>
    <t xml:space="preserve">263.10.i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</si>
</sst>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3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s>
  <fills count="39">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4">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94">
    <xf numFmtId="174" fontId="0" fillId="0" borderId="0" applyProtection="0"/>
    <xf numFmtId="0" fontId="15" fillId="0" borderId="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90" fontId="53" fillId="0" borderId="0" applyFont="0" applyFill="0" applyBorder="0" applyAlignment="0" applyProtection="0"/>
    <xf numFmtId="0" fontId="23" fillId="0" borderId="0"/>
    <xf numFmtId="191" fontId="15" fillId="2" borderId="0" applyNumberFormat="0" applyFill="0" applyBorder="0" applyAlignment="0" applyProtection="0">
      <alignment horizontal="right" vertical="center"/>
    </xf>
    <xf numFmtId="191" fontId="47" fillId="0" borderId="0" applyNumberFormat="0" applyFill="0" applyBorder="0" applyAlignment="0" applyProtection="0"/>
    <xf numFmtId="0" fontId="15" fillId="0" borderId="1" applyNumberFormat="0" applyFont="0" applyFill="0" applyAlignment="0" applyProtection="0"/>
    <xf numFmtId="192" fontId="45" fillId="0" borderId="0" applyFont="0" applyFill="0" applyBorder="0" applyAlignment="0" applyProtection="0"/>
    <xf numFmtId="193" fontId="53" fillId="0" borderId="0" applyFont="0" applyFill="0" applyBorder="0" applyProtection="0">
      <alignment horizontal="left"/>
    </xf>
    <xf numFmtId="194" fontId="53" fillId="0" borderId="0" applyFont="0" applyFill="0" applyBorder="0" applyProtection="0">
      <alignment horizontal="left"/>
    </xf>
    <xf numFmtId="195" fontId="53" fillId="0" borderId="0" applyFont="0" applyFill="0" applyBorder="0" applyProtection="0">
      <alignment horizontal="left"/>
    </xf>
    <xf numFmtId="37" fontId="54" fillId="0" borderId="0" applyFont="0" applyFill="0" applyBorder="0" applyAlignment="0" applyProtection="0">
      <alignment vertical="center"/>
      <protection locked="0"/>
    </xf>
    <xf numFmtId="196" fontId="55" fillId="0" borderId="0" applyFont="0" applyFill="0" applyBorder="0" applyAlignment="0" applyProtection="0"/>
    <xf numFmtId="0" fontId="56" fillId="0" borderId="0"/>
    <xf numFmtId="0" fontId="56" fillId="0" borderId="0"/>
    <xf numFmtId="174" fontId="13" fillId="0" borderId="0" applyFill="0"/>
    <xf numFmtId="174" fontId="13" fillId="0" borderId="0">
      <alignment horizontal="center"/>
    </xf>
    <xf numFmtId="0" fontId="13" fillId="0" borderId="0" applyFill="0">
      <alignment horizontal="center"/>
    </xf>
    <xf numFmtId="174"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4"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4"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4"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4"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4"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4"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9" fontId="57" fillId="0" borderId="0" applyFont="0" applyFill="0" applyBorder="0" applyAlignment="0" applyProtection="0">
      <protection locked="0"/>
    </xf>
    <xf numFmtId="197" fontId="57" fillId="0" borderId="0" applyFont="0" applyFill="0" applyBorder="0" applyAlignment="0" applyProtection="0">
      <protection locked="0"/>
    </xf>
    <xf numFmtId="39" fontId="15" fillId="0" borderId="0" applyFont="0" applyFill="0" applyBorder="0" applyAlignment="0" applyProtection="0"/>
    <xf numFmtId="198" fontId="58" fillId="0" borderId="0" applyFont="0" applyFill="0" applyBorder="0" applyAlignment="0" applyProtection="0"/>
    <xf numFmtId="182"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9" fontId="53" fillId="0" borderId="0" applyFont="0" applyFill="0" applyBorder="0" applyAlignment="0" applyProtection="0"/>
    <xf numFmtId="200" fontId="53" fillId="0" borderId="0" applyFont="0" applyFill="0" applyBorder="0" applyAlignment="0" applyProtection="0"/>
    <xf numFmtId="201" fontId="53" fillId="0" borderId="0" applyFont="0" applyFill="0" applyBorder="0" applyAlignment="0" applyProtection="0"/>
    <xf numFmtId="202" fontId="51" fillId="0" borderId="0" applyFont="0" applyFill="0" applyBorder="0" applyAlignment="0" applyProtection="0"/>
    <xf numFmtId="203" fontId="60" fillId="0" borderId="0" applyFont="0" applyFill="0" applyBorder="0" applyAlignment="0" applyProtection="0"/>
    <xf numFmtId="204" fontId="60" fillId="0" borderId="0" applyFont="0" applyFill="0" applyBorder="0" applyAlignment="0" applyProtection="0"/>
    <xf numFmtId="205"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4"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209" fontId="60" fillId="0" borderId="0" applyFont="0" applyFill="0" applyBorder="0" applyAlignment="0" applyProtection="0"/>
    <xf numFmtId="210" fontId="60" fillId="0" borderId="0" applyFont="0" applyFill="0" applyBorder="0" applyAlignment="0" applyProtection="0"/>
    <xf numFmtId="211" fontId="60" fillId="0" borderId="0" applyFont="0" applyFill="0" applyBorder="0" applyAlignment="0" applyProtection="0"/>
    <xf numFmtId="212"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3" fontId="55" fillId="0" borderId="0" applyFont="0" applyFill="0" applyBorder="0" applyAlignment="0" applyProtection="0"/>
    <xf numFmtId="181" fontId="15" fillId="0" borderId="0" applyFont="0" applyFill="0" applyBorder="0" applyAlignment="0" applyProtection="0"/>
    <xf numFmtId="214" fontId="57" fillId="0" borderId="0" applyFont="0" applyFill="0" applyBorder="0" applyAlignment="0" applyProtection="0">
      <protection locked="0"/>
    </xf>
    <xf numFmtId="7" fontId="13" fillId="0" borderId="0" applyFont="0" applyFill="0" applyBorder="0" applyAlignment="0" applyProtection="0"/>
    <xf numFmtId="215" fontId="58" fillId="0" borderId="0" applyFont="0" applyFill="0" applyBorder="0" applyAlignment="0" applyProtection="0"/>
    <xf numFmtId="180"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6" fontId="53" fillId="0" borderId="0" applyFont="0" applyFill="0" applyBorder="0" applyProtection="0"/>
    <xf numFmtId="217" fontId="53" fillId="0" borderId="0" applyFont="0" applyFill="0" applyBorder="0" applyProtection="0"/>
    <xf numFmtId="218" fontId="53" fillId="0" borderId="0" applyFont="0" applyFill="0" applyBorder="0" applyAlignment="0" applyProtection="0"/>
    <xf numFmtId="219" fontId="53" fillId="0" borderId="0" applyFont="0" applyFill="0" applyBorder="0" applyAlignment="0" applyProtection="0"/>
    <xf numFmtId="220" fontId="53" fillId="0" borderId="0" applyFont="0" applyFill="0" applyBorder="0" applyAlignment="0" applyProtection="0"/>
    <xf numFmtId="221" fontId="64" fillId="0" borderId="0" applyFont="0" applyFill="0" applyBorder="0" applyAlignment="0" applyProtection="0"/>
    <xf numFmtId="5" fontId="65" fillId="0" borderId="0" applyBorder="0"/>
    <xf numFmtId="181" fontId="65" fillId="0" borderId="0" applyBorder="0"/>
    <xf numFmtId="7" fontId="65" fillId="0" borderId="0" applyBorder="0"/>
    <xf numFmtId="37" fontId="65" fillId="0" borderId="0" applyBorder="0"/>
    <xf numFmtId="179" fontId="65" fillId="0" borderId="0" applyBorder="0"/>
    <xf numFmtId="222" fontId="65" fillId="0" borderId="0" applyBorder="0"/>
    <xf numFmtId="39" fontId="65" fillId="0" borderId="0" applyBorder="0"/>
    <xf numFmtId="223" fontId="65" fillId="0" borderId="0" applyBorder="0"/>
    <xf numFmtId="7" fontId="15" fillId="0" borderId="0" applyFont="0" applyFill="0" applyBorder="0" applyAlignment="0" applyProtection="0"/>
    <xf numFmtId="224" fontId="55" fillId="0" borderId="0" applyFont="0" applyFill="0" applyBorder="0" applyAlignment="0" applyProtection="0"/>
    <xf numFmtId="225" fontId="55" fillId="0" borderId="0" applyFont="0" applyFill="0" applyAlignment="0" applyProtection="0"/>
    <xf numFmtId="224" fontId="55" fillId="0" borderId="0" applyFont="0" applyFill="0" applyBorder="0" applyAlignment="0" applyProtection="0"/>
    <xf numFmtId="226" fontId="13" fillId="0" borderId="0" applyFont="0" applyFill="0" applyBorder="0" applyAlignment="0" applyProtection="0"/>
    <xf numFmtId="2" fontId="15" fillId="0" borderId="0" applyFont="0" applyFill="0" applyBorder="0" applyAlignment="0" applyProtection="0"/>
    <xf numFmtId="0" fontId="66" fillId="0" borderId="0"/>
    <xf numFmtId="179"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7"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8" fontId="53" fillId="0" borderId="0" applyFont="0" applyFill="0" applyBorder="0" applyProtection="0">
      <alignment horizontal="left"/>
    </xf>
    <xf numFmtId="229" fontId="53" fillId="0" borderId="0" applyFont="0" applyFill="0" applyBorder="0" applyProtection="0">
      <alignment horizontal="left"/>
    </xf>
    <xf numFmtId="230" fontId="53" fillId="0" borderId="0" applyFont="0" applyFill="0" applyBorder="0" applyProtection="0">
      <alignment horizontal="left"/>
    </xf>
    <xf numFmtId="231"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1" fontId="71" fillId="0" borderId="0" applyBorder="0"/>
    <xf numFmtId="7" fontId="71" fillId="0" borderId="0" applyBorder="0"/>
    <xf numFmtId="37" fontId="71" fillId="0" borderId="0" applyBorder="0"/>
    <xf numFmtId="179" fontId="71" fillId="0" borderId="0" applyBorder="0"/>
    <xf numFmtId="222" fontId="71" fillId="0" borderId="0" applyBorder="0"/>
    <xf numFmtId="39" fontId="71" fillId="0" borderId="0" applyBorder="0"/>
    <xf numFmtId="223" fontId="71" fillId="0" borderId="0" applyBorder="0"/>
    <xf numFmtId="0" fontId="64" fillId="0" borderId="10" applyNumberFormat="0" applyFont="0" applyFill="0" applyAlignment="0" applyProtection="0"/>
    <xf numFmtId="0" fontId="72" fillId="0" borderId="0"/>
    <xf numFmtId="0" fontId="13" fillId="9" borderId="0"/>
    <xf numFmtId="232" fontId="15" fillId="0" borderId="0" applyFont="0" applyFill="0" applyBorder="0" applyAlignment="0" applyProtection="0"/>
    <xf numFmtId="233" fontId="15" fillId="0" borderId="0" applyFont="0" applyFill="0" applyBorder="0" applyAlignment="0" applyProtection="0"/>
    <xf numFmtId="234" fontId="15" fillId="0" borderId="0" applyFont="0" applyFill="0" applyBorder="0" applyAlignment="0" applyProtection="0"/>
    <xf numFmtId="235" fontId="15" fillId="0" borderId="0" applyFont="0" applyFill="0" applyBorder="0" applyAlignment="0" applyProtection="0"/>
    <xf numFmtId="0" fontId="15" fillId="0" borderId="0" applyFont="0" applyFill="0" applyBorder="0" applyAlignment="0" applyProtection="0">
      <alignment horizontal="right"/>
    </xf>
    <xf numFmtId="236" fontId="15" fillId="0" borderId="0" applyFont="0" applyFill="0" applyBorder="0" applyAlignment="0" applyProtection="0"/>
    <xf numFmtId="37" fontId="73" fillId="0" borderId="0"/>
    <xf numFmtId="0" fontId="55" fillId="0" borderId="0"/>
    <xf numFmtId="0" fontId="97" fillId="0" borderId="0"/>
    <xf numFmtId="7" fontId="95"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174" fontId="35" fillId="0" borderId="0" applyProtection="0"/>
    <xf numFmtId="0" fontId="97" fillId="0" borderId="0"/>
    <xf numFmtId="0" fontId="97" fillId="0" borderId="0"/>
    <xf numFmtId="0" fontId="97" fillId="0" borderId="0"/>
    <xf numFmtId="0" fontId="97" fillId="0" borderId="0"/>
    <xf numFmtId="0" fontId="35" fillId="0" borderId="0" applyProtection="0"/>
    <xf numFmtId="174" fontId="35" fillId="0" borderId="0" applyProtection="0"/>
    <xf numFmtId="174" fontId="35" fillId="0" borderId="0" applyProtection="0"/>
    <xf numFmtId="174" fontId="35" fillId="0" borderId="0" applyProtection="0"/>
    <xf numFmtId="174" fontId="35" fillId="0" borderId="0" applyProtection="0"/>
    <xf numFmtId="0" fontId="15" fillId="0" borderId="0"/>
    <xf numFmtId="0" fontId="45" fillId="10" borderId="0" applyNumberFormat="0" applyFont="0" applyBorder="0" applyAlignment="0"/>
    <xf numFmtId="237" fontId="15" fillId="0" borderId="0" applyFont="0" applyFill="0" applyBorder="0" applyAlignment="0" applyProtection="0"/>
    <xf numFmtId="238" fontId="74"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xf numFmtId="240" fontId="55" fillId="0" borderId="0"/>
    <xf numFmtId="240" fontId="55" fillId="0" borderId="0"/>
    <xf numFmtId="238" fontId="74" fillId="0" borderId="0"/>
    <xf numFmtId="0" fontId="55" fillId="0" borderId="0"/>
    <xf numFmtId="238" fontId="61" fillId="0" borderId="0"/>
    <xf numFmtId="239" fontId="15" fillId="0" borderId="0"/>
    <xf numFmtId="240" fontId="55" fillId="0" borderId="0"/>
    <xf numFmtId="240" fontId="55" fillId="0" borderId="0"/>
    <xf numFmtId="0" fontId="55" fillId="0" borderId="0"/>
    <xf numFmtId="0" fontId="55"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0" fontId="55" fillId="0" borderId="0"/>
    <xf numFmtId="237"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8" fontId="74" fillId="0" borderId="0"/>
    <xf numFmtId="238" fontId="74" fillId="0" borderId="0"/>
    <xf numFmtId="237" fontId="15" fillId="0" borderId="0" applyFont="0" applyFill="0" applyBorder="0" applyAlignment="0" applyProtection="0"/>
    <xf numFmtId="238" fontId="74" fillId="0" borderId="0"/>
    <xf numFmtId="238" fontId="74" fillId="0" borderId="0"/>
    <xf numFmtId="241" fontId="55" fillId="0" borderId="0"/>
    <xf numFmtId="170" fontId="55" fillId="0" borderId="0"/>
    <xf numFmtId="242" fontId="55" fillId="0" borderId="0"/>
    <xf numFmtId="241" fontId="55" fillId="0" borderId="0"/>
    <xf numFmtId="170" fontId="55" fillId="0" borderId="0"/>
    <xf numFmtId="243" fontId="55" fillId="0" borderId="0"/>
    <xf numFmtId="243" fontId="55" fillId="0" borderId="0"/>
    <xf numFmtId="178" fontId="55" fillId="0" borderId="0"/>
    <xf numFmtId="242" fontId="55" fillId="0" borderId="0"/>
    <xf numFmtId="169" fontId="55" fillId="0" borderId="0"/>
    <xf numFmtId="178" fontId="55" fillId="0" borderId="0"/>
    <xf numFmtId="178" fontId="55" fillId="0" borderId="0"/>
    <xf numFmtId="244" fontId="23" fillId="11" borderId="0" applyFont="0" applyFill="0" applyBorder="0" applyAlignment="0" applyProtection="0"/>
    <xf numFmtId="245" fontId="23" fillId="11" borderId="0" applyFont="0" applyFill="0" applyBorder="0" applyAlignment="0" applyProtection="0"/>
    <xf numFmtId="246" fontId="15" fillId="0" borderId="0" applyFont="0" applyFill="0" applyBorder="0" applyAlignment="0" applyProtection="0"/>
    <xf numFmtId="9" fontId="15" fillId="0" borderId="0" applyFont="0" applyFill="0" applyBorder="0" applyAlignment="0" applyProtection="0"/>
    <xf numFmtId="247" fontId="60" fillId="0" borderId="0" applyFont="0" applyFill="0" applyBorder="0" applyAlignment="0" applyProtection="0"/>
    <xf numFmtId="248" fontId="51" fillId="0" borderId="0" applyFont="0" applyFill="0" applyBorder="0" applyAlignment="0" applyProtection="0"/>
    <xf numFmtId="249" fontId="15"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53" fillId="0" borderId="0" applyFont="0" applyFill="0" applyBorder="0" applyAlignment="0" applyProtection="0"/>
    <xf numFmtId="253" fontId="53"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60" fillId="0" borderId="0" applyFont="0" applyFill="0" applyBorder="0" applyAlignment="0" applyProtection="0"/>
    <xf numFmtId="259" fontId="51" fillId="0" borderId="0" applyFont="0" applyFill="0" applyBorder="0" applyAlignment="0" applyProtection="0"/>
    <xf numFmtId="260" fontId="18" fillId="0" borderId="0" applyFont="0" applyFill="0" applyBorder="0" applyAlignment="0" applyProtection="0">
      <protection locked="0"/>
    </xf>
    <xf numFmtId="261"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91" fontId="61" fillId="0" borderId="0" applyFill="0" applyBorder="0" applyAlignment="0" applyProtection="0"/>
    <xf numFmtId="9" fontId="65" fillId="0" borderId="0" applyBorder="0"/>
    <xf numFmtId="171"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4"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2" fontId="62" fillId="0" borderId="0">
      <alignment horizontal="center"/>
    </xf>
    <xf numFmtId="263"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4"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51" fillId="0" borderId="0" applyFont="0" applyFill="0" applyBorder="0" applyAlignment="0" applyProtection="0"/>
    <xf numFmtId="271" fontId="51" fillId="0" borderId="0" applyFont="0" applyFill="0" applyBorder="0" applyAlignment="0" applyProtection="0"/>
    <xf numFmtId="272" fontId="83" fillId="3" borderId="13" applyFont="0" applyFill="0" applyBorder="0" applyAlignment="0" applyProtection="0"/>
    <xf numFmtId="272" fontId="55" fillId="0" borderId="0" applyFont="0" applyFill="0" applyBorder="0" applyAlignment="0" applyProtection="0"/>
    <xf numFmtId="273" fontId="58" fillId="0" borderId="0" applyFont="0" applyFill="0" applyBorder="0" applyAlignment="0" applyProtection="0"/>
    <xf numFmtId="274" fontId="62" fillId="0" borderId="7" applyFont="0" applyFill="0" applyBorder="0" applyAlignment="0" applyProtection="0">
      <alignment horizontal="right"/>
      <protection locked="0"/>
    </xf>
    <xf numFmtId="43" fontId="11" fillId="0" borderId="0" applyFont="0" applyFill="0" applyBorder="0" applyAlignment="0" applyProtection="0"/>
    <xf numFmtId="0" fontId="99" fillId="0" borderId="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2" fillId="0" borderId="0"/>
    <xf numFmtId="0" fontId="9" fillId="0" borderId="0"/>
    <xf numFmtId="0" fontId="9" fillId="0" borderId="0"/>
    <xf numFmtId="0" fontId="9" fillId="0" borderId="0"/>
    <xf numFmtId="0" fontId="9"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36"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02" fillId="0" borderId="0"/>
    <xf numFmtId="0" fontId="15" fillId="0" borderId="0"/>
    <xf numFmtId="0" fontId="15"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03"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22" borderId="0" applyNumberFormat="0" applyBorder="0" applyAlignment="0" applyProtection="0"/>
    <xf numFmtId="0" fontId="103"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103" fillId="20" borderId="0" applyNumberFormat="0" applyBorder="0" applyAlignment="0" applyProtection="0"/>
    <xf numFmtId="0" fontId="103" fillId="23" borderId="0" applyNumberFormat="0" applyBorder="0" applyAlignment="0" applyProtection="0"/>
    <xf numFmtId="0" fontId="103" fillId="26" borderId="0" applyNumberFormat="0" applyBorder="0" applyAlignment="0" applyProtection="0"/>
    <xf numFmtId="0" fontId="104" fillId="27" borderId="0" applyNumberFormat="0" applyBorder="0" applyAlignment="0" applyProtection="0"/>
    <xf numFmtId="0" fontId="104" fillId="24" borderId="0" applyNumberFormat="0" applyBorder="0" applyAlignment="0" applyProtection="0"/>
    <xf numFmtId="0" fontId="104" fillId="25"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0" borderId="0" applyNumberFormat="0" applyBorder="0" applyAlignment="0" applyProtection="0"/>
    <xf numFmtId="0" fontId="104" fillId="31" borderId="0" applyNumberFormat="0" applyBorder="0" applyAlignment="0" applyProtection="0"/>
    <xf numFmtId="0" fontId="104" fillId="32" borderId="0" applyNumberFormat="0" applyBorder="0" applyAlignment="0" applyProtection="0"/>
    <xf numFmtId="0" fontId="104" fillId="33" borderId="0" applyNumberFormat="0" applyBorder="0" applyAlignment="0" applyProtection="0"/>
    <xf numFmtId="0" fontId="104" fillId="28" borderId="0" applyNumberFormat="0" applyBorder="0" applyAlignment="0" applyProtection="0"/>
    <xf numFmtId="0" fontId="104" fillId="29" borderId="0" applyNumberFormat="0" applyBorder="0" applyAlignment="0" applyProtection="0"/>
    <xf numFmtId="0" fontId="104" fillId="34" borderId="0" applyNumberFormat="0" applyBorder="0" applyAlignment="0" applyProtection="0"/>
    <xf numFmtId="0" fontId="105" fillId="18" borderId="0" applyNumberFormat="0" applyBorder="0" applyAlignment="0" applyProtection="0"/>
    <xf numFmtId="0" fontId="106" fillId="35" borderId="25" applyNumberFormat="0" applyAlignment="0" applyProtection="0"/>
    <xf numFmtId="0" fontId="107" fillId="36" borderId="26" applyNumberFormat="0" applyAlignment="0" applyProtection="0"/>
    <xf numFmtId="9"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08" fillId="0" borderId="0" applyNumberFormat="0" applyFill="0" applyBorder="0" applyAlignment="0" applyProtection="0"/>
    <xf numFmtId="0" fontId="109" fillId="19" borderId="0" applyNumberFormat="0" applyBorder="0" applyAlignment="0" applyProtection="0"/>
    <xf numFmtId="43" fontId="36" fillId="0" borderId="0" applyFont="0" applyFill="0" applyBorder="0" applyAlignment="0" applyProtection="0"/>
    <xf numFmtId="0" fontId="110" fillId="0" borderId="27" applyNumberFormat="0" applyFill="0" applyAlignment="0" applyProtection="0"/>
    <xf numFmtId="0" fontId="110" fillId="0" borderId="0" applyNumberFormat="0" applyFill="0" applyBorder="0" applyAlignment="0" applyProtection="0"/>
    <xf numFmtId="0" fontId="111" fillId="22" borderId="25" applyNumberFormat="0" applyAlignment="0" applyProtection="0"/>
    <xf numFmtId="0" fontId="112" fillId="0" borderId="28" applyNumberFormat="0" applyFill="0" applyAlignment="0" applyProtection="0"/>
    <xf numFmtId="0" fontId="113" fillId="37" borderId="0" applyNumberFormat="0" applyBorder="0" applyAlignment="0" applyProtection="0"/>
    <xf numFmtId="43" fontId="8" fillId="0" borderId="0" applyFont="0" applyFill="0" applyBorder="0" applyAlignment="0" applyProtection="0"/>
    <xf numFmtId="0" fontId="15" fillId="0" borderId="0"/>
    <xf numFmtId="0" fontId="15" fillId="0" borderId="0"/>
    <xf numFmtId="0" fontId="15" fillId="0" borderId="0"/>
    <xf numFmtId="43" fontId="8" fillId="0" borderId="0" applyFont="0" applyFill="0" applyBorder="0" applyAlignment="0" applyProtection="0"/>
    <xf numFmtId="0" fontId="35" fillId="38" borderId="29" applyNumberFormat="0" applyFont="0" applyAlignment="0" applyProtection="0"/>
    <xf numFmtId="0" fontId="114" fillId="35" borderId="30"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35" fillId="0" borderId="0" applyFon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8" fillId="0" borderId="0"/>
    <xf numFmtId="0" fontId="8" fillId="0" borderId="0"/>
    <xf numFmtId="0" fontId="15" fillId="0" borderId="0"/>
    <xf numFmtId="0" fontId="96" fillId="0" borderId="0">
      <alignment vertical="top"/>
    </xf>
    <xf numFmtId="0" fontId="8" fillId="0" borderId="0"/>
    <xf numFmtId="174" fontId="35" fillId="0" borderId="0" applyProtection="0"/>
    <xf numFmtId="174" fontId="35" fillId="0" borderId="0" applyProtection="0"/>
    <xf numFmtId="0" fontId="15" fillId="0" borderId="0"/>
    <xf numFmtId="44" fontId="35" fillId="0" borderId="0" applyFont="0" applyFill="0" applyBorder="0" applyAlignment="0" applyProtection="0"/>
    <xf numFmtId="0" fontId="8" fillId="0" borderId="0"/>
    <xf numFmtId="174" fontId="35" fillId="0" borderId="0" applyProtection="0"/>
    <xf numFmtId="9" fontId="3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35" fillId="0" borderId="0" applyFont="0" applyFill="0" applyBorder="0" applyAlignment="0" applyProtection="0"/>
    <xf numFmtId="0" fontId="7" fillId="0" borderId="0"/>
    <xf numFmtId="0" fontId="7" fillId="0" borderId="0"/>
    <xf numFmtId="0" fontId="7" fillId="0" borderId="0"/>
    <xf numFmtId="0" fontId="7" fillId="0" borderId="0"/>
    <xf numFmtId="9" fontId="35" fillId="0" borderId="0" applyFont="0" applyFill="0" applyBorder="0" applyAlignment="0" applyProtection="0"/>
    <xf numFmtId="0" fontId="117" fillId="0" borderId="0"/>
    <xf numFmtId="9" fontId="117" fillId="0" borderId="0" applyFont="0" applyFill="0" applyBorder="0" applyAlignment="0" applyProtection="0"/>
    <xf numFmtId="0" fontId="111" fillId="22" borderId="25" applyNumberFormat="0" applyAlignment="0" applyProtection="0"/>
    <xf numFmtId="43" fontId="117" fillId="0" borderId="0" applyFont="0" applyFill="0" applyBorder="0" applyAlignment="0" applyProtection="0"/>
    <xf numFmtId="43"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4" fontId="117" fillId="0" borderId="0" applyFont="0" applyFill="0" applyBorder="0" applyAlignment="0" applyProtection="0"/>
    <xf numFmtId="43" fontId="117" fillId="0" borderId="0" applyFont="0" applyFill="0" applyBorder="0" applyAlignment="0" applyProtection="0"/>
    <xf numFmtId="0" fontId="111" fillId="22" borderId="25" applyNumberFormat="0" applyAlignment="0" applyProtection="0"/>
    <xf numFmtId="0" fontId="117" fillId="0" borderId="0"/>
    <xf numFmtId="9" fontId="117" fillId="0" borderId="0" applyFont="0" applyFill="0" applyBorder="0" applyAlignment="0" applyProtection="0"/>
    <xf numFmtId="9" fontId="117" fillId="0" borderId="0" applyFont="0" applyFill="0" applyBorder="0" applyAlignment="0" applyProtection="0"/>
    <xf numFmtId="0" fontId="1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43" fontId="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5" fillId="0" borderId="0"/>
    <xf numFmtId="0" fontId="5" fillId="0" borderId="0"/>
    <xf numFmtId="0" fontId="5" fillId="0" borderId="0"/>
    <xf numFmtId="44" fontId="35" fillId="0" borderId="0" applyFont="0" applyFill="0" applyBorder="0" applyAlignment="0" applyProtection="0"/>
    <xf numFmtId="0" fontId="5" fillId="0" borderId="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945">
    <xf numFmtId="174" fontId="0" fillId="0" borderId="0" xfId="0" applyAlignment="1"/>
    <xf numFmtId="0" fontId="55" fillId="0" borderId="0" xfId="211" applyFont="1"/>
    <xf numFmtId="0" fontId="62" fillId="0" borderId="0" xfId="211" applyFont="1" applyAlignment="1">
      <alignment horizontal="centerContinuous"/>
    </xf>
    <xf numFmtId="0" fontId="62" fillId="0" borderId="0" xfId="211" applyFont="1" applyAlignment="1">
      <alignment horizontal="center" wrapText="1"/>
    </xf>
    <xf numFmtId="0" fontId="62" fillId="0" borderId="0" xfId="206" applyFont="1" applyFill="1" applyBorder="1" applyAlignment="1">
      <alignment horizontal="center" wrapText="1"/>
    </xf>
    <xf numFmtId="0" fontId="55" fillId="0" borderId="0" xfId="211" quotePrefix="1" applyFont="1" applyAlignment="1">
      <alignment horizontal="left"/>
    </xf>
    <xf numFmtId="0" fontId="55" fillId="0" borderId="0" xfId="211" applyFont="1" applyAlignment="1">
      <alignment horizontal="right"/>
    </xf>
    <xf numFmtId="37" fontId="55" fillId="0" borderId="0" xfId="211" applyNumberFormat="1" applyFont="1"/>
    <xf numFmtId="0" fontId="62" fillId="0" borderId="0" xfId="211" applyFont="1" applyAlignment="1">
      <alignment horizontal="centerContinuous" wrapText="1"/>
    </xf>
    <xf numFmtId="0" fontId="62" fillId="0" borderId="0" xfId="211" applyFont="1" applyAlignment="1">
      <alignment horizontal="center"/>
    </xf>
    <xf numFmtId="174" fontId="55" fillId="0" borderId="0" xfId="0" applyFont="1" applyAlignment="1">
      <alignment wrapText="1"/>
    </xf>
    <xf numFmtId="0" fontId="85" fillId="0" borderId="0" xfId="0" applyNumberFormat="1" applyFont="1" applyAlignment="1">
      <alignment horizontal="center"/>
    </xf>
    <xf numFmtId="174" fontId="85" fillId="0" borderId="0" xfId="0" applyFont="1" applyAlignment="1"/>
    <xf numFmtId="174" fontId="55" fillId="0" borderId="0" xfId="0" applyFont="1" applyAlignment="1"/>
    <xf numFmtId="174" fontId="55" fillId="0" borderId="0" xfId="207" applyFont="1" applyAlignment="1"/>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3" fontId="55" fillId="0" borderId="0" xfId="201" applyNumberFormat="1" applyFont="1" applyFill="1" applyBorder="1" applyAlignment="1">
      <alignment horizontal="center"/>
    </xf>
    <xf numFmtId="0" fontId="55" fillId="0" borderId="0" xfId="201" applyNumberFormat="1" applyFont="1" applyFill="1" applyBorder="1" applyProtection="1">
      <protection locked="0"/>
    </xf>
    <xf numFmtId="174" fontId="55" fillId="0" borderId="0" xfId="201" applyFont="1" applyFill="1" applyBorder="1" applyAlignment="1"/>
    <xf numFmtId="0" fontId="55" fillId="0" borderId="0" xfId="201" applyNumberFormat="1" applyFont="1" applyFill="1" applyBorder="1"/>
    <xf numFmtId="43" fontId="55" fillId="0" borderId="0" xfId="59" applyFont="1" applyAlignment="1"/>
    <xf numFmtId="0" fontId="55" fillId="0" borderId="0" xfId="210" applyNumberFormat="1" applyFont="1" applyAlignment="1" applyProtection="1">
      <protection locked="0"/>
    </xf>
    <xf numFmtId="3" fontId="55" fillId="0" borderId="0" xfId="210" applyNumberFormat="1" applyFont="1" applyAlignment="1"/>
    <xf numFmtId="3" fontId="55" fillId="0" borderId="8" xfId="210" applyNumberFormat="1" applyFont="1" applyBorder="1" applyAlignment="1">
      <alignment horizontal="center"/>
    </xf>
    <xf numFmtId="0" fontId="55" fillId="0" borderId="0" xfId="210" applyNumberFormat="1" applyFont="1" applyAlignment="1"/>
    <xf numFmtId="3" fontId="55" fillId="0" borderId="0" xfId="210" applyNumberFormat="1" applyFont="1" applyAlignment="1">
      <alignment horizontal="center"/>
    </xf>
    <xf numFmtId="0" fontId="55" fillId="0" borderId="8" xfId="210" applyNumberFormat="1" applyFont="1" applyBorder="1" applyAlignment="1" applyProtection="1">
      <alignment horizontal="center"/>
      <protection locked="0"/>
    </xf>
    <xf numFmtId="174" fontId="55" fillId="0" borderId="0" xfId="210" applyFont="1" applyFill="1" applyAlignment="1"/>
    <xf numFmtId="169" fontId="55" fillId="0" borderId="0" xfId="210" applyNumberFormat="1" applyFont="1" applyAlignment="1"/>
    <xf numFmtId="174" fontId="55" fillId="0" borderId="0" xfId="210" applyFont="1" applyAlignment="1"/>
    <xf numFmtId="3" fontId="55" fillId="0" borderId="0" xfId="210" applyNumberFormat="1" applyFont="1" applyFill="1" applyAlignment="1"/>
    <xf numFmtId="166" fontId="55" fillId="0" borderId="0" xfId="210" applyNumberFormat="1" applyFont="1" applyAlignment="1">
      <alignment horizontal="center"/>
    </xf>
    <xf numFmtId="164" fontId="55" fillId="0" borderId="0" xfId="210" applyNumberFormat="1" applyFont="1" applyAlignment="1">
      <alignment horizontal="left"/>
    </xf>
    <xf numFmtId="0" fontId="55" fillId="0" borderId="0" xfId="210" applyNumberFormat="1" applyFont="1" applyFill="1" applyAlignment="1"/>
    <xf numFmtId="164" fontId="55" fillId="0" borderId="0" xfId="210" applyNumberFormat="1" applyFont="1" applyFill="1" applyAlignment="1">
      <alignment horizontal="left"/>
    </xf>
    <xf numFmtId="175" fontId="55" fillId="0" borderId="0" xfId="59" applyNumberFormat="1" applyFont="1" applyBorder="1" applyAlignment="1"/>
    <xf numFmtId="10" fontId="55" fillId="0" borderId="0" xfId="210" applyNumberFormat="1" applyFont="1" applyFill="1" applyAlignment="1">
      <alignment horizontal="left"/>
    </xf>
    <xf numFmtId="3" fontId="55" fillId="0" borderId="0" xfId="188" applyNumberFormat="1" applyFont="1" applyAlignment="1"/>
    <xf numFmtId="166" fontId="55" fillId="0" borderId="0" xfId="188" applyNumberFormat="1" applyFont="1" applyAlignment="1"/>
    <xf numFmtId="0" fontId="55" fillId="0" borderId="0" xfId="188" applyFont="1" applyAlignment="1"/>
    <xf numFmtId="164" fontId="55" fillId="0" borderId="0" xfId="210" applyNumberFormat="1" applyFont="1" applyFill="1" applyAlignment="1" applyProtection="1">
      <alignment horizontal="left"/>
      <protection locked="0"/>
    </xf>
    <xf numFmtId="174" fontId="55" fillId="0" borderId="1" xfId="201" applyFont="1" applyFill="1" applyBorder="1" applyAlignment="1"/>
    <xf numFmtId="175" fontId="55" fillId="0" borderId="0" xfId="59" applyNumberFormat="1" applyFont="1" applyFill="1" applyBorder="1" applyAlignment="1"/>
    <xf numFmtId="43" fontId="55" fillId="0" borderId="0" xfId="59" applyFont="1" applyFill="1" applyBorder="1" applyAlignment="1"/>
    <xf numFmtId="174" fontId="86" fillId="0" borderId="0" xfId="201" applyFont="1" applyFill="1" applyBorder="1" applyAlignment="1"/>
    <xf numFmtId="174" fontId="55" fillId="0" borderId="0" xfId="201" applyFont="1" applyFill="1" applyBorder="1" applyAlignment="1">
      <alignment horizontal="center"/>
    </xf>
    <xf numFmtId="174" fontId="55" fillId="0" borderId="0" xfId="201" applyFont="1" applyFill="1" applyBorder="1" applyAlignment="1">
      <alignment horizontal="right"/>
    </xf>
    <xf numFmtId="0" fontId="55" fillId="0" borderId="0" xfId="188" applyFont="1" applyFill="1"/>
    <xf numFmtId="0" fontId="55" fillId="0" borderId="0" xfId="201" applyNumberFormat="1" applyFont="1" applyFill="1" applyAlignment="1">
      <alignment horizontal="right"/>
    </xf>
    <xf numFmtId="0" fontId="87" fillId="0" borderId="0" xfId="201" applyNumberFormat="1" applyFont="1" applyFill="1" applyBorder="1"/>
    <xf numFmtId="0" fontId="87" fillId="0" borderId="0" xfId="201" applyNumberFormat="1" applyFont="1" applyFill="1" applyBorder="1" applyAlignment="1">
      <alignment horizontal="center"/>
    </xf>
    <xf numFmtId="49" fontId="55" fillId="0" borderId="0" xfId="201" applyNumberFormat="1" applyFont="1" applyFill="1" applyBorder="1"/>
    <xf numFmtId="3" fontId="55" fillId="0" borderId="0" xfId="201" applyNumberFormat="1" applyFont="1" applyFill="1" applyBorder="1"/>
    <xf numFmtId="0" fontId="55" fillId="0" borderId="0" xfId="201" applyNumberFormat="1" applyFont="1" applyFill="1" applyBorder="1" applyAlignment="1">
      <alignment horizontal="center"/>
    </xf>
    <xf numFmtId="49" fontId="55" fillId="0" borderId="0" xfId="201" applyNumberFormat="1" applyFont="1" applyFill="1" applyBorder="1" applyAlignment="1">
      <alignment horizontal="center"/>
    </xf>
    <xf numFmtId="0" fontId="55" fillId="0" borderId="0" xfId="201" applyNumberFormat="1" applyFont="1" applyFill="1" applyBorder="1" applyAlignment="1"/>
    <xf numFmtId="3" fontId="62" fillId="0" borderId="0" xfId="201" applyNumberFormat="1" applyFont="1" applyFill="1" applyBorder="1" applyAlignment="1">
      <alignment horizontal="center"/>
    </xf>
    <xf numFmtId="174" fontId="62" fillId="0" borderId="0" xfId="201" applyFont="1" applyFill="1" applyBorder="1" applyAlignment="1">
      <alignment horizontal="center"/>
    </xf>
    <xf numFmtId="0" fontId="62" fillId="0" borderId="0" xfId="201" applyNumberFormat="1" applyFont="1" applyFill="1" applyBorder="1" applyAlignment="1" applyProtection="1">
      <alignment horizontal="center"/>
      <protection locked="0"/>
    </xf>
    <xf numFmtId="0" fontId="62" fillId="0" borderId="0" xfId="201" applyNumberFormat="1" applyFont="1" applyFill="1" applyBorder="1" applyAlignment="1">
      <alignment horizontal="center"/>
    </xf>
    <xf numFmtId="0" fontId="62" fillId="0" borderId="0" xfId="201" applyNumberFormat="1" applyFont="1" applyFill="1" applyBorder="1" applyAlignment="1"/>
    <xf numFmtId="0" fontId="88"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alignment horizontal="left"/>
    </xf>
    <xf numFmtId="10" fontId="89" fillId="0" borderId="0" xfId="265" applyNumberFormat="1" applyFont="1" applyFill="1" applyBorder="1" applyAlignment="1"/>
    <xf numFmtId="10" fontId="62" fillId="0" borderId="0" xfId="201" applyNumberFormat="1" applyFont="1" applyFill="1" applyBorder="1" applyAlignment="1"/>
    <xf numFmtId="3" fontId="62" fillId="0" borderId="0" xfId="201" applyNumberFormat="1" applyFont="1" applyFill="1" applyBorder="1" applyAlignment="1"/>
    <xf numFmtId="165" fontId="62" fillId="0" borderId="0" xfId="201" applyNumberFormat="1" applyFont="1" applyFill="1" applyBorder="1" applyAlignment="1"/>
    <xf numFmtId="10" fontId="55" fillId="0" borderId="0" xfId="201" applyNumberFormat="1" applyFont="1" applyFill="1" applyBorder="1" applyAlignment="1"/>
    <xf numFmtId="49" fontId="62" fillId="0" borderId="0" xfId="201" applyNumberFormat="1" applyFont="1" applyFill="1" applyBorder="1" applyAlignment="1">
      <alignment horizontal="center"/>
    </xf>
    <xf numFmtId="174" fontId="62" fillId="0" borderId="0" xfId="201" applyFont="1" applyFill="1" applyBorder="1" applyAlignment="1"/>
    <xf numFmtId="3" fontId="62" fillId="0" borderId="0" xfId="201" applyNumberFormat="1" applyFont="1" applyFill="1" applyBorder="1" applyAlignment="1">
      <alignment horizontal="left"/>
    </xf>
    <xf numFmtId="10" fontId="62" fillId="0" borderId="0" xfId="265" applyNumberFormat="1" applyFont="1" applyFill="1" applyBorder="1" applyAlignment="1"/>
    <xf numFmtId="0" fontId="55" fillId="0" borderId="0" xfId="201" applyNumberFormat="1" applyFont="1" applyFill="1" applyBorder="1" applyAlignment="1">
      <alignment horizontal="fill"/>
    </xf>
    <xf numFmtId="174" fontId="90" fillId="0" borderId="0" xfId="201" applyFont="1" applyFill="1" applyBorder="1" applyAlignment="1"/>
    <xf numFmtId="3" fontId="90" fillId="0" borderId="0" xfId="201" applyNumberFormat="1" applyFont="1" applyFill="1" applyBorder="1" applyAlignment="1"/>
    <xf numFmtId="164" fontId="55" fillId="0" borderId="0" xfId="201" applyNumberFormat="1" applyFont="1" applyFill="1" applyBorder="1" applyAlignment="1">
      <alignment horizontal="left"/>
    </xf>
    <xf numFmtId="164" fontId="55" fillId="0" borderId="0" xfId="201" applyNumberFormat="1" applyFont="1" applyFill="1" applyBorder="1" applyAlignment="1">
      <alignment horizontal="center"/>
    </xf>
    <xf numFmtId="170" fontId="55" fillId="0" borderId="0" xfId="201" applyNumberFormat="1" applyFont="1" applyFill="1" applyBorder="1" applyAlignment="1"/>
    <xf numFmtId="0" fontId="90" fillId="0" borderId="0" xfId="201" applyNumberFormat="1" applyFont="1" applyFill="1" applyBorder="1"/>
    <xf numFmtId="177" fontId="62" fillId="0" borderId="0" xfId="201" applyNumberFormat="1" applyFont="1" applyFill="1" applyBorder="1" applyAlignment="1">
      <alignment horizontal="center"/>
    </xf>
    <xf numFmtId="174" fontId="62" fillId="0" borderId="7" xfId="201" applyFont="1" applyFill="1" applyBorder="1" applyAlignment="1"/>
    <xf numFmtId="0" fontId="62" fillId="0" borderId="7" xfId="201" applyNumberFormat="1" applyFont="1" applyFill="1" applyBorder="1" applyAlignment="1">
      <alignment horizontal="center" wrapText="1"/>
    </xf>
    <xf numFmtId="174" fontId="62" fillId="0" borderId="9" xfId="201" applyFont="1" applyFill="1" applyBorder="1" applyAlignment="1">
      <alignment horizontal="center" wrapText="1"/>
    </xf>
    <xf numFmtId="3" fontId="62" fillId="0" borderId="9" xfId="201" applyNumberFormat="1" applyFont="1" applyFill="1" applyBorder="1" applyAlignment="1">
      <alignment horizontal="center" wrapText="1"/>
    </xf>
    <xf numFmtId="0" fontId="55" fillId="0" borderId="7" xfId="201" applyNumberFormat="1" applyFont="1" applyFill="1" applyBorder="1"/>
    <xf numFmtId="0" fontId="55" fillId="0" borderId="7" xfId="201" applyNumberFormat="1" applyFont="1" applyFill="1" applyBorder="1" applyAlignment="1">
      <alignment horizontal="center"/>
    </xf>
    <xf numFmtId="0" fontId="55" fillId="0" borderId="9" xfId="201" applyNumberFormat="1" applyFont="1" applyFill="1" applyBorder="1" applyAlignment="1">
      <alignment horizontal="center"/>
    </xf>
    <xf numFmtId="3" fontId="55" fillId="0" borderId="9" xfId="201" applyNumberFormat="1" applyFont="1" applyFill="1" applyBorder="1" applyAlignment="1">
      <alignment horizontal="center" wrapText="1"/>
    </xf>
    <xf numFmtId="3" fontId="55" fillId="0" borderId="7" xfId="201" applyNumberFormat="1" applyFont="1" applyFill="1" applyBorder="1" applyAlignment="1">
      <alignment horizontal="center"/>
    </xf>
    <xf numFmtId="0" fontId="55" fillId="0" borderId="11" xfId="201" applyNumberFormat="1" applyFont="1" applyFill="1" applyBorder="1"/>
    <xf numFmtId="3" fontId="55" fillId="0" borderId="11" xfId="201" applyNumberFormat="1"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49" fontId="85" fillId="0" borderId="0" xfId="0" applyNumberFormat="1" applyFont="1" applyAlignment="1">
      <alignment horizontal="center"/>
    </xf>
    <xf numFmtId="3" fontId="85" fillId="0" borderId="0" xfId="210" applyNumberFormat="1" applyFont="1" applyAlignment="1"/>
    <xf numFmtId="3" fontId="55" fillId="0" borderId="0" xfId="210" applyNumberFormat="1" applyFont="1" applyAlignment="1">
      <alignment wrapText="1"/>
    </xf>
    <xf numFmtId="0" fontId="55" fillId="0" borderId="0" xfId="192" applyFont="1"/>
    <xf numFmtId="43" fontId="55" fillId="0" borderId="0" xfId="192" applyNumberFormat="1" applyFont="1"/>
    <xf numFmtId="0" fontId="55" fillId="0" borderId="0" xfId="188" applyFont="1"/>
    <xf numFmtId="0" fontId="55" fillId="0" borderId="0" xfId="188" applyFont="1" applyAlignment="1">
      <alignment horizontal="right"/>
    </xf>
    <xf numFmtId="0" fontId="55" fillId="0" borderId="0" xfId="210" applyNumberFormat="1" applyFont="1" applyAlignment="1" applyProtection="1">
      <alignment horizontal="center"/>
      <protection locked="0"/>
    </xf>
    <xf numFmtId="0" fontId="55" fillId="0" borderId="0" xfId="210" applyNumberFormat="1" applyFont="1" applyFill="1" applyAlignment="1" applyProtection="1">
      <protection locked="0"/>
    </xf>
    <xf numFmtId="0" fontId="55" fillId="0" borderId="0" xfId="210" applyNumberFormat="1" applyFont="1" applyFill="1" applyProtection="1">
      <protection locked="0"/>
    </xf>
    <xf numFmtId="0" fontId="55" fillId="14" borderId="0" xfId="188" applyFont="1" applyFill="1"/>
    <xf numFmtId="0" fontId="55" fillId="0" borderId="0" xfId="210" applyNumberFormat="1" applyFont="1" applyProtection="1">
      <protection locked="0"/>
    </xf>
    <xf numFmtId="0" fontId="55" fillId="0" borderId="0" xfId="210" applyNumberFormat="1" applyFont="1"/>
    <xf numFmtId="0" fontId="92" fillId="0" borderId="0" xfId="210" applyNumberFormat="1" applyFont="1"/>
    <xf numFmtId="49" fontId="55" fillId="0" borderId="0" xfId="210" applyNumberFormat="1" applyFont="1" applyAlignment="1"/>
    <xf numFmtId="49" fontId="55" fillId="0" borderId="0" xfId="210" applyNumberFormat="1" applyFont="1" applyAlignment="1">
      <alignment horizontal="center"/>
    </xf>
    <xf numFmtId="0" fontId="55" fillId="0" borderId="0" xfId="210" applyNumberFormat="1" applyFont="1" applyAlignment="1">
      <alignment horizontal="center"/>
    </xf>
    <xf numFmtId="49" fontId="55" fillId="0" borderId="0" xfId="210" applyNumberFormat="1" applyFont="1"/>
    <xf numFmtId="3" fontId="55" fillId="0" borderId="0" xfId="210" applyNumberFormat="1" applyFont="1"/>
    <xf numFmtId="42" fontId="55" fillId="0" borderId="0" xfId="188" applyNumberFormat="1" applyFont="1"/>
    <xf numFmtId="0" fontId="55" fillId="0" borderId="0" xfId="210" applyNumberFormat="1" applyFont="1" applyFill="1"/>
    <xf numFmtId="0" fontId="55" fillId="0" borderId="8" xfId="210" applyNumberFormat="1" applyFont="1" applyBorder="1" applyAlignment="1" applyProtection="1">
      <alignment horizontal="centerContinuous"/>
      <protection locked="0"/>
    </xf>
    <xf numFmtId="3" fontId="55" fillId="0" borderId="0" xfId="210" applyNumberFormat="1" applyFont="1" applyFill="1" applyBorder="1"/>
    <xf numFmtId="3" fontId="55" fillId="0" borderId="0" xfId="210" applyNumberFormat="1" applyFont="1" applyAlignment="1">
      <alignment horizontal="left"/>
    </xf>
    <xf numFmtId="166" fontId="55" fillId="0" borderId="0" xfId="210" applyNumberFormat="1" applyFont="1" applyAlignment="1"/>
    <xf numFmtId="174" fontId="86" fillId="0" borderId="0" xfId="0" applyFont="1" applyAlignment="1"/>
    <xf numFmtId="0" fontId="55" fillId="0" borderId="0" xfId="206" applyNumberFormat="1" applyFont="1" applyAlignment="1" applyProtection="1">
      <alignment horizontal="center"/>
      <protection locked="0"/>
    </xf>
    <xf numFmtId="0" fontId="55" fillId="0" borderId="0" xfId="206" applyNumberFormat="1" applyFont="1" applyAlignment="1"/>
    <xf numFmtId="0" fontId="55" fillId="0" borderId="0" xfId="206" applyNumberFormat="1" applyFont="1"/>
    <xf numFmtId="0" fontId="55" fillId="0" borderId="0" xfId="206" applyNumberFormat="1" applyFont="1" applyBorder="1" applyAlignment="1"/>
    <xf numFmtId="0" fontId="55" fillId="0" borderId="0" xfId="210" applyNumberFormat="1" applyFont="1" applyFill="1" applyBorder="1"/>
    <xf numFmtId="0" fontId="55" fillId="0" borderId="0" xfId="206" applyFont="1" applyAlignment="1"/>
    <xf numFmtId="3" fontId="55" fillId="0" borderId="0" xfId="206" applyNumberFormat="1" applyFont="1" applyAlignment="1"/>
    <xf numFmtId="42" fontId="55" fillId="0" borderId="18" xfId="206" applyNumberFormat="1" applyFont="1" applyBorder="1" applyAlignment="1" applyProtection="1">
      <alignment horizontal="right"/>
      <protection locked="0"/>
    </xf>
    <xf numFmtId="0" fontId="55" fillId="0" borderId="0" xfId="210" applyNumberFormat="1" applyFont="1" applyFill="1" applyBorder="1" applyAlignment="1" applyProtection="1">
      <alignment horizontal="center"/>
      <protection locked="0"/>
    </xf>
    <xf numFmtId="174" fontId="55" fillId="0" borderId="0" xfId="210" applyFont="1" applyFill="1" applyBorder="1" applyAlignment="1"/>
    <xf numFmtId="0" fontId="55" fillId="0" borderId="0" xfId="210" applyNumberFormat="1" applyFont="1" applyFill="1" applyBorder="1" applyProtection="1">
      <protection locked="0"/>
    </xf>
    <xf numFmtId="0" fontId="55" fillId="0" borderId="0" xfId="210" applyNumberFormat="1" applyFont="1" applyFill="1" applyBorder="1" applyAlignment="1"/>
    <xf numFmtId="173" fontId="55" fillId="0" borderId="0" xfId="210" applyNumberFormat="1" applyFont="1" applyFill="1" applyProtection="1">
      <protection locked="0"/>
    </xf>
    <xf numFmtId="173" fontId="55" fillId="0" borderId="0" xfId="210" applyNumberFormat="1" applyFont="1" applyProtection="1">
      <protection locked="0"/>
    </xf>
    <xf numFmtId="169" fontId="55" fillId="0" borderId="0" xfId="210" applyNumberFormat="1" applyFont="1"/>
    <xf numFmtId="0" fontId="55" fillId="0" borderId="0" xfId="210" applyNumberFormat="1" applyFont="1" applyAlignment="1">
      <alignment horizontal="right"/>
    </xf>
    <xf numFmtId="0" fontId="84" fillId="0" borderId="0" xfId="210" applyNumberFormat="1" applyFont="1" applyAlignment="1"/>
    <xf numFmtId="3" fontId="62" fillId="0" borderId="0" xfId="210" applyNumberFormat="1" applyFont="1" applyAlignment="1">
      <alignment horizontal="center"/>
    </xf>
    <xf numFmtId="0" fontId="62" fillId="0" borderId="0" xfId="210" applyNumberFormat="1" applyFont="1" applyAlignment="1" applyProtection="1">
      <alignment horizontal="center"/>
      <protection locked="0"/>
    </xf>
    <xf numFmtId="174" fontId="62" fillId="0" borderId="0" xfId="210" applyFont="1" applyAlignment="1">
      <alignment horizontal="center"/>
    </xf>
    <xf numFmtId="3" fontId="62" fillId="0" borderId="0" xfId="210" applyNumberFormat="1" applyFont="1" applyAlignment="1"/>
    <xf numFmtId="0" fontId="62" fillId="0" borderId="0" xfId="210" applyNumberFormat="1" applyFont="1" applyAlignment="1"/>
    <xf numFmtId="175" fontId="55" fillId="14" borderId="0" xfId="59" applyNumberFormat="1" applyFont="1" applyFill="1" applyAlignment="1"/>
    <xf numFmtId="175" fontId="55" fillId="14" borderId="8" xfId="59" applyNumberFormat="1" applyFont="1" applyFill="1" applyBorder="1" applyAlignment="1"/>
    <xf numFmtId="175" fontId="55" fillId="0" borderId="8" xfId="59" applyNumberFormat="1" applyFont="1" applyBorder="1" applyAlignment="1"/>
    <xf numFmtId="43" fontId="55" fillId="0" borderId="0" xfId="59" applyFont="1" applyAlignment="1">
      <alignment horizontal="center"/>
    </xf>
    <xf numFmtId="164" fontId="55" fillId="0" borderId="0" xfId="210" applyNumberFormat="1" applyFont="1" applyAlignment="1">
      <alignment horizontal="center"/>
    </xf>
    <xf numFmtId="184" fontId="55" fillId="0" borderId="0" xfId="59" applyNumberFormat="1" applyFont="1" applyAlignment="1"/>
    <xf numFmtId="3" fontId="55" fillId="0" borderId="0" xfId="206" applyNumberFormat="1" applyFont="1" applyBorder="1" applyAlignment="1"/>
    <xf numFmtId="3" fontId="55" fillId="0" borderId="0" xfId="206" applyNumberFormat="1" applyFont="1" applyFill="1" applyBorder="1" applyAlignment="1"/>
    <xf numFmtId="0" fontId="55" fillId="0" borderId="0" xfId="206" applyFont="1" applyFill="1" applyBorder="1" applyAlignment="1"/>
    <xf numFmtId="3" fontId="55" fillId="0" borderId="0" xfId="206" applyNumberFormat="1" applyFont="1" applyFill="1" applyAlignment="1"/>
    <xf numFmtId="184" fontId="55" fillId="0" borderId="0" xfId="59" applyNumberFormat="1" applyFont="1" applyBorder="1" applyAlignment="1"/>
    <xf numFmtId="3" fontId="55" fillId="0" borderId="0" xfId="210" quotePrefix="1" applyNumberFormat="1" applyFont="1" applyAlignment="1">
      <alignment horizontal="left"/>
    </xf>
    <xf numFmtId="175" fontId="55" fillId="0" borderId="0" xfId="59" applyNumberFormat="1" applyFont="1" applyFill="1" applyAlignment="1"/>
    <xf numFmtId="3" fontId="55" fillId="0" borderId="0" xfId="188" applyNumberFormat="1" applyFont="1" applyFill="1" applyAlignment="1"/>
    <xf numFmtId="0" fontId="55" fillId="0" borderId="0" xfId="188" applyNumberFormat="1" applyFont="1"/>
    <xf numFmtId="175" fontId="55" fillId="0" borderId="18" xfId="59" applyNumberFormat="1" applyFont="1" applyBorder="1" applyAlignment="1"/>
    <xf numFmtId="164" fontId="55" fillId="0" borderId="0" xfId="188" applyNumberFormat="1" applyFont="1" applyAlignment="1">
      <alignment horizontal="center"/>
    </xf>
    <xf numFmtId="3" fontId="55" fillId="0" borderId="0" xfId="188" applyNumberFormat="1" applyFont="1" applyBorder="1" applyAlignment="1"/>
    <xf numFmtId="3" fontId="55" fillId="0" borderId="0" xfId="210" applyNumberFormat="1" applyFont="1" applyAlignment="1">
      <alignment horizontal="right"/>
    </xf>
    <xf numFmtId="0" fontId="55" fillId="0" borderId="0" xfId="206" applyNumberFormat="1" applyFont="1" applyFill="1" applyAlignment="1"/>
    <xf numFmtId="172" fontId="55" fillId="0" borderId="0" xfId="210" applyNumberFormat="1" applyFont="1" applyFill="1" applyAlignment="1">
      <alignment horizontal="left"/>
    </xf>
    <xf numFmtId="183" fontId="55" fillId="0" borderId="0" xfId="59" applyNumberFormat="1" applyFont="1" applyAlignment="1"/>
    <xf numFmtId="183" fontId="55" fillId="0" borderId="0" xfId="59" applyNumberFormat="1" applyFont="1" applyFill="1" applyAlignment="1"/>
    <xf numFmtId="183" fontId="55" fillId="0" borderId="0" xfId="59" applyNumberFormat="1" applyFont="1" applyFill="1" applyBorder="1" applyAlignment="1"/>
    <xf numFmtId="175" fontId="55" fillId="0" borderId="8" xfId="59" applyNumberFormat="1" applyFont="1" applyFill="1" applyBorder="1" applyAlignment="1"/>
    <xf numFmtId="0" fontId="55" fillId="0" borderId="0" xfId="210" applyNumberFormat="1" applyFont="1" applyAlignment="1">
      <alignment wrapText="1"/>
    </xf>
    <xf numFmtId="0" fontId="55" fillId="0" borderId="0" xfId="210" quotePrefix="1" applyNumberFormat="1" applyFont="1" applyAlignment="1">
      <alignment horizontal="left"/>
    </xf>
    <xf numFmtId="175" fontId="55" fillId="0" borderId="0" xfId="59" applyNumberFormat="1" applyFont="1" applyFill="1" applyAlignment="1">
      <alignment horizontal="right"/>
    </xf>
    <xf numFmtId="167" fontId="55" fillId="0" borderId="0" xfId="210" applyNumberFormat="1" applyFont="1" applyAlignment="1"/>
    <xf numFmtId="166" fontId="55" fillId="0" borderId="0" xfId="188" applyNumberFormat="1" applyFont="1" applyAlignment="1">
      <alignment horizontal="center"/>
    </xf>
    <xf numFmtId="164" fontId="55" fillId="0" borderId="0" xfId="210" applyNumberFormat="1" applyFont="1" applyAlignment="1" applyProtection="1">
      <alignment horizontal="left"/>
      <protection locked="0"/>
    </xf>
    <xf numFmtId="175" fontId="55" fillId="0" borderId="14" xfId="59" applyNumberFormat="1" applyFont="1" applyBorder="1" applyAlignment="1"/>
    <xf numFmtId="0" fontId="85" fillId="0" borderId="0" xfId="210" applyNumberFormat="1" applyFont="1" applyAlignment="1" applyProtection="1">
      <alignment horizontal="center"/>
      <protection locked="0"/>
    </xf>
    <xf numFmtId="0" fontId="55" fillId="0" borderId="8" xfId="210" applyNumberFormat="1" applyFont="1" applyFill="1" applyBorder="1" applyProtection="1">
      <protection locked="0"/>
    </xf>
    <xf numFmtId="0" fontId="55" fillId="0" borderId="8" xfId="210" applyNumberFormat="1" applyFont="1" applyFill="1" applyBorder="1"/>
    <xf numFmtId="3" fontId="55" fillId="0" borderId="0" xfId="210" applyNumberFormat="1" applyFont="1" applyFill="1" applyAlignment="1">
      <alignment horizontal="center"/>
    </xf>
    <xf numFmtId="49" fontId="55" fillId="0" borderId="0" xfId="210" applyNumberFormat="1" applyFont="1" applyFill="1"/>
    <xf numFmtId="49" fontId="55" fillId="0" borderId="0" xfId="210" applyNumberFormat="1" applyFont="1" applyFill="1" applyAlignment="1"/>
    <xf numFmtId="49" fontId="55" fillId="0" borderId="0" xfId="210" applyNumberFormat="1" applyFont="1" applyFill="1" applyAlignment="1">
      <alignment horizontal="center"/>
    </xf>
    <xf numFmtId="183" fontId="55" fillId="0" borderId="0" xfId="59" applyNumberFormat="1" applyFont="1" applyFill="1" applyAlignment="1">
      <alignment horizontal="right"/>
    </xf>
    <xf numFmtId="3" fontId="55" fillId="0" borderId="8" xfId="210" applyNumberFormat="1" applyFont="1" applyBorder="1" applyAlignment="1"/>
    <xf numFmtId="43" fontId="55" fillId="0" borderId="0" xfId="59" applyNumberFormat="1" applyFont="1" applyAlignment="1"/>
    <xf numFmtId="4" fontId="55" fillId="0" borderId="0" xfId="210" applyNumberFormat="1" applyFont="1" applyAlignment="1"/>
    <xf numFmtId="3" fontId="55" fillId="0" borderId="0" xfId="188" applyNumberFormat="1" applyFont="1" applyBorder="1" applyAlignment="1">
      <alignment horizontal="center"/>
    </xf>
    <xf numFmtId="0" fontId="55" fillId="0" borderId="8" xfId="188" applyNumberFormat="1" applyFont="1" applyBorder="1" applyAlignment="1">
      <alignment horizontal="center"/>
    </xf>
    <xf numFmtId="0" fontId="55" fillId="0" borderId="0" xfId="188" applyNumberFormat="1" applyFont="1" applyAlignment="1">
      <alignment horizontal="center"/>
    </xf>
    <xf numFmtId="3" fontId="55" fillId="0" borderId="0" xfId="210" quotePrefix="1" applyNumberFormat="1" applyFont="1" applyAlignment="1"/>
    <xf numFmtId="175" fontId="55" fillId="0" borderId="0" xfId="59" applyNumberFormat="1" applyFont="1" applyFill="1" applyAlignment="1">
      <alignment horizontal="center"/>
    </xf>
    <xf numFmtId="0" fontId="55" fillId="0" borderId="0" xfId="210" applyNumberFormat="1" applyFont="1" applyBorder="1" applyAlignment="1" applyProtection="1">
      <alignment horizontal="center"/>
      <protection locked="0"/>
    </xf>
    <xf numFmtId="174" fontId="55" fillId="0" borderId="0" xfId="210" applyFont="1" applyFill="1" applyAlignment="1" applyProtection="1"/>
    <xf numFmtId="170" fontId="55" fillId="0" borderId="0" xfId="210" applyNumberFormat="1" applyFont="1" applyFill="1" applyBorder="1" applyProtection="1"/>
    <xf numFmtId="168" fontId="55" fillId="0" borderId="0" xfId="210" applyNumberFormat="1" applyFont="1" applyProtection="1">
      <protection locked="0"/>
    </xf>
    <xf numFmtId="1" fontId="55" fillId="0" borderId="0" xfId="210" applyNumberFormat="1" applyFont="1" applyFill="1" applyProtection="1"/>
    <xf numFmtId="1" fontId="55" fillId="0" borderId="0" xfId="210" applyNumberFormat="1" applyFont="1" applyFill="1" applyAlignment="1" applyProtection="1"/>
    <xf numFmtId="0" fontId="55" fillId="0" borderId="0" xfId="210" applyNumberFormat="1" applyFont="1" applyAlignment="1" applyProtection="1">
      <alignment horizontal="left"/>
      <protection locked="0"/>
    </xf>
    <xf numFmtId="3" fontId="55" fillId="0" borderId="0" xfId="210" applyNumberFormat="1" applyFont="1" applyAlignment="1" applyProtection="1"/>
    <xf numFmtId="3" fontId="55" fillId="0" borderId="0" xfId="210" applyNumberFormat="1" applyFont="1" applyFill="1" applyAlignment="1" applyProtection="1"/>
    <xf numFmtId="174" fontId="55" fillId="0" borderId="0" xfId="210" applyNumberFormat="1" applyFont="1" applyAlignment="1" applyProtection="1">
      <protection locked="0"/>
    </xf>
    <xf numFmtId="170" fontId="55" fillId="0" borderId="0" xfId="210" applyNumberFormat="1" applyFont="1" applyFill="1" applyBorder="1" applyAlignment="1" applyProtection="1"/>
    <xf numFmtId="170" fontId="55" fillId="0" borderId="0" xfId="210" applyNumberFormat="1" applyFont="1" applyProtection="1">
      <protection locked="0"/>
    </xf>
    <xf numFmtId="3" fontId="55" fillId="0" borderId="0" xfId="210" applyNumberFormat="1" applyFont="1" applyAlignment="1">
      <alignment vertical="top" wrapText="1"/>
    </xf>
    <xf numFmtId="0" fontId="55" fillId="0" borderId="0" xfId="210" applyNumberFormat="1" applyFont="1" applyAlignment="1" applyProtection="1">
      <alignment vertical="top" wrapText="1"/>
      <protection locked="0"/>
    </xf>
    <xf numFmtId="174" fontId="84" fillId="0" borderId="15" xfId="201" applyFont="1" applyFill="1" applyBorder="1" applyAlignment="1"/>
    <xf numFmtId="174" fontId="84" fillId="0" borderId="1" xfId="201" applyFont="1" applyFill="1" applyBorder="1" applyAlignment="1"/>
    <xf numFmtId="177" fontId="62" fillId="0" borderId="0" xfId="201" quotePrefix="1" applyNumberFormat="1" applyFont="1" applyFill="1" applyBorder="1" applyAlignment="1">
      <alignment horizontal="center"/>
    </xf>
    <xf numFmtId="174" fontId="55" fillId="0" borderId="0" xfId="210" applyFont="1" applyAlignment="1">
      <alignment horizontal="center"/>
    </xf>
    <xf numFmtId="174" fontId="55" fillId="0" borderId="0" xfId="201" applyFont="1" applyFill="1" applyBorder="1" applyAlignment="1">
      <alignment horizontal="left"/>
    </xf>
    <xf numFmtId="0" fontId="55" fillId="0" borderId="0" xfId="210" applyNumberFormat="1" applyFont="1" applyFill="1" applyAlignment="1">
      <alignment horizontal="center"/>
    </xf>
    <xf numFmtId="10" fontId="55" fillId="0" borderId="0" xfId="265" applyNumberFormat="1" applyFont="1" applyAlignment="1"/>
    <xf numFmtId="0" fontId="55" fillId="0" borderId="0" xfId="187" applyFont="1" applyFill="1" applyBorder="1" applyAlignment="1">
      <alignment horizontal="center"/>
    </xf>
    <xf numFmtId="174" fontId="55" fillId="0" borderId="0" xfId="0" applyFont="1" applyFill="1" applyAlignment="1"/>
    <xf numFmtId="174" fontId="55" fillId="0" borderId="0" xfId="0" applyFont="1" applyAlignment="1">
      <alignment horizontal="center"/>
    </xf>
    <xf numFmtId="174" fontId="55" fillId="0" borderId="0" xfId="0" applyFont="1" applyAlignment="1">
      <alignment horizontal="right"/>
    </xf>
    <xf numFmtId="0" fontId="55" fillId="0" borderId="0" xfId="0" applyNumberFormat="1" applyFont="1" applyAlignment="1">
      <alignment horizontal="center"/>
    </xf>
    <xf numFmtId="0" fontId="55" fillId="0" borderId="0" xfId="0" applyNumberFormat="1" applyFont="1" applyAlignment="1">
      <alignment horizontal="center" wrapText="1"/>
    </xf>
    <xf numFmtId="0" fontId="84" fillId="0" borderId="0" xfId="0" applyNumberFormat="1" applyFont="1" applyAlignment="1">
      <alignment horizontal="center"/>
    </xf>
    <xf numFmtId="174" fontId="84" fillId="0" borderId="0" xfId="0" applyFont="1" applyAlignment="1">
      <alignment horizontal="center"/>
    </xf>
    <xf numFmtId="44" fontId="84" fillId="0" borderId="0" xfId="0" applyNumberFormat="1" applyFont="1" applyBorder="1" applyAlignment="1"/>
    <xf numFmtId="0" fontId="55" fillId="0" borderId="22" xfId="201" applyNumberFormat="1" applyFont="1" applyFill="1" applyBorder="1"/>
    <xf numFmtId="0" fontId="55" fillId="0" borderId="7" xfId="201" applyNumberFormat="1" applyFont="1" applyFill="1" applyBorder="1" applyAlignment="1">
      <alignment horizontal="center" wrapText="1"/>
    </xf>
    <xf numFmtId="174" fontId="45" fillId="0" borderId="0" xfId="0" applyFont="1" applyAlignment="1"/>
    <xf numFmtId="43" fontId="45" fillId="0" borderId="0" xfId="59" applyFont="1" applyAlignment="1"/>
    <xf numFmtId="175" fontId="45" fillId="0" borderId="0" xfId="59" applyNumberFormat="1" applyFont="1" applyAlignment="1" applyProtection="1">
      <alignment horizontal="center"/>
      <protection locked="0"/>
    </xf>
    <xf numFmtId="0" fontId="45" fillId="0" borderId="0" xfId="210" applyNumberFormat="1" applyFont="1" applyAlignment="1" applyProtection="1">
      <protection locked="0"/>
    </xf>
    <xf numFmtId="3" fontId="45" fillId="0" borderId="0" xfId="210" applyNumberFormat="1" applyFont="1" applyAlignment="1"/>
    <xf numFmtId="3" fontId="45" fillId="0" borderId="8" xfId="210" applyNumberFormat="1" applyFont="1" applyBorder="1" applyAlignment="1">
      <alignment horizontal="center"/>
    </xf>
    <xf numFmtId="170" fontId="45" fillId="0" borderId="0" xfId="0" applyNumberFormat="1" applyFont="1" applyAlignment="1"/>
    <xf numFmtId="0" fontId="45" fillId="0" borderId="0" xfId="210" applyNumberFormat="1" applyFont="1" applyAlignment="1"/>
    <xf numFmtId="3" fontId="45" fillId="0" borderId="0" xfId="210" applyNumberFormat="1" applyFont="1" applyAlignment="1">
      <alignment horizontal="center"/>
    </xf>
    <xf numFmtId="0" fontId="45" fillId="0" borderId="8" xfId="210" applyNumberFormat="1" applyFont="1" applyBorder="1" applyAlignment="1" applyProtection="1">
      <alignment horizontal="center"/>
      <protection locked="0"/>
    </xf>
    <xf numFmtId="174" fontId="45" fillId="0" borderId="0" xfId="210" applyFont="1" applyFill="1" applyAlignment="1"/>
    <xf numFmtId="174" fontId="45" fillId="0" borderId="0" xfId="210" applyFont="1" applyAlignment="1"/>
    <xf numFmtId="43" fontId="45" fillId="0" borderId="0" xfId="59" applyFont="1" applyFill="1" applyAlignment="1">
      <alignment horizontal="center"/>
    </xf>
    <xf numFmtId="3" fontId="45" fillId="0" borderId="0" xfId="210" applyNumberFormat="1" applyFont="1" applyFill="1" applyAlignment="1"/>
    <xf numFmtId="166" fontId="45" fillId="0" borderId="0" xfId="210" applyNumberFormat="1" applyFont="1" applyAlignment="1">
      <alignment horizontal="center"/>
    </xf>
    <xf numFmtId="164" fontId="45" fillId="0" borderId="0" xfId="210" applyNumberFormat="1" applyFont="1" applyAlignment="1">
      <alignment horizontal="left"/>
    </xf>
    <xf numFmtId="0" fontId="45" fillId="0" borderId="0" xfId="210" applyNumberFormat="1" applyFont="1" applyFill="1" applyAlignment="1"/>
    <xf numFmtId="164" fontId="45" fillId="0" borderId="0" xfId="210" applyNumberFormat="1" applyFont="1" applyFill="1" applyAlignment="1">
      <alignment horizontal="left"/>
    </xf>
    <xf numFmtId="43" fontId="45" fillId="0" borderId="0" xfId="59" applyFont="1" applyFill="1" applyAlignment="1">
      <alignment horizontal="right"/>
    </xf>
    <xf numFmtId="175" fontId="45" fillId="0" borderId="0" xfId="59" applyNumberFormat="1" applyFont="1" applyBorder="1" applyAlignment="1"/>
    <xf numFmtId="10" fontId="45" fillId="0" borderId="0" xfId="210" applyNumberFormat="1" applyFont="1" applyFill="1" applyAlignment="1">
      <alignment horizontal="left"/>
    </xf>
    <xf numFmtId="3" fontId="45" fillId="0" borderId="0" xfId="188" applyNumberFormat="1" applyFont="1" applyAlignment="1"/>
    <xf numFmtId="166" fontId="45" fillId="0" borderId="0" xfId="188" applyNumberFormat="1" applyFont="1" applyAlignment="1"/>
    <xf numFmtId="0" fontId="45" fillId="0" borderId="0" xfId="188" applyFont="1" applyAlignment="1"/>
    <xf numFmtId="164" fontId="45" fillId="0" borderId="0" xfId="210" applyNumberFormat="1" applyFont="1" applyFill="1" applyAlignment="1" applyProtection="1">
      <alignment horizontal="left"/>
      <protection locked="0"/>
    </xf>
    <xf numFmtId="0" fontId="55" fillId="0" borderId="0" xfId="211" applyFont="1" applyAlignment="1">
      <alignment horizontal="center"/>
    </xf>
    <xf numFmtId="49" fontId="55" fillId="0" borderId="0" xfId="0" applyNumberFormat="1" applyFont="1" applyAlignment="1">
      <alignment horizontal="center"/>
    </xf>
    <xf numFmtId="0" fontId="55" fillId="0" borderId="0" xfId="210" applyNumberFormat="1" applyFont="1" applyFill="1" applyAlignment="1" applyProtection="1">
      <alignment vertical="top"/>
      <protection locked="0"/>
    </xf>
    <xf numFmtId="0" fontId="55" fillId="0" borderId="0" xfId="188" applyNumberFormat="1" applyFont="1" applyAlignment="1">
      <alignment vertical="top"/>
    </xf>
    <xf numFmtId="0" fontId="55" fillId="0" borderId="0" xfId="210" applyNumberFormat="1" applyFont="1" applyAlignment="1" applyProtection="1">
      <alignment vertical="top"/>
      <protection locked="0"/>
    </xf>
    <xf numFmtId="170" fontId="55" fillId="0" borderId="0" xfId="210" applyNumberFormat="1" applyFont="1" applyFill="1" applyBorder="1" applyAlignment="1" applyProtection="1">
      <alignment vertical="top"/>
    </xf>
    <xf numFmtId="3" fontId="55" fillId="0" borderId="0" xfId="210" applyNumberFormat="1" applyFont="1" applyAlignment="1" applyProtection="1">
      <alignment vertical="top"/>
    </xf>
    <xf numFmtId="3" fontId="55" fillId="0" borderId="0" xfId="210" applyNumberFormat="1" applyFont="1" applyFill="1" applyAlignment="1" applyProtection="1">
      <alignment vertical="top"/>
    </xf>
    <xf numFmtId="174" fontId="55" fillId="0" borderId="0" xfId="0" applyFont="1" applyAlignment="1">
      <alignment vertical="top"/>
    </xf>
    <xf numFmtId="1" fontId="55" fillId="0" borderId="0" xfId="0" applyNumberFormat="1" applyFont="1" applyFill="1" applyAlignment="1">
      <alignment horizontal="center"/>
    </xf>
    <xf numFmtId="49" fontId="55" fillId="0" borderId="0" xfId="0" applyNumberFormat="1" applyFont="1" applyFill="1" applyAlignment="1">
      <alignment horizontal="center"/>
    </xf>
    <xf numFmtId="175" fontId="45" fillId="0" borderId="0" xfId="59" applyNumberFormat="1" applyFont="1" applyAlignment="1"/>
    <xf numFmtId="175" fontId="55" fillId="0" borderId="0" xfId="59" applyNumberFormat="1" applyFont="1" applyAlignment="1">
      <alignment horizontal="right"/>
    </xf>
    <xf numFmtId="175" fontId="55" fillId="0" borderId="8" xfId="59" applyNumberFormat="1" applyFont="1" applyBorder="1" applyAlignment="1">
      <alignment horizontal="right"/>
    </xf>
    <xf numFmtId="43" fontId="45" fillId="0" borderId="0" xfId="59" applyFont="1" applyAlignment="1">
      <alignment horizontal="right"/>
    </xf>
    <xf numFmtId="174" fontId="55" fillId="0" borderId="0" xfId="0" applyFont="1" applyFill="1" applyAlignment="1">
      <alignment horizontal="center"/>
    </xf>
    <xf numFmtId="175" fontId="55" fillId="0" borderId="11" xfId="59" applyNumberFormat="1" applyFont="1" applyFill="1" applyBorder="1" applyAlignment="1"/>
    <xf numFmtId="175" fontId="55" fillId="0" borderId="15" xfId="59" applyNumberFormat="1" applyFont="1" applyFill="1" applyBorder="1" applyAlignment="1"/>
    <xf numFmtId="0" fontId="55" fillId="0" borderId="0" xfId="188" applyNumberFormat="1" applyFont="1" applyFill="1" applyAlignment="1">
      <alignment vertical="top"/>
    </xf>
    <xf numFmtId="0" fontId="55" fillId="0" borderId="0" xfId="0" applyNumberFormat="1" applyFont="1" applyFill="1" applyBorder="1" applyAlignment="1">
      <alignment vertical="top"/>
    </xf>
    <xf numFmtId="3" fontId="55" fillId="0" borderId="0" xfId="210" applyNumberFormat="1" applyFont="1" applyBorder="1" applyAlignment="1">
      <alignment horizontal="center"/>
    </xf>
    <xf numFmtId="3" fontId="45" fillId="0" borderId="0" xfId="0" applyNumberFormat="1" applyFont="1" applyAlignment="1"/>
    <xf numFmtId="3" fontId="45" fillId="0" borderId="0" xfId="0" applyNumberFormat="1" applyFont="1" applyFill="1" applyAlignment="1"/>
    <xf numFmtId="0" fontId="45" fillId="0" borderId="0" xfId="0" applyNumberFormat="1" applyFont="1" applyProtection="1">
      <protection locked="0"/>
    </xf>
    <xf numFmtId="3" fontId="45" fillId="0" borderId="0" xfId="0" applyNumberFormat="1" applyFont="1" applyAlignment="1">
      <alignment horizontal="center"/>
    </xf>
    <xf numFmtId="3" fontId="55" fillId="0" borderId="0" xfId="188" applyNumberFormat="1" applyFont="1" applyAlignment="1">
      <alignment wrapText="1"/>
    </xf>
    <xf numFmtId="174" fontId="45" fillId="0" borderId="0" xfId="210" applyFont="1" applyFill="1" applyAlignment="1">
      <alignment wrapText="1"/>
    </xf>
    <xf numFmtId="175" fontId="45" fillId="0" borderId="0" xfId="59" applyNumberFormat="1" applyFont="1" applyAlignment="1">
      <alignment horizontal="left" indent="2"/>
    </xf>
    <xf numFmtId="174" fontId="55" fillId="0" borderId="0" xfId="0" applyFont="1" applyFill="1" applyBorder="1" applyAlignment="1"/>
    <xf numFmtId="175" fontId="55" fillId="0" borderId="8" xfId="59" applyNumberFormat="1" applyFont="1" applyFill="1" applyBorder="1" applyAlignment="1">
      <alignment horizontal="center"/>
    </xf>
    <xf numFmtId="0" fontId="55" fillId="0" borderId="19" xfId="201" applyNumberFormat="1" applyFont="1" applyFill="1" applyBorder="1"/>
    <xf numFmtId="175" fontId="55" fillId="14" borderId="10" xfId="59" applyNumberFormat="1" applyFont="1" applyFill="1" applyBorder="1" applyAlignment="1"/>
    <xf numFmtId="174" fontId="84" fillId="0" borderId="17" xfId="201" applyFont="1" applyFill="1" applyBorder="1" applyAlignment="1"/>
    <xf numFmtId="0" fontId="55" fillId="0" borderId="9" xfId="201" applyNumberFormat="1" applyFont="1" applyFill="1" applyBorder="1" applyAlignment="1">
      <alignment horizontal="center" wrapText="1"/>
    </xf>
    <xf numFmtId="41" fontId="55" fillId="15" borderId="0" xfId="211" applyNumberFormat="1" applyFont="1" applyFill="1"/>
    <xf numFmtId="0" fontId="55" fillId="0" borderId="0" xfId="0" applyNumberFormat="1" applyFont="1" applyAlignment="1">
      <alignment horizontal="center"/>
    </xf>
    <xf numFmtId="44" fontId="55" fillId="0" borderId="0" xfId="0" applyNumberFormat="1" applyFont="1" applyBorder="1" applyAlignment="1"/>
    <xf numFmtId="44" fontId="55" fillId="0" borderId="0" xfId="0" applyNumberFormat="1" applyFont="1" applyFill="1" applyBorder="1" applyAlignment="1"/>
    <xf numFmtId="0" fontId="55" fillId="0" borderId="0" xfId="187" applyFont="1" applyFill="1" applyBorder="1" applyAlignment="1"/>
    <xf numFmtId="174" fontId="85" fillId="0" borderId="0" xfId="0" applyFont="1" applyBorder="1" applyAlignment="1"/>
    <xf numFmtId="0" fontId="55" fillId="16" borderId="0" xfId="187" applyFont="1" applyFill="1" applyBorder="1" applyAlignment="1"/>
    <xf numFmtId="175" fontId="55" fillId="16" borderId="0" xfId="59" applyNumberFormat="1" applyFont="1" applyFill="1" applyBorder="1" applyAlignment="1">
      <alignment horizontal="center"/>
    </xf>
    <xf numFmtId="175" fontId="55" fillId="0" borderId="0" xfId="59" applyNumberFormat="1" applyFont="1" applyFill="1" applyBorder="1" applyAlignment="1">
      <alignment horizontal="center" wrapText="1"/>
    </xf>
    <xf numFmtId="175" fontId="55" fillId="16" borderId="0" xfId="59" applyNumberFormat="1" applyFont="1" applyFill="1" applyBorder="1"/>
    <xf numFmtId="175" fontId="55" fillId="16" borderId="1" xfId="59" applyNumberFormat="1" applyFont="1" applyFill="1" applyBorder="1"/>
    <xf numFmtId="175" fontId="55" fillId="0" borderId="1" xfId="59" applyNumberFormat="1" applyFont="1" applyFill="1" applyBorder="1" applyAlignment="1">
      <alignment horizontal="center" wrapText="1"/>
    </xf>
    <xf numFmtId="175" fontId="55" fillId="0" borderId="0" xfId="59" applyNumberFormat="1" applyFont="1" applyFill="1" applyBorder="1"/>
    <xf numFmtId="174" fontId="55" fillId="0" borderId="0" xfId="0" applyFont="1" applyBorder="1" applyAlignment="1"/>
    <xf numFmtId="3" fontId="55" fillId="0" borderId="0" xfId="188" applyNumberFormat="1" applyFont="1" applyFill="1" applyAlignment="1">
      <alignment wrapText="1"/>
    </xf>
    <xf numFmtId="0" fontId="62" fillId="0" borderId="0" xfId="211" applyFont="1" applyFill="1" applyAlignment="1">
      <alignment horizontal="center" wrapText="1"/>
    </xf>
    <xf numFmtId="0" fontId="55" fillId="0" borderId="0" xfId="210" applyNumberFormat="1" applyFont="1" applyFill="1" applyAlignment="1" applyProtection="1">
      <alignment horizontal="center"/>
      <protection locked="0"/>
    </xf>
    <xf numFmtId="164" fontId="55" fillId="0" borderId="0" xfId="210" applyNumberFormat="1" applyFont="1" applyFill="1" applyAlignment="1">
      <alignment horizontal="center"/>
    </xf>
    <xf numFmtId="0" fontId="55" fillId="0" borderId="0" xfId="206" applyNumberFormat="1" applyFont="1" applyFill="1" applyAlignment="1">
      <alignment horizontal="left"/>
    </xf>
    <xf numFmtId="0" fontId="55" fillId="0" borderId="0" xfId="187" applyFont="1" applyBorder="1" applyAlignment="1">
      <alignment horizontal="center"/>
    </xf>
    <xf numFmtId="3" fontId="55" fillId="0" borderId="0" xfId="187" applyNumberFormat="1" applyFont="1" applyFill="1" applyBorder="1" applyAlignment="1"/>
    <xf numFmtId="174" fontId="62" fillId="0" borderId="1" xfId="201" applyFont="1" applyBorder="1" applyAlignment="1">
      <alignment horizontal="center" wrapText="1"/>
    </xf>
    <xf numFmtId="0" fontId="55" fillId="0" borderId="0" xfId="204" applyFont="1" applyBorder="1" applyAlignment="1"/>
    <xf numFmtId="180" fontId="55" fillId="0" borderId="0" xfId="205" applyNumberFormat="1" applyFont="1" applyFill="1" applyBorder="1" applyAlignment="1"/>
    <xf numFmtId="174" fontId="55" fillId="0" borderId="0" xfId="201" applyFont="1" applyFill="1" applyBorder="1" applyAlignment="1">
      <alignment vertical="top" wrapText="1"/>
    </xf>
    <xf numFmtId="0" fontId="88" fillId="0" borderId="0" xfId="187" applyFont="1" applyBorder="1" applyAlignment="1">
      <alignment horizontal="left"/>
    </xf>
    <xf numFmtId="0" fontId="55" fillId="0" borderId="0" xfId="187" applyFont="1" applyBorder="1" applyAlignment="1"/>
    <xf numFmtId="174" fontId="62" fillId="0" borderId="0" xfId="201" applyFont="1" applyAlignment="1">
      <alignment horizontal="center"/>
    </xf>
    <xf numFmtId="174" fontId="62" fillId="0" borderId="0" xfId="201" applyFont="1" applyAlignment="1">
      <alignment horizontal="center" wrapText="1"/>
    </xf>
    <xf numFmtId="0" fontId="62" fillId="0" borderId="0" xfId="185" applyFont="1" applyAlignment="1">
      <alignment horizontal="center"/>
    </xf>
    <xf numFmtId="0" fontId="55" fillId="0" borderId="0" xfId="187" applyFont="1" applyBorder="1"/>
    <xf numFmtId="170" fontId="55" fillId="0" borderId="0" xfId="204" applyNumberFormat="1" applyFont="1" applyFill="1" applyBorder="1" applyAlignment="1">
      <alignment horizontal="right"/>
    </xf>
    <xf numFmtId="173" fontId="55" fillId="0" borderId="0" xfId="204" applyNumberFormat="1" applyFont="1" applyFill="1" applyBorder="1" applyAlignment="1"/>
    <xf numFmtId="173" fontId="55" fillId="0" borderId="0" xfId="205" applyNumberFormat="1" applyFont="1" applyFill="1" applyBorder="1" applyAlignment="1"/>
    <xf numFmtId="0" fontId="55" fillId="0" borderId="0" xfId="204" applyFont="1" applyFill="1" applyBorder="1" applyAlignment="1"/>
    <xf numFmtId="175" fontId="55" fillId="0" borderId="0" xfId="364" applyNumberFormat="1" applyFont="1" applyFill="1" applyBorder="1" applyAlignment="1">
      <alignment horizontal="right"/>
    </xf>
    <xf numFmtId="174" fontId="62" fillId="0" borderId="0" xfId="201" applyFont="1" applyFill="1" applyBorder="1" applyAlignment="1">
      <alignment horizontal="center" wrapText="1"/>
    </xf>
    <xf numFmtId="174" fontId="55" fillId="0" borderId="0" xfId="201" applyFont="1" applyFill="1" applyBorder="1" applyAlignment="1">
      <alignment wrapText="1"/>
    </xf>
    <xf numFmtId="174" fontId="55" fillId="0" borderId="0" xfId="0" applyFont="1" applyAlignment="1"/>
    <xf numFmtId="0" fontId="55" fillId="0" borderId="0" xfId="0" applyNumberFormat="1" applyFont="1" applyFill="1" applyAlignment="1">
      <alignment horizontal="center" vertical="top"/>
    </xf>
    <xf numFmtId="3" fontId="55" fillId="0" borderId="0" xfId="188" applyNumberFormat="1" applyFont="1" applyAlignment="1">
      <alignment horizontal="center" wrapText="1"/>
    </xf>
    <xf numFmtId="1" fontId="55" fillId="0" borderId="0" xfId="0" applyNumberFormat="1" applyFont="1" applyFill="1" applyAlignment="1">
      <alignment horizontal="center" vertical="top"/>
    </xf>
    <xf numFmtId="175" fontId="55" fillId="16" borderId="0" xfId="59" applyNumberFormat="1" applyFont="1" applyFill="1" applyAlignment="1"/>
    <xf numFmtId="0" fontId="55" fillId="0" borderId="0" xfId="206" applyNumberFormat="1" applyFont="1" applyFill="1" applyAlignment="1" applyProtection="1">
      <alignment horizontal="center"/>
      <protection locked="0"/>
    </xf>
    <xf numFmtId="0" fontId="55" fillId="0" borderId="8" xfId="210" applyNumberFormat="1" applyFont="1" applyFill="1" applyBorder="1" applyAlignment="1" applyProtection="1">
      <alignment horizontal="center"/>
      <protection locked="0"/>
    </xf>
    <xf numFmtId="3" fontId="55" fillId="0" borderId="0" xfId="210" applyNumberFormat="1" applyFont="1" applyFill="1" applyAlignment="1">
      <alignment horizontal="left"/>
    </xf>
    <xf numFmtId="183" fontId="55" fillId="0" borderId="0" xfId="59" applyNumberFormat="1" applyFont="1" applyBorder="1" applyAlignment="1"/>
    <xf numFmtId="183" fontId="55" fillId="0" borderId="0" xfId="59" applyNumberFormat="1" applyFont="1" applyAlignment="1">
      <alignment horizontal="center"/>
    </xf>
    <xf numFmtId="183" fontId="55" fillId="0" borderId="0" xfId="210" applyNumberFormat="1" applyFont="1" applyAlignment="1">
      <alignment horizontal="center"/>
    </xf>
    <xf numFmtId="10" fontId="55" fillId="0" borderId="8" xfId="265" applyNumberFormat="1" applyFont="1" applyBorder="1" applyAlignment="1"/>
    <xf numFmtId="0" fontId="55" fillId="0" borderId="0" xfId="187" applyFont="1" applyFill="1"/>
    <xf numFmtId="0" fontId="55" fillId="0" borderId="0" xfId="187" applyFont="1" applyFill="1" applyBorder="1"/>
    <xf numFmtId="0" fontId="62" fillId="0" borderId="0" xfId="187" applyFont="1" applyFill="1" applyBorder="1" applyAlignment="1">
      <alignment horizontal="center"/>
    </xf>
    <xf numFmtId="43" fontId="55" fillId="0" borderId="0" xfId="187" applyNumberFormat="1" applyFont="1" applyFill="1" applyBorder="1"/>
    <xf numFmtId="0" fontId="62" fillId="0" borderId="0" xfId="187" applyFont="1" applyFill="1" applyBorder="1"/>
    <xf numFmtId="0" fontId="62" fillId="0" borderId="0" xfId="187" quotePrefix="1" applyFont="1" applyFill="1" applyBorder="1" applyAlignment="1">
      <alignment horizontal="center"/>
    </xf>
    <xf numFmtId="164" fontId="62" fillId="0" borderId="0" xfId="187" applyNumberFormat="1" applyFont="1" applyFill="1" applyBorder="1" applyAlignment="1">
      <alignment horizontal="center"/>
    </xf>
    <xf numFmtId="175" fontId="55" fillId="0" borderId="0" xfId="187" applyNumberFormat="1" applyFont="1" applyFill="1" applyBorder="1"/>
    <xf numFmtId="10" fontId="55" fillId="0" borderId="0" xfId="187" applyNumberFormat="1" applyFont="1" applyFill="1" applyBorder="1"/>
    <xf numFmtId="175" fontId="86" fillId="0" borderId="0" xfId="187" applyNumberFormat="1" applyFont="1" applyFill="1" applyBorder="1"/>
    <xf numFmtId="3" fontId="55" fillId="0" borderId="0" xfId="187" applyNumberFormat="1" applyFont="1" applyFill="1" applyBorder="1"/>
    <xf numFmtId="164" fontId="55" fillId="0" borderId="0" xfId="265" applyNumberFormat="1" applyFont="1" applyFill="1" applyBorder="1"/>
    <xf numFmtId="10" fontId="55" fillId="16" borderId="0" xfId="187" applyNumberFormat="1" applyFont="1" applyFill="1" applyBorder="1"/>
    <xf numFmtId="164" fontId="55" fillId="0" borderId="0" xfId="282" applyNumberFormat="1" applyFont="1" applyFill="1" applyBorder="1"/>
    <xf numFmtId="0" fontId="55" fillId="0" borderId="0" xfId="187" applyFont="1" applyAlignment="1">
      <alignment horizontal="center"/>
    </xf>
    <xf numFmtId="0" fontId="55" fillId="0" borderId="0" xfId="187" applyFont="1"/>
    <xf numFmtId="0" fontId="55" fillId="0" borderId="0" xfId="187" applyFont="1" applyFill="1" applyAlignment="1">
      <alignment wrapText="1"/>
    </xf>
    <xf numFmtId="0" fontId="55" fillId="0" borderId="0" xfId="187" applyFont="1" applyFill="1" applyBorder="1" applyAlignment="1">
      <alignment wrapText="1"/>
    </xf>
    <xf numFmtId="10" fontId="55" fillId="0" borderId="0" xfId="265" applyNumberFormat="1" applyFont="1" applyFill="1" applyBorder="1"/>
    <xf numFmtId="0" fontId="55" fillId="0" borderId="3" xfId="187" applyFont="1" applyFill="1" applyBorder="1"/>
    <xf numFmtId="176" fontId="55" fillId="0" borderId="0" xfId="102" applyNumberFormat="1" applyFont="1" applyFill="1" applyBorder="1" applyAlignment="1">
      <alignment horizontal="center"/>
    </xf>
    <xf numFmtId="174" fontId="55" fillId="0" borderId="0" xfId="0" applyFont="1" applyBorder="1" applyAlignment="1"/>
    <xf numFmtId="10" fontId="55" fillId="0" borderId="3" xfId="187" applyNumberFormat="1" applyFont="1" applyFill="1" applyBorder="1"/>
    <xf numFmtId="0" fontId="62" fillId="0" borderId="3" xfId="187" applyFont="1" applyFill="1" applyBorder="1"/>
    <xf numFmtId="10" fontId="62" fillId="0" borderId="3" xfId="187" applyNumberFormat="1" applyFont="1" applyFill="1" applyBorder="1"/>
    <xf numFmtId="0" fontId="55" fillId="0" borderId="1" xfId="187" applyFont="1" applyFill="1" applyBorder="1" applyAlignment="1">
      <alignment horizontal="center"/>
    </xf>
    <xf numFmtId="0" fontId="55" fillId="0" borderId="0" xfId="187" applyFont="1" applyFill="1" applyAlignment="1"/>
    <xf numFmtId="0" fontId="55" fillId="0" borderId="1" xfId="187" applyFont="1" applyFill="1" applyBorder="1" applyAlignment="1">
      <alignment horizontal="center" wrapText="1"/>
    </xf>
    <xf numFmtId="175" fontId="55" fillId="0" borderId="3" xfId="59" applyNumberFormat="1" applyFont="1" applyFill="1" applyBorder="1"/>
    <xf numFmtId="164" fontId="55" fillId="0" borderId="3" xfId="282" applyNumberFormat="1" applyFont="1" applyFill="1" applyBorder="1"/>
    <xf numFmtId="0" fontId="55" fillId="0" borderId="0" xfId="187" quotePrefix="1" applyFont="1" applyFill="1" applyBorder="1" applyAlignment="1">
      <alignment horizontal="center"/>
    </xf>
    <xf numFmtId="175" fontId="55" fillId="0" borderId="0" xfId="59" applyNumberFormat="1" applyFont="1" applyFill="1"/>
    <xf numFmtId="0" fontId="62" fillId="0" borderId="0" xfId="211" applyFont="1" applyBorder="1" applyAlignment="1">
      <alignment horizontal="center" wrapText="1"/>
    </xf>
    <xf numFmtId="0" fontId="62" fillId="0" borderId="0" xfId="211" applyFont="1" applyBorder="1" applyAlignment="1">
      <alignment horizontal="center"/>
    </xf>
    <xf numFmtId="10" fontId="62" fillId="0" borderId="0" xfId="187" applyNumberFormat="1" applyFont="1" applyFill="1" applyBorder="1"/>
    <xf numFmtId="175" fontId="55" fillId="0" borderId="23" xfId="59" applyNumberFormat="1" applyFont="1" applyBorder="1" applyAlignment="1"/>
    <xf numFmtId="10" fontId="55" fillId="0" borderId="0" xfId="265" applyNumberFormat="1" applyFont="1" applyFill="1" applyAlignment="1"/>
    <xf numFmtId="49" fontId="100" fillId="0" borderId="0" xfId="0" applyNumberFormat="1" applyFont="1" applyAlignment="1">
      <alignment horizontal="center"/>
    </xf>
    <xf numFmtId="1" fontId="58" fillId="0" borderId="0" xfId="0" applyNumberFormat="1" applyFont="1" applyFill="1" applyAlignment="1">
      <alignment horizontal="center"/>
    </xf>
    <xf numFmtId="0" fontId="58" fillId="0" borderId="1" xfId="187" applyFont="1" applyFill="1" applyBorder="1" applyAlignment="1">
      <alignment horizontal="right"/>
    </xf>
    <xf numFmtId="0" fontId="58" fillId="0" borderId="0" xfId="187" applyFont="1" applyFill="1" applyBorder="1"/>
    <xf numFmtId="0" fontId="58" fillId="0" borderId="0" xfId="187" applyFont="1" applyBorder="1" applyAlignment="1">
      <alignment horizontal="left"/>
    </xf>
    <xf numFmtId="0" fontId="58" fillId="0" borderId="0" xfId="187" applyNumberFormat="1" applyFont="1" applyFill="1" applyBorder="1" applyAlignment="1">
      <alignment horizontal="left"/>
    </xf>
    <xf numFmtId="0" fontId="58" fillId="0" borderId="0" xfId="187" applyFont="1" applyBorder="1"/>
    <xf numFmtId="0" fontId="55" fillId="0" borderId="1" xfId="187" applyFont="1" applyBorder="1" applyAlignment="1">
      <alignment horizontal="center" wrapText="1"/>
    </xf>
    <xf numFmtId="174" fontId="55" fillId="0" borderId="0" xfId="0" quotePrefix="1" applyFont="1" applyAlignment="1">
      <alignment horizontal="center"/>
    </xf>
    <xf numFmtId="174" fontId="0" fillId="0" borderId="0" xfId="0" applyAlignment="1"/>
    <xf numFmtId="0" fontId="62" fillId="0" borderId="0" xfId="211" applyFont="1" applyAlignment="1">
      <alignment horizontal="center"/>
    </xf>
    <xf numFmtId="0" fontId="55" fillId="0" borderId="0" xfId="187" applyFont="1" applyFill="1" applyBorder="1" applyAlignment="1">
      <alignment horizontal="left"/>
    </xf>
    <xf numFmtId="0" fontId="55" fillId="0" borderId="0" xfId="187" applyFont="1" applyFill="1" applyAlignment="1">
      <alignment horizontal="center"/>
    </xf>
    <xf numFmtId="0" fontId="55" fillId="0" borderId="0" xfId="187" applyFont="1" applyFill="1" applyAlignment="1">
      <alignment horizontal="left" wrapText="1"/>
    </xf>
    <xf numFmtId="0" fontId="55" fillId="0" borderId="0" xfId="0" applyNumberFormat="1" applyFont="1" applyAlignment="1">
      <alignment horizontal="center"/>
    </xf>
    <xf numFmtId="3" fontId="45" fillId="0" borderId="8" xfId="0" quotePrefix="1" applyNumberFormat="1" applyFont="1" applyBorder="1" applyAlignment="1">
      <alignment horizontal="center"/>
    </xf>
    <xf numFmtId="1" fontId="55" fillId="0" borderId="0" xfId="0" applyNumberFormat="1" applyFont="1" applyAlignment="1">
      <alignment horizontal="center"/>
    </xf>
    <xf numFmtId="171" fontId="55" fillId="14" borderId="0" xfId="265" applyNumberFormat="1" applyFont="1" applyFill="1" applyAlignment="1" applyProtection="1">
      <alignment vertical="top"/>
      <protection locked="0"/>
    </xf>
    <xf numFmtId="10" fontId="55" fillId="0" borderId="0" xfId="265" applyNumberFormat="1" applyFont="1" applyFill="1" applyAlignment="1">
      <alignment horizontal="right"/>
    </xf>
    <xf numFmtId="171" fontId="55" fillId="0" borderId="0" xfId="265" applyNumberFormat="1" applyFont="1" applyFill="1" applyBorder="1" applyAlignment="1"/>
    <xf numFmtId="276" fontId="55" fillId="0" borderId="0" xfId="59" applyNumberFormat="1" applyFont="1" applyFill="1" applyBorder="1" applyAlignment="1"/>
    <xf numFmtId="276" fontId="89" fillId="0" borderId="0" xfId="59" applyNumberFormat="1" applyFont="1" applyFill="1" applyBorder="1" applyAlignment="1"/>
    <xf numFmtId="276" fontId="62" fillId="0" borderId="0" xfId="59" applyNumberFormat="1" applyFont="1" applyFill="1" applyBorder="1" applyAlignment="1"/>
    <xf numFmtId="3" fontId="55" fillId="0" borderId="8" xfId="0" applyNumberFormat="1" applyFont="1" applyBorder="1" applyAlignment="1">
      <alignment horizontal="center"/>
    </xf>
    <xf numFmtId="175" fontId="55" fillId="0" borderId="0" xfId="59" applyNumberFormat="1" applyFont="1" applyFill="1" applyAlignment="1" applyProtection="1">
      <protection locked="0"/>
    </xf>
    <xf numFmtId="1" fontId="55" fillId="0" borderId="0" xfId="0" applyNumberFormat="1" applyFont="1" applyFill="1" applyBorder="1" applyAlignment="1">
      <alignment horizontal="center"/>
    </xf>
    <xf numFmtId="0" fontId="55" fillId="0" borderId="0" xfId="210" applyNumberFormat="1" applyFont="1" applyBorder="1" applyAlignment="1" applyProtection="1">
      <protection locked="0"/>
    </xf>
    <xf numFmtId="0" fontId="62" fillId="0" borderId="0" xfId="211" applyFont="1" applyFill="1" applyBorder="1" applyAlignment="1">
      <alignment horizontal="center" wrapText="1"/>
    </xf>
    <xf numFmtId="0" fontId="55" fillId="0" borderId="1" xfId="187" applyFont="1" applyFill="1" applyBorder="1"/>
    <xf numFmtId="175" fontId="55" fillId="0" borderId="3" xfId="59" applyNumberFormat="1" applyFont="1" applyBorder="1" applyAlignment="1">
      <alignment horizontal="left"/>
    </xf>
    <xf numFmtId="0" fontId="55" fillId="0" borderId="0" xfId="187" applyFont="1" applyFill="1" applyAlignment="1">
      <alignment horizontal="right"/>
    </xf>
    <xf numFmtId="0" fontId="55" fillId="0" borderId="0" xfId="211" applyFont="1" applyAlignment="1">
      <alignment horizontal="center" wrapText="1"/>
    </xf>
    <xf numFmtId="174" fontId="55" fillId="0" borderId="0" xfId="0" applyFont="1" applyFill="1" applyAlignment="1">
      <alignment wrapText="1"/>
    </xf>
    <xf numFmtId="174" fontId="62" fillId="0" borderId="7" xfId="201" applyFont="1" applyFill="1" applyBorder="1" applyAlignment="1">
      <alignment horizontal="center" wrapText="1"/>
    </xf>
    <xf numFmtId="174" fontId="55" fillId="0" borderId="9" xfId="201" applyFont="1" applyFill="1" applyBorder="1" applyAlignment="1">
      <alignment horizontal="center"/>
    </xf>
    <xf numFmtId="43" fontId="55" fillId="16" borderId="10" xfId="59" applyFont="1" applyFill="1" applyBorder="1" applyAlignment="1">
      <alignment horizontal="left"/>
    </xf>
    <xf numFmtId="175" fontId="55" fillId="0" borderId="0" xfId="59" applyNumberFormat="1" applyFont="1" applyAlignment="1"/>
    <xf numFmtId="0" fontId="55" fillId="0" borderId="0" xfId="201" applyNumberFormat="1" applyFont="1" applyFill="1" applyBorder="1" applyAlignment="1" applyProtection="1">
      <protection locked="0"/>
    </xf>
    <xf numFmtId="0" fontId="55" fillId="0" borderId="0" xfId="201" applyNumberFormat="1" applyFont="1" applyFill="1" applyBorder="1" applyAlignment="1" applyProtection="1">
      <alignment horizontal="center"/>
      <protection locked="0"/>
    </xf>
    <xf numFmtId="3" fontId="55" fillId="0" borderId="0" xfId="201" applyNumberFormat="1" applyFont="1" applyFill="1" applyBorder="1" applyAlignment="1"/>
    <xf numFmtId="0" fontId="55" fillId="0" borderId="0" xfId="201" applyNumberFormat="1" applyFont="1" applyFill="1" applyBorder="1" applyProtection="1">
      <protection locked="0"/>
    </xf>
    <xf numFmtId="174" fontId="55" fillId="0" borderId="0" xfId="201" applyFont="1" applyFill="1" applyBorder="1" applyAlignment="1"/>
    <xf numFmtId="43" fontId="55" fillId="0" borderId="0" xfId="59" applyFont="1" applyAlignment="1"/>
    <xf numFmtId="174" fontId="55" fillId="0" borderId="15" xfId="201" applyFont="1" applyFill="1" applyBorder="1" applyAlignment="1"/>
    <xf numFmtId="0" fontId="55" fillId="0" borderId="0" xfId="210" applyNumberFormat="1" applyFont="1" applyFill="1" applyAlignment="1">
      <alignment horizontal="center"/>
    </xf>
    <xf numFmtId="174" fontId="55" fillId="0" borderId="0" xfId="0" applyFont="1"/>
    <xf numFmtId="174" fontId="55" fillId="0" borderId="0" xfId="0" applyFont="1" applyFill="1"/>
    <xf numFmtId="175" fontId="55" fillId="0" borderId="15" xfId="59" applyNumberFormat="1" applyFont="1" applyFill="1" applyBorder="1" applyAlignment="1"/>
    <xf numFmtId="174" fontId="96" fillId="0" borderId="0" xfId="201" applyFont="1" applyFill="1" applyBorder="1" applyAlignment="1"/>
    <xf numFmtId="0" fontId="55" fillId="0" borderId="0" xfId="208" applyNumberFormat="1" applyFont="1" applyFill="1" applyBorder="1" applyAlignment="1" applyProtection="1">
      <alignment horizontal="center"/>
      <protection locked="0"/>
    </xf>
    <xf numFmtId="174" fontId="55" fillId="0" borderId="19" xfId="0" applyFont="1" applyBorder="1"/>
    <xf numFmtId="174" fontId="55" fillId="0" borderId="20" xfId="0" applyFont="1" applyBorder="1"/>
    <xf numFmtId="174" fontId="55" fillId="0" borderId="22" xfId="0" applyFont="1" applyBorder="1" applyAlignment="1">
      <alignment horizontal="center"/>
    </xf>
    <xf numFmtId="174" fontId="55" fillId="0" borderId="3" xfId="0" applyFont="1" applyBorder="1"/>
    <xf numFmtId="174" fontId="55" fillId="0" borderId="15" xfId="0" applyFont="1" applyBorder="1" applyAlignment="1">
      <alignment horizontal="center"/>
    </xf>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43" fontId="55" fillId="0" borderId="0" xfId="59" applyFont="1"/>
    <xf numFmtId="174" fontId="55" fillId="0" borderId="0" xfId="201" applyFont="1" applyAlignment="1"/>
    <xf numFmtId="174" fontId="55" fillId="0" borderId="19" xfId="201" applyFont="1" applyFill="1" applyBorder="1" applyAlignment="1">
      <alignment horizontal="center"/>
    </xf>
    <xf numFmtId="174" fontId="55" fillId="0" borderId="22"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0" fontId="55" fillId="0" borderId="0" xfId="59" applyNumberFormat="1" applyFont="1" applyFill="1" applyAlignment="1">
      <alignment horizontal="center"/>
    </xf>
    <xf numFmtId="0" fontId="55" fillId="0" borderId="0" xfId="59" applyNumberFormat="1" applyFont="1" applyFill="1" applyBorder="1" applyAlignment="1">
      <alignment horizontal="center"/>
    </xf>
    <xf numFmtId="0" fontId="55" fillId="0" borderId="0" xfId="59" applyNumberFormat="1" applyFont="1" applyAlignment="1">
      <alignment horizontal="center"/>
    </xf>
    <xf numFmtId="174" fontId="55" fillId="0" borderId="10" xfId="0" applyFont="1" applyBorder="1" applyAlignment="1">
      <alignment horizontal="center"/>
    </xf>
    <xf numFmtId="0" fontId="62" fillId="0" borderId="0" xfId="59" applyNumberFormat="1" applyFont="1" applyFill="1" applyBorder="1" applyAlignment="1">
      <alignment horizontal="left"/>
    </xf>
    <xf numFmtId="174" fontId="55" fillId="0" borderId="19" xfId="0" applyFont="1" applyBorder="1" applyAlignment="1">
      <alignment horizontal="center"/>
    </xf>
    <xf numFmtId="174" fontId="96" fillId="0" borderId="15" xfId="201" applyFont="1" applyFill="1" applyBorder="1" applyAlignment="1">
      <alignment horizontal="center"/>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174" fontId="55" fillId="0" borderId="0" xfId="0" applyFont="1" applyFill="1" applyAlignment="1">
      <alignment horizontal="left" wrapText="1"/>
    </xf>
    <xf numFmtId="0" fontId="55" fillId="0" borderId="0" xfId="201" applyNumberFormat="1" applyFont="1" applyFill="1" applyBorder="1" applyAlignment="1" applyProtection="1">
      <alignment horizontal="center"/>
      <protection locked="0"/>
    </xf>
    <xf numFmtId="174" fontId="91" fillId="0" borderId="15" xfId="0" applyNumberFormat="1" applyFont="1" applyFill="1" applyBorder="1" applyAlignment="1" applyProtection="1">
      <alignment horizontal="center"/>
    </xf>
    <xf numFmtId="174" fontId="55" fillId="0" borderId="11" xfId="0" applyNumberFormat="1" applyFont="1" applyFill="1" applyBorder="1" applyAlignment="1" applyProtection="1">
      <alignment horizontal="center"/>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9" xfId="59" applyNumberFormat="1" applyFont="1" applyFill="1" applyBorder="1"/>
    <xf numFmtId="175" fontId="55" fillId="16" borderId="10" xfId="59" applyNumberFormat="1" applyFont="1" applyFill="1" applyBorder="1"/>
    <xf numFmtId="175" fontId="55" fillId="0" borderId="17" xfId="93" applyNumberFormat="1" applyFont="1" applyFill="1" applyBorder="1"/>
    <xf numFmtId="175" fontId="55" fillId="0" borderId="0" xfId="59" applyNumberFormat="1" applyFont="1"/>
    <xf numFmtId="175" fontId="55" fillId="0" borderId="12" xfId="59" applyNumberFormat="1" applyFont="1" applyBorder="1"/>
    <xf numFmtId="175" fontId="55" fillId="16" borderId="20" xfId="59" applyNumberFormat="1" applyFont="1" applyFill="1" applyBorder="1"/>
    <xf numFmtId="175" fontId="55" fillId="16" borderId="12" xfId="59" applyNumberFormat="1" applyFont="1" applyFill="1" applyBorder="1"/>
    <xf numFmtId="175" fontId="55" fillId="0" borderId="21" xfId="93" applyNumberFormat="1" applyFont="1" applyFill="1" applyBorder="1"/>
    <xf numFmtId="175" fontId="55" fillId="0" borderId="11" xfId="59" applyNumberFormat="1" applyFont="1" applyBorder="1" applyAlignment="1">
      <alignment horizontal="center"/>
    </xf>
    <xf numFmtId="175" fontId="55" fillId="16" borderId="22" xfId="59" applyNumberFormat="1" applyFont="1" applyFill="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22" xfId="265" applyNumberFormat="1" applyFont="1" applyBorder="1"/>
    <xf numFmtId="171" fontId="55" fillId="0" borderId="11" xfId="265" applyNumberFormat="1" applyFont="1" applyBorder="1"/>
    <xf numFmtId="171" fontId="55" fillId="0" borderId="15" xfId="265" applyNumberFormat="1" applyFont="1" applyBorder="1"/>
    <xf numFmtId="171" fontId="55" fillId="0" borderId="0" xfId="265" applyNumberFormat="1" applyFont="1"/>
    <xf numFmtId="174" fontId="55" fillId="16" borderId="11" xfId="0" applyFont="1" applyFill="1" applyBorder="1" applyAlignment="1">
      <alignment horizontal="center"/>
    </xf>
    <xf numFmtId="175" fontId="55" fillId="0" borderId="0" xfId="210" applyNumberFormat="1" applyFont="1" applyAlignment="1"/>
    <xf numFmtId="175" fontId="55" fillId="0" borderId="0" xfId="206" applyNumberFormat="1" applyFont="1" applyAlignment="1"/>
    <xf numFmtId="175" fontId="45" fillId="0" borderId="0" xfId="59" applyNumberFormat="1" applyFont="1" applyFill="1" applyAlignment="1">
      <alignment horizontal="center"/>
    </xf>
    <xf numFmtId="171" fontId="45" fillId="0" borderId="0" xfId="265" applyNumberFormat="1" applyFont="1" applyAlignment="1"/>
    <xf numFmtId="171" fontId="45" fillId="0" borderId="0" xfId="265" applyNumberFormat="1" applyFont="1" applyFill="1" applyAlignment="1">
      <alignment horizontal="right"/>
    </xf>
    <xf numFmtId="43" fontId="45" fillId="0" borderId="0" xfId="59" applyFont="1" applyFill="1" applyAlignment="1"/>
    <xf numFmtId="10" fontId="45" fillId="0" borderId="0" xfId="265" applyNumberFormat="1" applyFont="1" applyAlignment="1"/>
    <xf numFmtId="10" fontId="45" fillId="0" borderId="8" xfId="265" applyNumberFormat="1" applyFont="1" applyBorder="1" applyAlignment="1"/>
    <xf numFmtId="10" fontId="45" fillId="0" borderId="0" xfId="265" applyNumberFormat="1" applyFont="1" applyFill="1" applyAlignment="1">
      <alignment horizontal="right"/>
    </xf>
    <xf numFmtId="174" fontId="0" fillId="0" borderId="0" xfId="0" applyAlignment="1"/>
    <xf numFmtId="0" fontId="55" fillId="0" borderId="0" xfId="210" applyNumberFormat="1" applyFont="1" applyAlignment="1" applyProtection="1">
      <alignment horizontal="center"/>
      <protection locked="0"/>
    </xf>
    <xf numFmtId="175" fontId="55" fillId="0" borderId="24" xfId="59" applyNumberFormat="1" applyFont="1" applyBorder="1" applyAlignment="1">
      <alignment horizontal="fill"/>
    </xf>
    <xf numFmtId="183" fontId="55" fillId="0" borderId="0" xfId="210" applyNumberFormat="1" applyFont="1" applyAlignment="1"/>
    <xf numFmtId="183" fontId="55" fillId="0" borderId="0" xfId="188" applyNumberFormat="1" applyFont="1" applyFill="1" applyAlignment="1">
      <alignment horizontal="right"/>
    </xf>
    <xf numFmtId="183" fontId="55" fillId="0" borderId="0" xfId="188" applyNumberFormat="1" applyFont="1" applyAlignment="1"/>
    <xf numFmtId="174" fontId="55" fillId="0" borderId="0" xfId="201" applyFont="1" applyFill="1" applyBorder="1" applyAlignment="1">
      <alignment vertical="top"/>
    </xf>
    <xf numFmtId="49" fontId="55" fillId="0" borderId="0" xfId="201" applyNumberFormat="1" applyFont="1" applyFill="1" applyBorder="1" applyAlignment="1">
      <alignment horizontal="center" vertical="top"/>
    </xf>
    <xf numFmtId="175" fontId="84" fillId="0" borderId="15" xfId="59" applyNumberFormat="1" applyFont="1" applyFill="1" applyBorder="1" applyAlignment="1"/>
    <xf numFmtId="175" fontId="45" fillId="0" borderId="0" xfId="210" applyNumberFormat="1" applyFont="1" applyAlignment="1"/>
    <xf numFmtId="175" fontId="45" fillId="0" borderId="0" xfId="0" applyNumberFormat="1" applyFont="1" applyAlignment="1"/>
    <xf numFmtId="175" fontId="45" fillId="0" borderId="0" xfId="59" applyNumberFormat="1" applyFont="1" applyAlignment="1">
      <alignment horizontal="right"/>
    </xf>
    <xf numFmtId="175" fontId="45" fillId="0" borderId="1" xfId="59" applyNumberFormat="1" applyFont="1" applyBorder="1" applyAlignment="1">
      <alignment horizontal="right"/>
    </xf>
    <xf numFmtId="175" fontId="45" fillId="0" borderId="0" xfId="59" applyNumberFormat="1" applyFont="1" applyFill="1" applyAlignment="1">
      <alignment horizontal="right"/>
    </xf>
    <xf numFmtId="175" fontId="45" fillId="0" borderId="1" xfId="59" applyNumberFormat="1" applyFont="1" applyBorder="1" applyAlignment="1"/>
    <xf numFmtId="0" fontId="55" fillId="0" borderId="0" xfId="210" applyNumberFormat="1" applyFont="1" applyFill="1" applyAlignment="1" applyProtection="1">
      <alignment vertical="top" wrapText="1"/>
      <protection locked="0"/>
    </xf>
    <xf numFmtId="0" fontId="55" fillId="0" borderId="0" xfId="188" quotePrefix="1" applyNumberFormat="1" applyFont="1" applyFill="1" applyAlignment="1">
      <alignment vertical="top" wrapText="1"/>
    </xf>
    <xf numFmtId="0" fontId="55" fillId="0" borderId="0" xfId="188" applyNumberFormat="1" applyFont="1" applyFill="1" applyAlignment="1">
      <alignment vertical="top" wrapText="1"/>
    </xf>
    <xf numFmtId="169" fontId="55" fillId="0" borderId="0" xfId="206" applyNumberFormat="1" applyFont="1" applyAlignment="1"/>
    <xf numFmtId="0" fontId="55" fillId="0" borderId="0" xfId="188" applyNumberFormat="1" applyFont="1" applyFill="1" applyAlignment="1">
      <alignment vertical="top" wrapText="1"/>
    </xf>
    <xf numFmtId="49" fontId="55" fillId="0" borderId="0" xfId="0" applyNumberFormat="1" applyFont="1" applyFill="1" applyBorder="1" applyAlignment="1">
      <alignment horizontal="center" vertical="center" wrapText="1"/>
    </xf>
    <xf numFmtId="0" fontId="55" fillId="0" borderId="0" xfId="0" applyNumberFormat="1" applyFont="1" applyBorder="1" applyAlignment="1">
      <alignment horizontal="center" vertical="center"/>
    </xf>
    <xf numFmtId="174" fontId="55" fillId="0" borderId="1" xfId="201" applyFont="1" applyFill="1" applyBorder="1" applyAlignment="1">
      <alignment horizontal="center"/>
    </xf>
    <xf numFmtId="174" fontId="55" fillId="0" borderId="0" xfId="210" applyFont="1" applyFill="1" applyAlignment="1">
      <alignment vertical="top" wrapText="1"/>
    </xf>
    <xf numFmtId="10" fontId="55" fillId="0" borderId="0" xfId="265" applyNumberFormat="1" applyFont="1" applyFill="1" applyBorder="1" applyAlignment="1">
      <alignment horizontal="right"/>
    </xf>
    <xf numFmtId="10" fontId="55" fillId="0" borderId="0" xfId="265" applyNumberFormat="1" applyFont="1" applyFill="1" applyBorder="1" applyAlignment="1"/>
    <xf numFmtId="170" fontId="55" fillId="16" borderId="0" xfId="201" applyNumberFormat="1" applyFont="1" applyFill="1" applyBorder="1" applyAlignment="1"/>
    <xf numFmtId="170" fontId="55" fillId="16" borderId="0" xfId="661" applyNumberFormat="1" applyFont="1" applyFill="1" applyBorder="1" applyAlignment="1">
      <alignment horizontal="right"/>
    </xf>
    <xf numFmtId="0" fontId="55" fillId="0" borderId="0" xfId="206" applyNumberFormat="1" applyFont="1" applyFill="1" applyAlignment="1"/>
    <xf numFmtId="0" fontId="55" fillId="0" borderId="0" xfId="188" quotePrefix="1" applyNumberFormat="1" applyFont="1" applyFill="1" applyAlignment="1">
      <alignment vertical="top"/>
    </xf>
    <xf numFmtId="3" fontId="55" fillId="0" borderId="0" xfId="210" applyNumberFormat="1" applyFont="1" applyFill="1" applyAlignment="1"/>
    <xf numFmtId="0" fontId="55" fillId="0" borderId="0" xfId="210" applyNumberFormat="1" applyFont="1" applyFill="1" applyAlignment="1"/>
    <xf numFmtId="175" fontId="55" fillId="0" borderId="0" xfId="59" applyNumberFormat="1" applyFont="1" applyFill="1" applyBorder="1" applyAlignment="1"/>
    <xf numFmtId="3" fontId="55" fillId="0" borderId="0" xfId="188" applyNumberFormat="1" applyFont="1" applyFill="1" applyAlignment="1"/>
    <xf numFmtId="183" fontId="55" fillId="0" borderId="0" xfId="59" applyNumberFormat="1" applyFont="1" applyFill="1" applyAlignment="1"/>
    <xf numFmtId="174" fontId="55" fillId="0" borderId="0" xfId="0" applyFont="1" applyFill="1" applyAlignment="1"/>
    <xf numFmtId="0" fontId="55" fillId="0" borderId="0" xfId="206" applyNumberFormat="1" applyFont="1" applyFill="1" applyAlignment="1" applyProtection="1">
      <alignment horizontal="center"/>
      <protection locked="0"/>
    </xf>
    <xf numFmtId="175" fontId="55" fillId="0" borderId="1" xfId="59" applyNumberFormat="1" applyFont="1" applyFill="1" applyBorder="1" applyAlignment="1"/>
    <xf numFmtId="276" fontId="55" fillId="0" borderId="3" xfId="59" applyNumberFormat="1" applyFont="1" applyFill="1" applyBorder="1" applyAlignment="1"/>
    <xf numFmtId="175" fontId="55" fillId="0" borderId="22" xfId="59" applyNumberFormat="1" applyFont="1" applyFill="1" applyBorder="1" applyAlignment="1"/>
    <xf numFmtId="174" fontId="55" fillId="0" borderId="10" xfId="209" applyFont="1" applyFill="1" applyBorder="1" applyAlignment="1">
      <alignment horizontal="center"/>
    </xf>
    <xf numFmtId="175" fontId="55" fillId="0" borderId="10" xfId="59" applyNumberFormat="1" applyFont="1" applyFill="1" applyBorder="1" applyAlignment="1"/>
    <xf numFmtId="175" fontId="55" fillId="0" borderId="19" xfId="59" applyNumberFormat="1" applyFont="1" applyFill="1" applyBorder="1" applyAlignment="1"/>
    <xf numFmtId="1" fontId="55" fillId="0" borderId="10" xfId="59" applyNumberFormat="1" applyFont="1" applyFill="1" applyBorder="1" applyAlignment="1">
      <alignment horizontal="center"/>
    </xf>
    <xf numFmtId="1" fontId="55" fillId="0" borderId="19" xfId="59" applyNumberFormat="1" applyFont="1" applyFill="1" applyBorder="1" applyAlignment="1">
      <alignment horizontal="center"/>
    </xf>
    <xf numFmtId="174" fontId="55" fillId="0" borderId="3" xfId="209" applyFont="1" applyFill="1" applyBorder="1" applyAlignment="1"/>
    <xf numFmtId="174" fontId="55" fillId="0" borderId="11" xfId="0" applyFont="1" applyFill="1" applyBorder="1"/>
    <xf numFmtId="175" fontId="55" fillId="0" borderId="10" xfId="59" applyNumberFormat="1" applyFont="1" applyFill="1" applyBorder="1"/>
    <xf numFmtId="171" fontId="55" fillId="0" borderId="11" xfId="265" applyNumberFormat="1" applyFont="1" applyFill="1" applyBorder="1"/>
    <xf numFmtId="175" fontId="55" fillId="0" borderId="12" xfId="59" applyNumberFormat="1" applyFont="1" applyFill="1" applyBorder="1"/>
    <xf numFmtId="175" fontId="55" fillId="0" borderId="11" xfId="59" applyNumberFormat="1" applyFont="1" applyFill="1" applyBorder="1" applyAlignment="1">
      <alignment horizontal="center"/>
    </xf>
    <xf numFmtId="175" fontId="55" fillId="0" borderId="11" xfId="59" applyNumberFormat="1" applyFont="1" applyFill="1" applyBorder="1"/>
    <xf numFmtId="174" fontId="55" fillId="0" borderId="22" xfId="0" applyFont="1" applyFill="1" applyBorder="1"/>
    <xf numFmtId="175" fontId="55" fillId="0" borderId="19" xfId="59" applyNumberFormat="1" applyFont="1" applyFill="1" applyBorder="1"/>
    <xf numFmtId="171" fontId="55" fillId="0" borderId="22" xfId="265" applyNumberFormat="1" applyFont="1" applyFill="1" applyBorder="1"/>
    <xf numFmtId="0" fontId="55" fillId="0" borderId="1" xfId="59" applyNumberFormat="1" applyFont="1" applyBorder="1" applyAlignment="1">
      <alignment horizontal="center"/>
    </xf>
    <xf numFmtId="175" fontId="55" fillId="0" borderId="22" xfId="59" applyNumberFormat="1" applyFont="1" applyFill="1" applyBorder="1"/>
    <xf numFmtId="0" fontId="55" fillId="0" borderId="0" xfId="59" applyNumberFormat="1" applyFont="1" applyFill="1" applyBorder="1" applyAlignment="1"/>
    <xf numFmtId="176" fontId="55" fillId="0" borderId="0" xfId="93" applyNumberFormat="1" applyFont="1" applyFill="1" applyBorder="1" applyAlignment="1"/>
    <xf numFmtId="0" fontId="55" fillId="0" borderId="0" xfId="210" applyNumberFormat="1" applyFont="1" applyAlignment="1" applyProtection="1">
      <alignment horizontal="center" vertical="top"/>
      <protection locked="0"/>
    </xf>
    <xf numFmtId="174" fontId="76" fillId="0" borderId="0" xfId="625" applyFont="1" applyFill="1" applyBorder="1" applyAlignment="1"/>
    <xf numFmtId="175" fontId="55" fillId="0" borderId="3" xfId="625" applyNumberFormat="1" applyFont="1" applyFill="1" applyBorder="1"/>
    <xf numFmtId="175" fontId="55" fillId="0" borderId="22" xfId="59" applyNumberFormat="1" applyFont="1" applyBorder="1" applyAlignment="1">
      <alignment horizontal="center"/>
    </xf>
    <xf numFmtId="1" fontId="55" fillId="0" borderId="19" xfId="209" applyNumberFormat="1" applyFont="1" applyFill="1" applyBorder="1" applyAlignment="1">
      <alignment horizontal="center"/>
    </xf>
    <xf numFmtId="174" fontId="55" fillId="0" borderId="8" xfId="201" applyFont="1" applyFill="1" applyBorder="1" applyAlignment="1">
      <alignment horizontal="center"/>
    </xf>
    <xf numFmtId="0" fontId="55" fillId="0" borderId="3" xfId="59" applyNumberFormat="1" applyFont="1" applyFill="1" applyBorder="1" applyAlignment="1"/>
    <xf numFmtId="176" fontId="55" fillId="0" borderId="3" xfId="93" applyNumberFormat="1" applyFont="1" applyFill="1" applyBorder="1" applyAlignment="1"/>
    <xf numFmtId="175" fontId="55" fillId="0" borderId="3" xfId="59" applyNumberFormat="1" applyFont="1" applyFill="1" applyBorder="1" applyAlignment="1"/>
    <xf numFmtId="174" fontId="0" fillId="0" borderId="0" xfId="0" applyAlignment="1"/>
    <xf numFmtId="3" fontId="55" fillId="0" borderId="0" xfId="201" applyNumberFormat="1" applyFont="1" applyFill="1" applyBorder="1" applyAlignment="1"/>
    <xf numFmtId="174" fontId="55" fillId="0" borderId="0" xfId="201" applyFont="1" applyFill="1" applyBorder="1" applyAlignment="1"/>
    <xf numFmtId="0" fontId="55" fillId="0" borderId="0" xfId="201" applyNumberFormat="1" applyFont="1" applyFill="1" applyBorder="1"/>
    <xf numFmtId="3" fontId="55" fillId="0" borderId="0" xfId="210" applyNumberFormat="1" applyFont="1" applyAlignment="1"/>
    <xf numFmtId="0" fontId="55" fillId="0" borderId="0" xfId="210" applyNumberFormat="1" applyFont="1" applyAlignment="1"/>
    <xf numFmtId="0" fontId="55" fillId="0" borderId="0" xfId="210" applyNumberFormat="1" applyFont="1" applyFill="1" applyAlignment="1"/>
    <xf numFmtId="174" fontId="55" fillId="0" borderId="1" xfId="201" applyFont="1" applyFill="1" applyBorder="1" applyAlignment="1"/>
    <xf numFmtId="175" fontId="55" fillId="0" borderId="0" xfId="59" applyNumberFormat="1" applyFont="1" applyFill="1" applyBorder="1" applyAlignment="1"/>
    <xf numFmtId="174" fontId="55" fillId="0" borderId="0" xfId="201" applyFont="1" applyFill="1" applyBorder="1" applyAlignment="1">
      <alignment horizontal="center"/>
    </xf>
    <xf numFmtId="0" fontId="55" fillId="0" borderId="0" xfId="201" applyNumberFormat="1" applyFont="1" applyFill="1" applyBorder="1" applyAlignment="1">
      <alignment horizontal="center"/>
    </xf>
    <xf numFmtId="0" fontId="55" fillId="0" borderId="0" xfId="201" applyNumberFormat="1" applyFont="1" applyFill="1" applyBorder="1" applyAlignment="1"/>
    <xf numFmtId="0" fontId="62" fillId="0" borderId="0" xfId="201" applyNumberFormat="1" applyFont="1" applyFill="1" applyBorder="1" applyAlignment="1"/>
    <xf numFmtId="177" fontId="62" fillId="0" borderId="0" xfId="201" applyNumberFormat="1" applyFont="1" applyFill="1" applyBorder="1" applyAlignment="1">
      <alignment horizontal="center"/>
    </xf>
    <xf numFmtId="174" fontId="62" fillId="0" borderId="16" xfId="201" applyFont="1" applyFill="1" applyBorder="1" applyAlignment="1">
      <alignment horizontal="center" wrapText="1"/>
    </xf>
    <xf numFmtId="174" fontId="62" fillId="0" borderId="7" xfId="201" applyFont="1" applyFill="1" applyBorder="1" applyAlignment="1"/>
    <xf numFmtId="0" fontId="55" fillId="0" borderId="16" xfId="201" applyNumberFormat="1" applyFont="1" applyFill="1" applyBorder="1"/>
    <xf numFmtId="0" fontId="55" fillId="0" borderId="7" xfId="201" applyNumberFormat="1" applyFont="1" applyFill="1" applyBorder="1"/>
    <xf numFmtId="0" fontId="55" fillId="0" borderId="10" xfId="201" applyNumberFormat="1" applyFont="1" applyFill="1" applyBorder="1"/>
    <xf numFmtId="174" fontId="55" fillId="0" borderId="10" xfId="209" applyFont="1" applyFill="1" applyBorder="1" applyAlignment="1"/>
    <xf numFmtId="174" fontId="55" fillId="0" borderId="0" xfId="209" applyFont="1" applyFill="1" applyBorder="1" applyAlignment="1"/>
    <xf numFmtId="174" fontId="55" fillId="14" borderId="0" xfId="209" applyFont="1" applyFill="1" applyBorder="1" applyAlignment="1"/>
    <xf numFmtId="0" fontId="55" fillId="14" borderId="0" xfId="59" applyNumberFormat="1" applyFont="1" applyFill="1" applyBorder="1" applyAlignment="1"/>
    <xf numFmtId="176" fontId="55" fillId="14" borderId="0" xfId="93" applyNumberFormat="1" applyFont="1" applyFill="1" applyBorder="1" applyAlignment="1"/>
    <xf numFmtId="174" fontId="55" fillId="0" borderId="0" xfId="201" applyFont="1" applyFill="1" applyBorder="1" applyAlignment="1">
      <alignment horizontal="center" vertical="top"/>
    </xf>
    <xf numFmtId="3" fontId="55" fillId="0" borderId="0" xfId="210" applyNumberFormat="1" applyFont="1" applyAlignment="1">
      <alignment wrapText="1"/>
    </xf>
    <xf numFmtId="0" fontId="55" fillId="0" borderId="0" xfId="210" applyNumberFormat="1" applyFont="1" applyAlignment="1" applyProtection="1">
      <alignment horizontal="center"/>
      <protection locked="0"/>
    </xf>
    <xf numFmtId="0" fontId="55" fillId="0" borderId="0" xfId="210" applyNumberFormat="1" applyFont="1"/>
    <xf numFmtId="3" fontId="55" fillId="0" borderId="0" xfId="210" applyNumberFormat="1" applyFont="1"/>
    <xf numFmtId="0" fontId="55" fillId="0" borderId="0" xfId="210" applyNumberFormat="1" applyFont="1" applyFill="1"/>
    <xf numFmtId="173" fontId="55" fillId="0" borderId="0" xfId="210" applyNumberFormat="1" applyFont="1" applyFill="1" applyProtection="1">
      <protection locked="0"/>
    </xf>
    <xf numFmtId="174" fontId="62" fillId="0" borderId="0" xfId="210" applyFont="1" applyAlignment="1">
      <alignment horizontal="center"/>
    </xf>
    <xf numFmtId="175" fontId="55" fillId="14" borderId="0" xfId="59" applyNumberFormat="1" applyFont="1" applyFill="1" applyBorder="1" applyAlignment="1"/>
    <xf numFmtId="174" fontId="55" fillId="0" borderId="0" xfId="0" applyFont="1"/>
    <xf numFmtId="174" fontId="55" fillId="0" borderId="0" xfId="0" applyFont="1" applyFill="1" applyAlignment="1"/>
    <xf numFmtId="174" fontId="55" fillId="0" borderId="0" xfId="0" applyFont="1" applyFill="1"/>
    <xf numFmtId="174" fontId="55" fillId="0" borderId="0" xfId="0" applyFont="1" applyFill="1" applyAlignment="1">
      <alignment horizontal="center"/>
    </xf>
    <xf numFmtId="175" fontId="55" fillId="0" borderId="11" xfId="59" applyNumberFormat="1" applyFont="1" applyFill="1" applyBorder="1" applyAlignment="1"/>
    <xf numFmtId="174" fontId="96" fillId="0" borderId="0" xfId="201" applyFont="1" applyFill="1" applyBorder="1" applyAlignment="1"/>
    <xf numFmtId="175" fontId="55" fillId="14" borderId="10" xfId="59" applyNumberFormat="1" applyFont="1" applyFill="1" applyBorder="1" applyAlignment="1"/>
    <xf numFmtId="174" fontId="55" fillId="0" borderId="15" xfId="0" applyFont="1" applyBorder="1" applyAlignment="1">
      <alignment horizontal="center"/>
    </xf>
    <xf numFmtId="174" fontId="55" fillId="16" borderId="0" xfId="0" applyFont="1" applyFill="1"/>
    <xf numFmtId="174" fontId="55" fillId="0" borderId="22" xfId="0" applyFont="1" applyBorder="1"/>
    <xf numFmtId="174" fontId="55" fillId="0" borderId="11" xfId="0" applyFont="1" applyBorder="1"/>
    <xf numFmtId="174" fontId="55" fillId="0" borderId="9" xfId="0" applyFont="1" applyBorder="1" applyAlignment="1">
      <alignment horizontal="center"/>
    </xf>
    <xf numFmtId="174" fontId="55" fillId="0" borderId="11" xfId="0" applyFont="1" applyBorder="1" applyAlignment="1">
      <alignment horizontal="center"/>
    </xf>
    <xf numFmtId="174" fontId="55" fillId="0" borderId="15" xfId="0" applyFont="1" applyBorder="1"/>
    <xf numFmtId="174" fontId="55" fillId="0" borderId="0" xfId="201" applyFont="1" applyAlignment="1"/>
    <xf numFmtId="174" fontId="55" fillId="0" borderId="19" xfId="201" applyFont="1" applyFill="1" applyBorder="1" applyAlignment="1">
      <alignment horizontal="center"/>
    </xf>
    <xf numFmtId="174" fontId="55" fillId="0" borderId="17" xfId="201" applyFont="1" applyFill="1" applyBorder="1" applyAlignment="1">
      <alignment horizontal="center"/>
    </xf>
    <xf numFmtId="174" fontId="55" fillId="16" borderId="11" xfId="0" applyFont="1" applyFill="1" applyBorder="1"/>
    <xf numFmtId="174" fontId="0" fillId="0" borderId="0" xfId="0" applyFill="1" applyAlignment="1"/>
    <xf numFmtId="174" fontId="55" fillId="0" borderId="0" xfId="201" applyFont="1" applyFill="1" applyBorder="1" applyAlignment="1">
      <alignment wrapText="1"/>
    </xf>
    <xf numFmtId="0" fontId="55" fillId="0" borderId="0" xfId="59" applyNumberFormat="1" applyFont="1" applyFill="1" applyAlignment="1">
      <alignment horizontal="center"/>
    </xf>
    <xf numFmtId="0" fontId="55" fillId="0" borderId="0" xfId="59" applyNumberFormat="1" applyFont="1" applyAlignment="1">
      <alignment horizontal="center"/>
    </xf>
    <xf numFmtId="175" fontId="55" fillId="0" borderId="3" xfId="59" applyNumberFormat="1" applyFont="1" applyBorder="1"/>
    <xf numFmtId="175" fontId="55" fillId="0" borderId="3" xfId="59" applyNumberFormat="1" applyFont="1" applyFill="1" applyBorder="1"/>
    <xf numFmtId="276" fontId="55" fillId="0" borderId="0" xfId="59" applyNumberFormat="1" applyFont="1" applyFill="1" applyBorder="1" applyAlignment="1"/>
    <xf numFmtId="174" fontId="55" fillId="0" borderId="9" xfId="201" applyFont="1" applyFill="1" applyBorder="1" applyAlignment="1">
      <alignment horizontal="center"/>
    </xf>
    <xf numFmtId="174" fontId="55" fillId="0" borderId="0" xfId="0" applyFont="1" applyFill="1" applyAlignment="1">
      <alignment vertical="top" wrapText="1"/>
    </xf>
    <xf numFmtId="174" fontId="55" fillId="0" borderId="11" xfId="0" applyFont="1" applyFill="1" applyBorder="1" applyAlignment="1">
      <alignment horizontal="center"/>
    </xf>
    <xf numFmtId="174" fontId="55" fillId="0" borderId="22" xfId="0" applyFont="1" applyFill="1" applyBorder="1" applyAlignment="1">
      <alignment horizontal="center"/>
    </xf>
    <xf numFmtId="175" fontId="55" fillId="16" borderId="10" xfId="59" applyNumberFormat="1" applyFont="1" applyFill="1" applyBorder="1"/>
    <xf numFmtId="175" fontId="55" fillId="0" borderId="0" xfId="59" applyNumberFormat="1" applyFont="1"/>
    <xf numFmtId="175" fontId="55" fillId="16" borderId="12" xfId="59" applyNumberFormat="1" applyFont="1" applyFill="1" applyBorder="1"/>
    <xf numFmtId="175" fontId="55" fillId="0" borderId="11" xfId="59" applyNumberFormat="1" applyFont="1" applyBorder="1" applyAlignment="1">
      <alignment horizontal="center"/>
    </xf>
    <xf numFmtId="175" fontId="55" fillId="0" borderId="11" xfId="59" applyNumberFormat="1" applyFont="1" applyBorder="1"/>
    <xf numFmtId="175" fontId="55" fillId="16" borderId="11" xfId="59" applyNumberFormat="1" applyFont="1" applyFill="1" applyBorder="1"/>
    <xf numFmtId="175" fontId="55" fillId="0" borderId="15" xfId="0" applyNumberFormat="1" applyFont="1" applyBorder="1"/>
    <xf numFmtId="171" fontId="55" fillId="0" borderId="11" xfId="265" applyNumberFormat="1" applyFont="1" applyBorder="1"/>
    <xf numFmtId="174" fontId="55" fillId="16" borderId="11" xfId="0" applyFont="1" applyFill="1" applyBorder="1" applyAlignment="1">
      <alignment horizontal="center"/>
    </xf>
    <xf numFmtId="174" fontId="55" fillId="0" borderId="0" xfId="201" applyFont="1" applyFill="1" applyBorder="1" applyAlignment="1">
      <alignment vertical="top"/>
    </xf>
    <xf numFmtId="174" fontId="22" fillId="0" borderId="0" xfId="625" applyFont="1" applyFill="1" applyAlignment="1"/>
    <xf numFmtId="0" fontId="22" fillId="0" borderId="0" xfId="625" applyNumberFormat="1" applyFont="1" applyFill="1" applyProtection="1">
      <protection locked="0"/>
    </xf>
    <xf numFmtId="0" fontId="35" fillId="0" borderId="0" xfId="625" applyNumberFormat="1" applyFont="1" applyFill="1" applyAlignment="1" applyProtection="1">
      <alignment horizontal="center"/>
      <protection locked="0"/>
    </xf>
    <xf numFmtId="174" fontId="17" fillId="0" borderId="0" xfId="625" applyFont="1" applyFill="1" applyAlignment="1">
      <alignment horizontal="center"/>
    </xf>
    <xf numFmtId="0" fontId="22" fillId="0" borderId="0" xfId="625" applyNumberFormat="1" applyFont="1" applyFill="1" applyBorder="1" applyAlignment="1" applyProtection="1">
      <alignment horizontal="center"/>
      <protection locked="0"/>
    </xf>
    <xf numFmtId="0" fontId="22" fillId="0" borderId="0" xfId="0" applyNumberFormat="1" applyFont="1" applyFill="1"/>
    <xf numFmtId="1" fontId="22" fillId="0" borderId="0" xfId="625" applyNumberFormat="1" applyFont="1" applyFill="1" applyAlignment="1" applyProtection="1">
      <alignment horizontal="center"/>
      <protection locked="0"/>
    </xf>
    <xf numFmtId="174" fontId="22" fillId="0" borderId="0" xfId="625" applyFont="1" applyFill="1" applyAlignment="1" applyProtection="1">
      <protection locked="0"/>
    </xf>
    <xf numFmtId="170" fontId="22" fillId="0" borderId="0" xfId="625" applyNumberFormat="1" applyFont="1" applyFill="1" applyBorder="1" applyAlignment="1" applyProtection="1">
      <protection locked="0"/>
    </xf>
    <xf numFmtId="174" fontId="0" fillId="0" borderId="0" xfId="0" applyFill="1"/>
    <xf numFmtId="174" fontId="22" fillId="0" borderId="0" xfId="0" applyFont="1" applyFill="1"/>
    <xf numFmtId="174" fontId="45" fillId="0" borderId="0" xfId="625" applyFont="1" applyFill="1" applyAlignment="1"/>
    <xf numFmtId="0" fontId="118" fillId="0" borderId="0" xfId="0" applyNumberFormat="1" applyFont="1" applyFill="1" applyAlignment="1">
      <alignment horizontal="center"/>
    </xf>
    <xf numFmtId="0" fontId="62" fillId="0" borderId="0" xfId="625" applyNumberFormat="1" applyFont="1" applyFill="1" applyBorder="1" applyAlignment="1" applyProtection="1">
      <alignment horizontal="center"/>
      <protection locked="0"/>
    </xf>
    <xf numFmtId="0" fontId="88" fillId="0" borderId="0" xfId="625" applyNumberFormat="1" applyFont="1" applyFill="1" applyBorder="1" applyAlignment="1" applyProtection="1">
      <alignment horizontal="left"/>
      <protection locked="0"/>
    </xf>
    <xf numFmtId="0" fontId="55" fillId="0" borderId="0" xfId="625" applyNumberFormat="1" applyFont="1" applyFill="1" applyProtection="1">
      <protection locked="0"/>
    </xf>
    <xf numFmtId="0" fontId="55" fillId="0" borderId="0" xfId="625" applyNumberFormat="1" applyFont="1" applyFill="1" applyBorder="1" applyAlignment="1" applyProtection="1">
      <alignment horizontal="center"/>
      <protection locked="0"/>
    </xf>
    <xf numFmtId="174" fontId="55" fillId="0" borderId="0" xfId="625" applyFont="1" applyFill="1" applyAlignment="1"/>
    <xf numFmtId="0" fontId="55" fillId="0" borderId="0" xfId="0" applyNumberFormat="1" applyFont="1" applyFill="1"/>
    <xf numFmtId="1" fontId="55" fillId="0" borderId="0" xfId="625" applyNumberFormat="1" applyFont="1" applyFill="1" applyAlignment="1" applyProtection="1">
      <alignment horizontal="center"/>
      <protection locked="0"/>
    </xf>
    <xf numFmtId="174" fontId="55" fillId="0" borderId="0" xfId="625" applyFont="1" applyFill="1" applyAlignment="1" applyProtection="1">
      <alignment horizontal="center"/>
      <protection locked="0"/>
    </xf>
    <xf numFmtId="174" fontId="55" fillId="0" borderId="0" xfId="625" applyFont="1" applyFill="1" applyAlignment="1" applyProtection="1">
      <protection locked="0"/>
    </xf>
    <xf numFmtId="0" fontId="55" fillId="0" borderId="0" xfId="625" applyNumberFormat="1" applyFont="1" applyFill="1"/>
    <xf numFmtId="174" fontId="55" fillId="0" borderId="0" xfId="0" applyFont="1" applyFill="1" applyAlignment="1">
      <alignment horizontal="left"/>
    </xf>
    <xf numFmtId="277" fontId="55" fillId="0" borderId="0" xfId="625" applyNumberFormat="1" applyFont="1" applyFill="1" applyAlignment="1"/>
    <xf numFmtId="174" fontId="55" fillId="0" borderId="0" xfId="625" applyFont="1" applyFill="1" applyAlignment="1">
      <alignment horizontal="center"/>
    </xf>
    <xf numFmtId="0" fontId="55" fillId="0" borderId="0" xfId="625" applyNumberFormat="1" applyFont="1" applyFill="1" applyAlignment="1" applyProtection="1">
      <alignment horizontal="center"/>
      <protection locked="0"/>
    </xf>
    <xf numFmtId="175" fontId="55" fillId="0" borderId="0" xfId="625" applyNumberFormat="1" applyFont="1" applyFill="1"/>
    <xf numFmtId="174" fontId="62" fillId="0" borderId="0" xfId="625" applyFont="1" applyFill="1" applyAlignment="1">
      <alignment horizontal="center"/>
    </xf>
    <xf numFmtId="0" fontId="55" fillId="0" borderId="8" xfId="625" applyNumberFormat="1" applyFont="1" applyFill="1" applyBorder="1" applyAlignment="1" applyProtection="1">
      <alignment horizontal="left"/>
      <protection locked="0"/>
    </xf>
    <xf numFmtId="174" fontId="55" fillId="0" borderId="0" xfId="0" quotePrefix="1" applyFont="1" applyFill="1" applyAlignment="1"/>
    <xf numFmtId="0" fontId="55" fillId="0" borderId="0" xfId="0" applyNumberFormat="1" applyFont="1" applyAlignment="1">
      <alignment horizontal="center"/>
    </xf>
    <xf numFmtId="0" fontId="55" fillId="0" borderId="0" xfId="187" applyFont="1" applyFill="1" applyBorder="1" applyAlignment="1">
      <alignment horizontal="left"/>
    </xf>
    <xf numFmtId="0" fontId="62" fillId="0" borderId="0" xfId="211" quotePrefix="1" applyFont="1" applyAlignment="1">
      <alignment horizontal="center" wrapText="1"/>
    </xf>
    <xf numFmtId="175" fontId="55" fillId="0" borderId="0" xfId="211" applyNumberFormat="1" applyFont="1" applyFill="1"/>
    <xf numFmtId="175" fontId="55" fillId="0" borderId="14" xfId="59" applyNumberFormat="1" applyFont="1" applyBorder="1"/>
    <xf numFmtId="174" fontId="74" fillId="0" borderId="0" xfId="0" applyFont="1" applyAlignment="1">
      <alignment horizontal="left"/>
    </xf>
    <xf numFmtId="174" fontId="74" fillId="0" borderId="0" xfId="0" applyFont="1" applyFill="1" applyAlignment="1">
      <alignment horizontal="left"/>
    </xf>
    <xf numFmtId="174" fontId="22" fillId="0" borderId="0" xfId="0" applyFont="1"/>
    <xf numFmtId="174" fontId="0" fillId="0" borderId="0" xfId="0" applyFill="1" applyProtection="1">
      <protection locked="0"/>
    </xf>
    <xf numFmtId="174" fontId="0" fillId="0" borderId="0" xfId="0"/>
    <xf numFmtId="174" fontId="119" fillId="0" borderId="0" xfId="0" applyFont="1" applyFill="1" applyProtection="1">
      <protection locked="0"/>
    </xf>
    <xf numFmtId="174" fontId="120" fillId="0" borderId="0" xfId="0" applyFont="1" applyFill="1" applyProtection="1">
      <protection locked="0"/>
    </xf>
    <xf numFmtId="278" fontId="0" fillId="0" borderId="0" xfId="0" applyNumberFormat="1" applyFill="1"/>
    <xf numFmtId="176" fontId="35" fillId="0" borderId="0" xfId="93" applyNumberFormat="1" applyFont="1" applyFill="1"/>
    <xf numFmtId="174" fontId="121"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5" fillId="14" borderId="0" xfId="0" applyNumberFormat="1" applyFont="1" applyFill="1" applyAlignment="1" applyProtection="1">
      <alignment horizontal="center"/>
      <protection locked="0"/>
    </xf>
    <xf numFmtId="0" fontId="55" fillId="0" borderId="0" xfId="0" applyNumberFormat="1" applyFont="1" applyFill="1" applyAlignment="1" applyProtection="1">
      <alignment horizontal="center"/>
      <protection locked="0"/>
    </xf>
    <xf numFmtId="174" fontId="55" fillId="0" borderId="0" xfId="0" applyFont="1" applyFill="1" applyProtection="1">
      <protection locked="0"/>
    </xf>
    <xf numFmtId="174" fontId="55" fillId="0" borderId="31" xfId="0" applyFont="1" applyFill="1" applyBorder="1" applyAlignment="1" applyProtection="1">
      <alignment horizontal="center" wrapText="1"/>
      <protection locked="0"/>
    </xf>
    <xf numFmtId="174" fontId="55" fillId="0" borderId="32" xfId="0" applyFont="1" applyFill="1" applyBorder="1" applyAlignment="1" applyProtection="1">
      <alignment horizontal="center" wrapText="1"/>
      <protection locked="0"/>
    </xf>
    <xf numFmtId="174" fontId="55" fillId="0" borderId="32" xfId="0" applyFont="1" applyFill="1" applyBorder="1" applyProtection="1">
      <protection locked="0"/>
    </xf>
    <xf numFmtId="170" fontId="55" fillId="0" borderId="33" xfId="0" applyNumberFormat="1" applyFont="1" applyFill="1" applyBorder="1" applyAlignment="1" applyProtection="1">
      <alignment horizontal="center"/>
      <protection locked="0"/>
    </xf>
    <xf numFmtId="174" fontId="62" fillId="0" borderId="0" xfId="0" applyFont="1" applyFill="1" applyAlignment="1" applyProtection="1">
      <alignment horizontal="center"/>
      <protection locked="0"/>
    </xf>
    <xf numFmtId="174" fontId="55" fillId="0" borderId="0" xfId="0" applyFont="1" applyFill="1" applyAlignment="1" applyProtection="1">
      <alignment horizontal="center"/>
      <protection locked="0"/>
    </xf>
    <xf numFmtId="175" fontId="55" fillId="0" borderId="0" xfId="0" applyNumberFormat="1" applyFont="1" applyFill="1" applyProtection="1">
      <protection locked="0"/>
    </xf>
    <xf numFmtId="5" fontId="55" fillId="0" borderId="33" xfId="0" applyNumberFormat="1" applyFont="1" applyFill="1" applyBorder="1" applyAlignment="1" applyProtection="1">
      <alignment horizontal="center"/>
      <protection locked="0"/>
    </xf>
    <xf numFmtId="175" fontId="55" fillId="0" borderId="8" xfId="0" applyNumberFormat="1" applyFont="1" applyFill="1" applyBorder="1" applyProtection="1">
      <protection locked="0"/>
    </xf>
    <xf numFmtId="174" fontId="55" fillId="0" borderId="8" xfId="0" applyFont="1" applyFill="1" applyBorder="1" applyAlignment="1" applyProtection="1">
      <alignment horizontal="center"/>
      <protection locked="0"/>
    </xf>
    <xf numFmtId="174" fontId="55" fillId="0" borderId="8" xfId="0" applyFont="1" applyFill="1" applyBorder="1" applyProtection="1">
      <protection locked="0"/>
    </xf>
    <xf numFmtId="175" fontId="55" fillId="0" borderId="0" xfId="0" applyNumberFormat="1" applyFont="1" applyFill="1" applyAlignment="1" applyProtection="1">
      <alignment horizontal="left"/>
      <protection locked="0"/>
    </xf>
    <xf numFmtId="0" fontId="62" fillId="0" borderId="0" xfId="0" applyNumberFormat="1" applyFont="1" applyFill="1" applyAlignment="1" applyProtection="1">
      <alignment horizontal="left"/>
      <protection locked="0"/>
    </xf>
    <xf numFmtId="174" fontId="62" fillId="0" borderId="0" xfId="0" applyFont="1" applyFill="1" applyAlignment="1" applyProtection="1">
      <alignment horizontal="center" wrapText="1"/>
      <protection locked="0"/>
    </xf>
    <xf numFmtId="175" fontId="62" fillId="0" borderId="0" xfId="0" applyNumberFormat="1" applyFont="1" applyFill="1" applyAlignment="1" applyProtection="1">
      <alignment horizontal="center" wrapText="1"/>
      <protection locked="0"/>
    </xf>
    <xf numFmtId="175" fontId="62" fillId="0" borderId="0" xfId="0" applyNumberFormat="1" applyFont="1" applyFill="1" applyAlignment="1" applyProtection="1">
      <alignment horizontal="center"/>
      <protection locked="0"/>
    </xf>
    <xf numFmtId="278" fontId="55" fillId="0" borderId="0" xfId="265" applyNumberFormat="1" applyFont="1" applyFill="1" applyProtection="1">
      <protection locked="0"/>
    </xf>
    <xf numFmtId="164" fontId="55" fillId="0" borderId="0" xfId="265" applyNumberFormat="1" applyFont="1" applyFill="1" applyProtection="1">
      <protection locked="0"/>
    </xf>
    <xf numFmtId="175" fontId="55" fillId="0" borderId="0" xfId="0" applyNumberFormat="1" applyFont="1" applyFill="1" applyAlignment="1" applyProtection="1">
      <alignment horizontal="center"/>
      <protection locked="0"/>
    </xf>
    <xf numFmtId="174" fontId="88" fillId="0" borderId="0" xfId="0" applyFont="1" applyFill="1" applyAlignment="1" applyProtection="1">
      <alignment horizontal="center"/>
      <protection locked="0"/>
    </xf>
    <xf numFmtId="174" fontId="55" fillId="14" borderId="0" xfId="0" applyFont="1" applyFill="1" applyProtection="1">
      <protection locked="0"/>
    </xf>
    <xf numFmtId="175" fontId="55" fillId="0" borderId="0" xfId="59" applyNumberFormat="1" applyFont="1" applyFill="1" applyProtection="1">
      <protection locked="0"/>
    </xf>
    <xf numFmtId="164" fontId="55" fillId="0" borderId="0" xfId="0" applyNumberFormat="1" applyFont="1" applyFill="1" applyProtection="1">
      <protection locked="0"/>
    </xf>
    <xf numFmtId="175" fontId="62" fillId="0" borderId="0" xfId="59" applyNumberFormat="1" applyFont="1" applyFill="1" applyProtection="1">
      <protection locked="0"/>
    </xf>
    <xf numFmtId="175" fontId="62" fillId="0" borderId="0" xfId="59" applyNumberFormat="1" applyFont="1" applyFill="1" applyAlignment="1" applyProtection="1">
      <alignment horizontal="center"/>
      <protection locked="0"/>
    </xf>
    <xf numFmtId="174" fontId="88" fillId="0" borderId="0" xfId="0" applyFont="1" applyFill="1" applyProtection="1">
      <protection locked="0"/>
    </xf>
    <xf numFmtId="175" fontId="55" fillId="0" borderId="0" xfId="0" applyNumberFormat="1" applyFont="1" applyProtection="1">
      <protection locked="0"/>
    </xf>
    <xf numFmtId="175" fontId="55" fillId="0" borderId="0" xfId="0" applyNumberFormat="1" applyFont="1"/>
    <xf numFmtId="278" fontId="55" fillId="0" borderId="0" xfId="0" applyNumberFormat="1" applyFont="1" applyFill="1" applyProtection="1">
      <protection locked="0"/>
    </xf>
    <xf numFmtId="176" fontId="55" fillId="0" borderId="0" xfId="93" applyNumberFormat="1" applyFont="1" applyFill="1"/>
    <xf numFmtId="174" fontId="55" fillId="0" borderId="1" xfId="0" applyFont="1" applyBorder="1" applyAlignment="1">
      <alignment horizontal="center"/>
    </xf>
    <xf numFmtId="174" fontId="55" fillId="0" borderId="0" xfId="0" applyFont="1" applyFill="1" applyAlignment="1">
      <alignment horizontal="left" vertical="top"/>
    </xf>
    <xf numFmtId="1" fontId="55" fillId="0" borderId="16" xfId="59" applyNumberFormat="1" applyFont="1" applyFill="1" applyBorder="1" applyAlignment="1">
      <alignment horizontal="center"/>
    </xf>
    <xf numFmtId="174" fontId="90" fillId="0" borderId="7" xfId="201" applyFont="1" applyFill="1" applyBorder="1" applyAlignment="1"/>
    <xf numFmtId="0" fontId="55" fillId="0" borderId="7" xfId="201" applyNumberFormat="1" applyFont="1" applyFill="1" applyBorder="1" applyAlignment="1"/>
    <xf numFmtId="175" fontId="55" fillId="0" borderId="7" xfId="59" applyNumberFormat="1" applyFont="1" applyFill="1" applyBorder="1" applyAlignment="1">
      <alignment horizontal="center"/>
    </xf>
    <xf numFmtId="174" fontId="55" fillId="0" borderId="7" xfId="201" applyFont="1" applyFill="1" applyBorder="1" applyAlignment="1">
      <alignment horizontal="center"/>
    </xf>
    <xf numFmtId="3" fontId="55" fillId="0" borderId="7" xfId="201" applyNumberFormat="1" applyFont="1" applyFill="1" applyBorder="1" applyAlignment="1"/>
    <xf numFmtId="170" fontId="55" fillId="0" borderId="7" xfId="201" applyNumberFormat="1" applyFont="1" applyFill="1" applyBorder="1" applyAlignment="1"/>
    <xf numFmtId="175" fontId="55" fillId="0" borderId="9" xfId="59" applyNumberFormat="1" applyFont="1" applyFill="1" applyBorder="1" applyAlignment="1">
      <alignment horizontal="center"/>
    </xf>
    <xf numFmtId="174" fontId="74" fillId="0" borderId="0" xfId="0" applyFont="1"/>
    <xf numFmtId="174" fontId="55" fillId="0" borderId="17" xfId="201" applyFont="1" applyBorder="1" applyAlignment="1">
      <alignment horizontal="center"/>
    </xf>
    <xf numFmtId="174" fontId="55" fillId="0" borderId="15" xfId="201" applyFont="1" applyBorder="1" applyAlignment="1">
      <alignment horizontal="center"/>
    </xf>
    <xf numFmtId="183" fontId="45" fillId="0" borderId="0" xfId="59" applyNumberFormat="1" applyFont="1" applyFill="1" applyAlignment="1">
      <alignment horizontal="right"/>
    </xf>
    <xf numFmtId="175" fontId="45" fillId="0" borderId="0" xfId="59" applyNumberFormat="1" applyFont="1" applyAlignment="1">
      <alignment horizontal="center"/>
    </xf>
    <xf numFmtId="175" fontId="45" fillId="0" borderId="1" xfId="59" applyNumberFormat="1" applyFont="1" applyBorder="1" applyAlignment="1">
      <alignment horizontal="center"/>
    </xf>
    <xf numFmtId="0" fontId="55" fillId="0" borderId="1" xfId="0" applyNumberFormat="1" applyFont="1" applyBorder="1" applyAlignment="1">
      <alignment horizontal="center"/>
    </xf>
    <xf numFmtId="0" fontId="55" fillId="0" borderId="1" xfId="187" applyFont="1" applyFill="1" applyBorder="1" applyAlignment="1"/>
    <xf numFmtId="3" fontId="55" fillId="0" borderId="1" xfId="187" applyNumberFormat="1" applyFont="1" applyFill="1" applyBorder="1" applyAlignment="1">
      <alignment horizontal="center" wrapText="1"/>
    </xf>
    <xf numFmtId="0" fontId="55" fillId="0" borderId="3" xfId="187" applyFont="1" applyFill="1" applyBorder="1" applyAlignment="1"/>
    <xf numFmtId="175" fontId="55" fillId="0" borderId="3" xfId="59" applyNumberFormat="1" applyFont="1" applyFill="1" applyBorder="1" applyAlignment="1">
      <alignment horizontal="center"/>
    </xf>
    <xf numFmtId="174" fontId="85" fillId="0" borderId="3" xfId="0" applyFont="1" applyBorder="1" applyAlignment="1"/>
    <xf numFmtId="175" fontId="55" fillId="0" borderId="3" xfId="59" applyNumberFormat="1" applyFont="1" applyFill="1" applyBorder="1" applyAlignment="1">
      <alignment horizontal="center" wrapText="1"/>
    </xf>
    <xf numFmtId="174" fontId="45" fillId="0" borderId="0" xfId="0" applyFont="1" applyAlignment="1">
      <alignment horizontal="left"/>
    </xf>
    <xf numFmtId="0" fontId="51" fillId="0" borderId="0" xfId="554" applyFont="1" applyAlignment="1">
      <alignment horizontal="right"/>
    </xf>
    <xf numFmtId="0" fontId="122" fillId="0" borderId="0" xfId="555" applyFont="1" applyAlignment="1">
      <alignment horizontal="centerContinuous"/>
    </xf>
    <xf numFmtId="174" fontId="45" fillId="0" borderId="0" xfId="0" applyFont="1" applyAlignment="1">
      <alignment horizontal="centerContinuous"/>
    </xf>
    <xf numFmtId="174" fontId="45" fillId="0" borderId="0" xfId="0" applyFont="1" applyBorder="1" applyAlignment="1">
      <alignment horizontal="center"/>
    </xf>
    <xf numFmtId="174" fontId="45" fillId="0" borderId="0" xfId="0" applyFont="1" applyBorder="1" applyAlignment="1">
      <alignment horizontal="centerContinuous"/>
    </xf>
    <xf numFmtId="174" fontId="45" fillId="0" borderId="0" xfId="0" applyFont="1" applyAlignment="1">
      <alignment horizontal="center"/>
    </xf>
    <xf numFmtId="174" fontId="123" fillId="0" borderId="0" xfId="0" applyFont="1" applyAlignment="1">
      <alignment horizontal="center"/>
    </xf>
    <xf numFmtId="174" fontId="123" fillId="0" borderId="0" xfId="0" applyFont="1" applyAlignment="1"/>
    <xf numFmtId="37" fontId="45" fillId="0" borderId="0" xfId="0" applyNumberFormat="1" applyFont="1" applyAlignment="1">
      <alignment horizontal="center" vertical="top"/>
    </xf>
    <xf numFmtId="174" fontId="45" fillId="0" borderId="0" xfId="0" quotePrefix="1" applyFont="1" applyAlignment="1"/>
    <xf numFmtId="175" fontId="124" fillId="16" borderId="0" xfId="59" applyNumberFormat="1" applyFont="1" applyFill="1" applyAlignment="1"/>
    <xf numFmtId="175" fontId="45" fillId="0" borderId="0" xfId="59" applyNumberFormat="1" applyFont="1" applyFill="1" applyAlignment="1"/>
    <xf numFmtId="174" fontId="45" fillId="0" borderId="0" xfId="0" applyFont="1" applyAlignment="1">
      <alignment vertical="center"/>
    </xf>
    <xf numFmtId="175" fontId="45" fillId="16" borderId="0" xfId="59" applyNumberFormat="1" applyFont="1" applyFill="1" applyAlignment="1"/>
    <xf numFmtId="175" fontId="45" fillId="0" borderId="3" xfId="59" applyNumberFormat="1" applyFont="1" applyBorder="1" applyAlignment="1"/>
    <xf numFmtId="174" fontId="122" fillId="0" borderId="0" xfId="0" applyFont="1" applyFill="1" applyAlignment="1"/>
    <xf numFmtId="174" fontId="45" fillId="0" borderId="0" xfId="0" applyFont="1" applyFill="1" applyAlignment="1"/>
    <xf numFmtId="174" fontId="45" fillId="0" borderId="0" xfId="0" applyFont="1" applyFill="1" applyBorder="1" applyAlignment="1"/>
    <xf numFmtId="0" fontId="125" fillId="0" borderId="0" xfId="182" applyFont="1"/>
    <xf numFmtId="174" fontId="45" fillId="0" borderId="0" xfId="0" applyFont="1" applyBorder="1" applyAlignment="1"/>
    <xf numFmtId="174" fontId="126" fillId="0" borderId="0" xfId="0" applyFont="1" applyAlignment="1"/>
    <xf numFmtId="174" fontId="127" fillId="0" borderId="0" xfId="201" applyFont="1" applyAlignment="1">
      <alignment horizontal="center"/>
    </xf>
    <xf numFmtId="49" fontId="55" fillId="0" borderId="0" xfId="187" applyNumberFormat="1" applyFont="1" applyFill="1" applyBorder="1" applyAlignment="1">
      <alignment horizontal="center"/>
    </xf>
    <xf numFmtId="0" fontId="62" fillId="0" borderId="0" xfId="185" applyFont="1" applyFill="1" applyBorder="1" applyAlignment="1">
      <alignment horizontal="center"/>
    </xf>
    <xf numFmtId="174" fontId="128" fillId="0" borderId="0" xfId="0" applyFont="1" applyFill="1" applyAlignment="1"/>
    <xf numFmtId="174" fontId="55" fillId="0" borderId="0" xfId="201" applyFont="1" applyAlignment="1">
      <alignment horizontal="center"/>
    </xf>
    <xf numFmtId="0" fontId="62" fillId="0" borderId="1" xfId="185" applyFont="1" applyBorder="1" applyAlignment="1">
      <alignment horizontal="center"/>
    </xf>
    <xf numFmtId="175" fontId="55" fillId="0" borderId="3" xfId="59" applyNumberFormat="1" applyFont="1" applyBorder="1" applyAlignment="1"/>
    <xf numFmtId="0" fontId="55" fillId="0" borderId="0" xfId="0" applyNumberFormat="1" applyFont="1" applyAlignment="1">
      <alignment horizontal="center" vertical="top"/>
    </xf>
    <xf numFmtId="2" fontId="55" fillId="0" borderId="0" xfId="0" applyNumberFormat="1" applyFont="1" applyAlignment="1">
      <alignment wrapText="1"/>
    </xf>
    <xf numFmtId="0" fontId="122" fillId="0" borderId="0" xfId="555" applyFont="1" applyAlignment="1">
      <alignment horizontal="center"/>
    </xf>
    <xf numFmtId="10" fontId="45" fillId="16" borderId="0" xfId="0" applyNumberFormat="1" applyFont="1" applyFill="1" applyBorder="1" applyAlignment="1"/>
    <xf numFmtId="174" fontId="45" fillId="0" borderId="0" xfId="0" applyFont="1" applyAlignment="1">
      <alignment vertical="top"/>
    </xf>
    <xf numFmtId="174" fontId="45" fillId="0" borderId="1" xfId="0" applyFont="1" applyBorder="1" applyAlignment="1">
      <alignment horizontal="center"/>
    </xf>
    <xf numFmtId="174" fontId="45" fillId="0" borderId="0" xfId="0" applyFont="1" applyAlignment="1">
      <alignment horizontal="center" vertical="top"/>
    </xf>
    <xf numFmtId="0" fontId="55" fillId="0" borderId="0" xfId="187" applyFont="1" applyFill="1" applyAlignment="1">
      <alignment horizontal="left" wrapText="1"/>
    </xf>
    <xf numFmtId="0" fontId="55" fillId="0" borderId="0" xfId="187" applyFont="1" applyFill="1" applyBorder="1" applyAlignment="1">
      <alignment horizontal="left" wrapText="1"/>
    </xf>
    <xf numFmtId="174" fontId="55" fillId="0" borderId="1" xfId="0" applyFont="1" applyBorder="1" applyAlignment="1">
      <alignment horizontal="center"/>
    </xf>
    <xf numFmtId="0" fontId="55" fillId="0" borderId="0" xfId="187" applyFont="1" applyFill="1" applyAlignment="1">
      <alignment horizontal="center"/>
    </xf>
    <xf numFmtId="10" fontId="55" fillId="0" borderId="0" xfId="265" applyNumberFormat="1" applyFont="1" applyFill="1" applyAlignment="1">
      <alignment horizontal="center"/>
    </xf>
    <xf numFmtId="0" fontId="55" fillId="0" borderId="0" xfId="0" applyNumberFormat="1" applyFont="1" applyAlignment="1"/>
    <xf numFmtId="174" fontId="62" fillId="0" borderId="0" xfId="201" quotePrefix="1" applyFont="1" applyAlignment="1">
      <alignment horizontal="left"/>
    </xf>
    <xf numFmtId="174" fontId="55" fillId="0" borderId="0" xfId="201" applyFont="1" applyBorder="1" applyAlignment="1"/>
    <xf numFmtId="174" fontId="55" fillId="0" borderId="0" xfId="201" quotePrefix="1" applyFont="1" applyBorder="1" applyAlignment="1">
      <alignment horizontal="left"/>
    </xf>
    <xf numFmtId="176" fontId="55" fillId="0" borderId="0" xfId="105" applyNumberFormat="1" applyFont="1" applyFill="1" applyBorder="1" applyAlignment="1"/>
    <xf numFmtId="176" fontId="55" fillId="0" borderId="0" xfId="105" applyNumberFormat="1" applyFont="1" applyBorder="1" applyAlignment="1"/>
    <xf numFmtId="1" fontId="55" fillId="0" borderId="0" xfId="201" applyNumberFormat="1" applyFont="1" applyAlignment="1">
      <alignment horizontal="left"/>
    </xf>
    <xf numFmtId="174" fontId="55" fillId="0" borderId="0" xfId="201" quotePrefix="1" applyFont="1" applyAlignment="1">
      <alignment horizontal="left"/>
    </xf>
    <xf numFmtId="43" fontId="55" fillId="0" borderId="0" xfId="59" applyFont="1" applyBorder="1" applyAlignment="1"/>
    <xf numFmtId="174" fontId="55" fillId="0" borderId="0" xfId="201" applyFont="1" applyAlignment="1">
      <alignment horizontal="left"/>
    </xf>
    <xf numFmtId="10" fontId="55" fillId="0" borderId="0" xfId="265" applyNumberFormat="1" applyFont="1" applyBorder="1" applyAlignment="1"/>
    <xf numFmtId="164" fontId="55" fillId="0" borderId="0" xfId="265" applyNumberFormat="1" applyFont="1" applyAlignment="1"/>
    <xf numFmtId="0" fontId="55" fillId="0" borderId="0" xfId="365" applyFont="1" applyAlignment="1"/>
    <xf numFmtId="0" fontId="55" fillId="0" borderId="0" xfId="365" applyFont="1" applyAlignment="1">
      <alignment horizontal="right"/>
    </xf>
    <xf numFmtId="0" fontId="55" fillId="0" borderId="0" xfId="365" applyFont="1"/>
    <xf numFmtId="0" fontId="55" fillId="0" borderId="0" xfId="365" applyFont="1" applyAlignment="1">
      <alignment horizontal="center" wrapText="1"/>
    </xf>
    <xf numFmtId="0" fontId="88" fillId="0" borderId="0" xfId="365" applyFont="1" applyAlignment="1"/>
    <xf numFmtId="0" fontId="55" fillId="0" borderId="0" xfId="365" quotePrefix="1" applyFont="1" applyAlignment="1">
      <alignment horizontal="left"/>
    </xf>
    <xf numFmtId="1" fontId="55" fillId="0" borderId="0" xfId="365" applyNumberFormat="1" applyFont="1" applyAlignment="1">
      <alignment horizontal="center"/>
    </xf>
    <xf numFmtId="0" fontId="55" fillId="0" borderId="0" xfId="365" applyFont="1" applyAlignment="1">
      <alignment horizontal="center"/>
    </xf>
    <xf numFmtId="9" fontId="55" fillId="0" borderId="0" xfId="365" applyNumberFormat="1" applyFont="1" applyAlignment="1">
      <alignment horizontal="center"/>
    </xf>
    <xf numFmtId="10" fontId="55" fillId="0" borderId="0" xfId="365" applyNumberFormat="1" applyFont="1" applyAlignment="1">
      <alignment horizontal="center"/>
    </xf>
    <xf numFmtId="3" fontId="55" fillId="0" borderId="0" xfId="365" applyNumberFormat="1" applyFont="1"/>
    <xf numFmtId="10" fontId="55" fillId="0" borderId="0" xfId="365" applyNumberFormat="1" applyFont="1"/>
    <xf numFmtId="3" fontId="55" fillId="0" borderId="0" xfId="365" applyNumberFormat="1" applyFont="1" applyAlignment="1">
      <alignment horizontal="center"/>
    </xf>
    <xf numFmtId="0" fontId="55" fillId="0" borderId="0" xfId="365" quotePrefix="1" applyFont="1" applyAlignment="1"/>
    <xf numFmtId="275" fontId="55" fillId="0" borderId="0" xfId="365" applyNumberFormat="1" applyFont="1" applyAlignment="1">
      <alignment horizontal="left"/>
    </xf>
    <xf numFmtId="10" fontId="55" fillId="0" borderId="0" xfId="365" applyNumberFormat="1" applyFont="1" applyAlignment="1">
      <alignment horizontal="right"/>
    </xf>
    <xf numFmtId="0" fontId="74" fillId="0" borderId="0" xfId="365" applyFont="1" applyAlignment="1"/>
    <xf numFmtId="1" fontId="74" fillId="0" borderId="0" xfId="365" applyNumberFormat="1" applyFont="1" applyAlignment="1">
      <alignment horizontal="center"/>
    </xf>
    <xf numFmtId="10" fontId="74" fillId="0" borderId="0" xfId="365" applyNumberFormat="1" applyFont="1" applyAlignment="1">
      <alignment horizontal="center"/>
    </xf>
    <xf numFmtId="9" fontId="74" fillId="0" borderId="0" xfId="365" applyNumberFormat="1" applyFont="1" applyAlignment="1">
      <alignment horizontal="center"/>
    </xf>
    <xf numFmtId="0" fontId="74" fillId="0" borderId="0" xfId="365" applyFont="1" applyAlignment="1">
      <alignment horizontal="center"/>
    </xf>
    <xf numFmtId="49" fontId="55" fillId="0" borderId="0" xfId="365" applyNumberFormat="1" applyFont="1" applyAlignment="1"/>
    <xf numFmtId="1" fontId="55" fillId="0" borderId="0" xfId="365" applyNumberFormat="1" applyFont="1" applyAlignment="1"/>
    <xf numFmtId="9" fontId="55" fillId="0" borderId="0" xfId="365" applyNumberFormat="1" applyFont="1" applyAlignment="1"/>
    <xf numFmtId="2" fontId="129" fillId="0" borderId="0" xfId="0" applyNumberFormat="1" applyFont="1" applyFill="1" applyBorder="1" applyAlignment="1">
      <alignment horizontal="center"/>
    </xf>
    <xf numFmtId="0" fontId="55" fillId="0" borderId="1" xfId="365" applyFont="1" applyBorder="1" applyAlignment="1">
      <alignment horizontal="center"/>
    </xf>
    <xf numFmtId="0" fontId="55" fillId="0" borderId="0" xfId="365" applyFont="1" applyAlignment="1">
      <alignment horizontal="center" vertical="top"/>
    </xf>
    <xf numFmtId="2" fontId="55" fillId="0" borderId="0" xfId="0" applyNumberFormat="1" applyFont="1" applyAlignment="1">
      <alignment horizontal="center" wrapText="1"/>
    </xf>
    <xf numFmtId="2" fontId="55" fillId="0" borderId="0" xfId="0" applyNumberFormat="1" applyFont="1" applyAlignment="1">
      <alignment horizontal="left"/>
    </xf>
    <xf numFmtId="10" fontId="55" fillId="0" borderId="0" xfId="365" applyNumberFormat="1" applyFont="1" applyAlignment="1"/>
    <xf numFmtId="174" fontId="45" fillId="16" borderId="0" xfId="0" quotePrefix="1" applyFont="1" applyFill="1" applyAlignment="1">
      <alignment horizontal="center"/>
    </xf>
    <xf numFmtId="1" fontId="55" fillId="0" borderId="0" xfId="201" applyNumberFormat="1" applyFont="1" applyAlignment="1">
      <alignment horizontal="center"/>
    </xf>
    <xf numFmtId="0" fontId="45" fillId="0" borderId="0" xfId="187" applyFont="1" applyFill="1"/>
    <xf numFmtId="170" fontId="55" fillId="0" borderId="0" xfId="0" applyNumberFormat="1" applyFont="1"/>
    <xf numFmtId="175" fontId="45" fillId="0" borderId="0" xfId="79" applyNumberFormat="1" applyFont="1" applyFill="1" applyBorder="1" applyAlignment="1">
      <alignment wrapText="1"/>
    </xf>
    <xf numFmtId="0" fontId="55" fillId="0" borderId="0" xfId="187" applyFont="1" applyAlignment="1"/>
    <xf numFmtId="174" fontId="55" fillId="0" borderId="0" xfId="0" applyFont="1" applyBorder="1" applyAlignment="1">
      <alignment horizontal="centerContinuous"/>
    </xf>
    <xf numFmtId="0" fontId="62" fillId="0" borderId="0" xfId="187" applyFont="1" applyAlignment="1"/>
    <xf numFmtId="0" fontId="74" fillId="0" borderId="0" xfId="187" applyFont="1" applyFill="1"/>
    <xf numFmtId="175" fontId="55" fillId="0" borderId="0" xfId="79" applyNumberFormat="1" applyFont="1" applyFill="1" applyAlignment="1">
      <alignment horizontal="right"/>
    </xf>
    <xf numFmtId="175" fontId="55" fillId="14" borderId="0" xfId="79" applyNumberFormat="1" applyFont="1" applyFill="1" applyAlignment="1"/>
    <xf numFmtId="175" fontId="55" fillId="16" borderId="0" xfId="79" applyNumberFormat="1" applyFont="1" applyFill="1" applyAlignment="1"/>
    <xf numFmtId="175" fontId="55" fillId="0" borderId="3" xfId="79" applyNumberFormat="1" applyFont="1" applyFill="1" applyBorder="1" applyAlignment="1"/>
    <xf numFmtId="0" fontId="62" fillId="0" borderId="0" xfId="187" applyFont="1" applyFill="1"/>
    <xf numFmtId="175" fontId="55" fillId="16" borderId="0" xfId="79" applyNumberFormat="1" applyFont="1" applyFill="1" applyBorder="1" applyAlignment="1"/>
    <xf numFmtId="175" fontId="55" fillId="0" borderId="0" xfId="79" applyNumberFormat="1" applyFont="1" applyFill="1" applyBorder="1" applyAlignment="1"/>
    <xf numFmtId="0" fontId="45" fillId="0" borderId="0" xfId="187" applyFont="1"/>
    <xf numFmtId="175" fontId="55" fillId="0" borderId="0" xfId="187" applyNumberFormat="1" applyFont="1" applyFill="1"/>
    <xf numFmtId="0" fontId="86" fillId="0" borderId="0" xfId="187" applyFont="1"/>
    <xf numFmtId="0" fontId="55" fillId="0" borderId="0" xfId="187" applyFont="1" applyFill="1" applyAlignment="1">
      <alignment horizontal="center" vertical="top"/>
    </xf>
    <xf numFmtId="175" fontId="55" fillId="0" borderId="0" xfId="79" applyNumberFormat="1" applyFont="1" applyFill="1" applyAlignment="1"/>
    <xf numFmtId="175" fontId="45" fillId="0" borderId="0" xfId="79" applyNumberFormat="1" applyFont="1" applyAlignment="1"/>
    <xf numFmtId="175" fontId="55" fillId="0" borderId="0" xfId="79" applyNumberFormat="1" applyFont="1" applyBorder="1" applyAlignment="1"/>
    <xf numFmtId="175" fontId="55" fillId="0" borderId="0" xfId="187" applyNumberFormat="1" applyFont="1"/>
    <xf numFmtId="175" fontId="55" fillId="0" borderId="1" xfId="79" applyNumberFormat="1" applyFont="1" applyFill="1" applyBorder="1" applyAlignment="1">
      <alignment horizontal="center"/>
    </xf>
    <xf numFmtId="175" fontId="55" fillId="0" borderId="3" xfId="187" applyNumberFormat="1" applyFont="1" applyBorder="1"/>
    <xf numFmtId="0" fontId="62" fillId="0" borderId="0" xfId="187" applyFont="1"/>
    <xf numFmtId="170" fontId="55" fillId="16" borderId="33" xfId="0" applyNumberFormat="1" applyFont="1" applyFill="1" applyBorder="1" applyAlignment="1" applyProtection="1">
      <alignment horizontal="center"/>
      <protection locked="0"/>
    </xf>
    <xf numFmtId="171" fontId="55" fillId="0" borderId="0" xfId="265" applyNumberFormat="1" applyFont="1" applyFill="1" applyAlignment="1">
      <alignment horizontal="right"/>
    </xf>
    <xf numFmtId="171" fontId="55" fillId="0" borderId="8" xfId="265" applyNumberFormat="1" applyFont="1" applyFill="1" applyBorder="1" applyAlignment="1">
      <alignment horizontal="right"/>
    </xf>
    <xf numFmtId="0" fontId="55" fillId="16" borderId="0" xfId="0" applyNumberFormat="1" applyFont="1" applyFill="1" applyAlignment="1" applyProtection="1">
      <alignment horizontal="center"/>
      <protection locked="0"/>
    </xf>
    <xf numFmtId="175" fontId="55" fillId="0" borderId="0" xfId="86" applyNumberFormat="1" applyFont="1" applyFill="1" applyBorder="1" applyAlignment="1">
      <alignment horizontal="right"/>
    </xf>
    <xf numFmtId="175" fontId="55" fillId="16" borderId="0" xfId="59" applyNumberFormat="1" applyFont="1" applyFill="1" applyBorder="1" applyAlignment="1"/>
    <xf numFmtId="10" fontId="55" fillId="0" borderId="0" xfId="187" applyNumberFormat="1" applyFont="1" applyFill="1"/>
    <xf numFmtId="174" fontId="62" fillId="0" borderId="0" xfId="201" applyFont="1" applyFill="1" applyAlignment="1">
      <alignment horizontal="center" wrapText="1"/>
    </xf>
    <xf numFmtId="0" fontId="62" fillId="0" borderId="0" xfId="185" applyFont="1" applyFill="1" applyAlignment="1">
      <alignment horizontal="center"/>
    </xf>
    <xf numFmtId="174" fontId="62" fillId="0" borderId="1" xfId="201" applyFont="1" applyFill="1" applyBorder="1" applyAlignment="1">
      <alignment horizontal="center" wrapText="1"/>
    </xf>
    <xf numFmtId="0" fontId="55" fillId="0" borderId="0" xfId="365" applyFont="1" applyAlignment="1">
      <alignment horizontal="left"/>
    </xf>
    <xf numFmtId="0" fontId="62" fillId="0" borderId="0" xfId="206" applyFont="1" applyFill="1" applyBorder="1" applyAlignment="1">
      <alignment horizontal="center" wrapText="1"/>
    </xf>
    <xf numFmtId="0" fontId="55" fillId="0" borderId="0" xfId="0" applyNumberFormat="1" applyFont="1" applyAlignment="1">
      <alignment horizontal="center" wrapText="1"/>
    </xf>
    <xf numFmtId="174" fontId="55" fillId="0" borderId="0" xfId="0" applyFont="1" applyAlignment="1">
      <alignment vertical="top"/>
    </xf>
    <xf numFmtId="174" fontId="55" fillId="0" borderId="0" xfId="0" applyFont="1" applyFill="1" applyAlignment="1">
      <alignment vertical="top"/>
    </xf>
    <xf numFmtId="10" fontId="55" fillId="0" borderId="0" xfId="265" applyNumberFormat="1" applyFont="1" applyFill="1" applyBorder="1"/>
    <xf numFmtId="0" fontId="55" fillId="0" borderId="1" xfId="187" applyFont="1" applyBorder="1" applyAlignment="1">
      <alignment horizontal="center" wrapText="1"/>
    </xf>
    <xf numFmtId="174" fontId="55" fillId="0" borderId="0" xfId="0" applyFont="1" applyFill="1" applyAlignment="1">
      <alignment vertical="top" wrapText="1"/>
    </xf>
    <xf numFmtId="0" fontId="55" fillId="0" borderId="0" xfId="188" applyNumberFormat="1" applyFont="1" applyFill="1" applyAlignment="1">
      <alignment vertical="top" wrapText="1"/>
    </xf>
    <xf numFmtId="174" fontId="45" fillId="0" borderId="0" xfId="0" applyFont="1" applyAlignment="1">
      <alignment vertical="top" wrapText="1"/>
    </xf>
    <xf numFmtId="0" fontId="55" fillId="0" borderId="0" xfId="187" applyFont="1" applyFill="1" applyBorder="1" applyAlignment="1">
      <alignment horizontal="center" vertical="top"/>
    </xf>
    <xf numFmtId="174" fontId="55" fillId="0" borderId="0" xfId="201" applyFont="1" applyFill="1" applyAlignment="1">
      <alignment wrapText="1"/>
    </xf>
    <xf numFmtId="0" fontId="55" fillId="0" borderId="0" xfId="210" applyNumberFormat="1" applyFont="1" applyFill="1" applyAlignment="1" applyProtection="1">
      <alignment horizontal="center" vertical="top" wrapText="1"/>
      <protection locked="0"/>
    </xf>
    <xf numFmtId="0" fontId="55" fillId="0" borderId="0" xfId="188" applyFont="1" applyFill="1" applyAlignment="1">
      <alignment horizontal="center" vertical="top" wrapText="1"/>
    </xf>
    <xf numFmtId="0" fontId="55" fillId="0" borderId="0" xfId="210" applyNumberFormat="1" applyFont="1" applyFill="1" applyBorder="1" applyAlignment="1" applyProtection="1">
      <alignment horizontal="center" vertical="top" wrapText="1"/>
      <protection locked="0"/>
    </xf>
    <xf numFmtId="174" fontId="55" fillId="0" borderId="0" xfId="210" applyFont="1" applyFill="1" applyAlignment="1">
      <alignment horizontal="center" vertical="top" wrapText="1"/>
    </xf>
    <xf numFmtId="174" fontId="55" fillId="0" borderId="0" xfId="0" applyFont="1" applyAlignment="1">
      <alignment horizontal="center"/>
    </xf>
    <xf numFmtId="0" fontId="55" fillId="0" borderId="0" xfId="59" applyNumberFormat="1" applyFont="1" applyAlignment="1">
      <alignment horizontal="center" vertical="top"/>
    </xf>
    <xf numFmtId="43" fontId="55" fillId="0" borderId="0" xfId="59" applyFont="1" applyAlignment="1">
      <alignment horizontal="left"/>
    </xf>
    <xf numFmtId="43" fontId="55" fillId="0" borderId="10" xfId="59" applyFont="1" applyFill="1" applyBorder="1" applyAlignment="1">
      <alignment horizontal="center"/>
    </xf>
    <xf numFmtId="43" fontId="55" fillId="0" borderId="0" xfId="59" applyFont="1" applyFill="1" applyProtection="1">
      <protection locked="0"/>
    </xf>
    <xf numFmtId="43" fontId="62" fillId="0" borderId="0" xfId="59" applyFont="1" applyFill="1" applyProtection="1">
      <protection locked="0"/>
    </xf>
    <xf numFmtId="43" fontId="55" fillId="0" borderId="1" xfId="59" applyFont="1" applyFill="1" applyBorder="1" applyProtection="1">
      <protection locked="0"/>
    </xf>
    <xf numFmtId="174" fontId="55" fillId="0" borderId="0" xfId="0" applyFont="1" applyAlignment="1">
      <alignment horizontal="center" vertical="top"/>
    </xf>
    <xf numFmtId="174" fontId="45" fillId="0" borderId="0" xfId="0" applyFont="1" applyFill="1" applyAlignment="1">
      <alignment vertical="top"/>
    </xf>
    <xf numFmtId="43" fontId="55" fillId="0" borderId="3" xfId="59" applyFont="1" applyFill="1" applyBorder="1"/>
    <xf numFmtId="0" fontId="55" fillId="0" borderId="0" xfId="59" applyNumberFormat="1" applyFont="1" applyFill="1"/>
    <xf numFmtId="0" fontId="55" fillId="0" borderId="0" xfId="59" applyNumberFormat="1" applyFont="1" applyFill="1" applyAlignment="1">
      <alignment horizontal="right"/>
    </xf>
    <xf numFmtId="43" fontId="55" fillId="0" borderId="0" xfId="59" applyFont="1" applyFill="1" applyBorder="1"/>
    <xf numFmtId="43" fontId="55" fillId="0" borderId="1" xfId="59" applyFont="1" applyFill="1" applyBorder="1"/>
    <xf numFmtId="175" fontId="55" fillId="0" borderId="1" xfId="59" applyNumberFormat="1" applyFont="1" applyFill="1" applyBorder="1"/>
    <xf numFmtId="175" fontId="0" fillId="0" borderId="0" xfId="59" applyNumberFormat="1" applyFont="1" applyAlignment="1"/>
    <xf numFmtId="175" fontId="62" fillId="0" borderId="0" xfId="59" applyNumberFormat="1" applyFont="1" applyFill="1" applyBorder="1"/>
    <xf numFmtId="175" fontId="55" fillId="0" borderId="1" xfId="59" applyNumberFormat="1" applyFont="1" applyBorder="1" applyAlignment="1">
      <alignment horizontal="center" wrapText="1"/>
    </xf>
    <xf numFmtId="175" fontId="62" fillId="0" borderId="0" xfId="59" applyNumberFormat="1" applyFont="1" applyBorder="1" applyAlignment="1">
      <alignment horizontal="center"/>
    </xf>
    <xf numFmtId="0" fontId="55" fillId="14" borderId="0" xfId="59" applyNumberFormat="1" applyFont="1" applyFill="1" applyBorder="1" applyAlignment="1">
      <alignment horizontal="center"/>
    </xf>
    <xf numFmtId="41" fontId="55" fillId="16" borderId="0" xfId="211" applyNumberFormat="1" applyFont="1" applyFill="1"/>
    <xf numFmtId="10" fontId="55" fillId="16" borderId="0" xfId="59" applyNumberFormat="1" applyFont="1" applyFill="1" applyAlignment="1"/>
    <xf numFmtId="175" fontId="55" fillId="16" borderId="8" xfId="59" applyNumberFormat="1" applyFont="1" applyFill="1" applyBorder="1" applyAlignment="1"/>
    <xf numFmtId="0" fontId="55" fillId="16" borderId="0" xfId="0" applyNumberFormat="1" applyFont="1" applyFill="1"/>
    <xf numFmtId="278" fontId="55" fillId="16" borderId="0" xfId="187" applyNumberFormat="1" applyFont="1" applyFill="1" applyBorder="1"/>
    <xf numFmtId="278" fontId="0" fillId="0" borderId="0" xfId="265" applyNumberFormat="1" applyFont="1" applyAlignment="1"/>
    <xf numFmtId="278" fontId="55" fillId="0" borderId="0" xfId="265" applyNumberFormat="1" applyFont="1" applyFill="1" applyBorder="1"/>
    <xf numFmtId="43" fontId="55" fillId="16" borderId="0" xfId="59" applyFont="1" applyFill="1"/>
    <xf numFmtId="279" fontId="55" fillId="0" borderId="0" xfId="187" applyNumberFormat="1" applyFont="1" applyFill="1"/>
    <xf numFmtId="0" fontId="55" fillId="14" borderId="0" xfId="210" applyNumberFormat="1" applyFont="1" applyFill="1" applyAlignment="1">
      <alignment horizontal="right"/>
    </xf>
    <xf numFmtId="175" fontId="0" fillId="0" borderId="3" xfId="59" applyNumberFormat="1" applyFont="1" applyBorder="1" applyAlignment="1"/>
    <xf numFmtId="14" fontId="55" fillId="0" borderId="0" xfId="201" applyNumberFormat="1" applyFont="1" applyFill="1" applyAlignment="1">
      <alignment horizontal="right"/>
    </xf>
    <xf numFmtId="280" fontId="55" fillId="14" borderId="0" xfId="210" applyNumberFormat="1" applyFont="1" applyFill="1" applyAlignment="1">
      <alignment horizontal="right"/>
    </xf>
    <xf numFmtId="175" fontId="55" fillId="16" borderId="1" xfId="59" applyNumberFormat="1" applyFont="1" applyFill="1" applyBorder="1" applyAlignment="1"/>
    <xf numFmtId="175" fontId="55" fillId="16" borderId="10" xfId="59" applyNumberFormat="1" applyFont="1" applyFill="1" applyBorder="1"/>
    <xf numFmtId="41" fontId="55" fillId="16" borderId="0" xfId="211" applyNumberFormat="1" applyFont="1" applyFill="1"/>
    <xf numFmtId="10" fontId="55" fillId="16" borderId="0" xfId="59" applyNumberFormat="1" applyFont="1" applyFill="1" applyAlignment="1"/>
    <xf numFmtId="174" fontId="55" fillId="0" borderId="0" xfId="210" applyFont="1" applyAlignment="1">
      <alignment horizontal="center"/>
    </xf>
    <xf numFmtId="49" fontId="55" fillId="0" borderId="0" xfId="210" applyNumberFormat="1" applyFont="1" applyAlignment="1" applyProtection="1">
      <alignment horizontal="center"/>
      <protection locked="0"/>
    </xf>
    <xf numFmtId="0" fontId="55" fillId="0" borderId="0" xfId="210" applyNumberFormat="1" applyFont="1" applyFill="1" applyAlignment="1" applyProtection="1">
      <alignment vertical="top" wrapText="1"/>
      <protection locked="0"/>
    </xf>
    <xf numFmtId="0" fontId="93" fillId="0" borderId="0" xfId="210" applyNumberFormat="1" applyFont="1" applyFill="1" applyAlignment="1" applyProtection="1">
      <alignment vertical="top" wrapText="1"/>
      <protection locked="0"/>
    </xf>
    <xf numFmtId="174" fontId="55" fillId="0" borderId="0" xfId="0" applyFont="1" applyFill="1" applyAlignment="1">
      <alignment horizontal="left" vertical="top" wrapText="1"/>
    </xf>
    <xf numFmtId="0" fontId="55" fillId="0" borderId="0" xfId="210" quotePrefix="1" applyNumberFormat="1" applyFont="1" applyFill="1" applyAlignment="1">
      <alignment vertical="top" wrapText="1"/>
    </xf>
    <xf numFmtId="0" fontId="55" fillId="0" borderId="0" xfId="210" applyNumberFormat="1" applyFont="1" applyFill="1" applyAlignment="1">
      <alignment vertical="top" wrapText="1"/>
    </xf>
    <xf numFmtId="0" fontId="55" fillId="0" borderId="0" xfId="206" applyFont="1" applyFill="1" applyAlignment="1">
      <alignment vertical="top" wrapText="1"/>
    </xf>
    <xf numFmtId="0" fontId="55" fillId="0" borderId="0" xfId="210" applyNumberFormat="1" applyFont="1" applyFill="1" applyAlignment="1" applyProtection="1">
      <alignment horizontal="center" vertical="top" wrapText="1"/>
      <protection locked="0"/>
    </xf>
    <xf numFmtId="174" fontId="55" fillId="0" borderId="0" xfId="0" applyFont="1" applyFill="1" applyAlignment="1">
      <alignment vertical="top" wrapText="1"/>
    </xf>
    <xf numFmtId="174" fontId="55" fillId="0" borderId="0" xfId="201" applyFont="1" applyFill="1" applyBorder="1" applyAlignment="1">
      <alignment horizontal="left" vertical="top" wrapText="1"/>
    </xf>
    <xf numFmtId="49" fontId="55" fillId="0" borderId="0" xfId="201" applyNumberFormat="1" applyFont="1" applyFill="1" applyBorder="1" applyAlignment="1">
      <alignment horizontal="left" vertical="top" wrapText="1"/>
    </xf>
    <xf numFmtId="174" fontId="55" fillId="0" borderId="0" xfId="0" applyFont="1" applyFill="1" applyAlignment="1">
      <alignment horizontal="left" wrapText="1"/>
    </xf>
    <xf numFmtId="0" fontId="55" fillId="0" borderId="0" xfId="187" applyFont="1" applyFill="1" applyBorder="1" applyAlignment="1">
      <alignment horizontal="left" wrapText="1"/>
    </xf>
    <xf numFmtId="0" fontId="45" fillId="0" borderId="0" xfId="210" applyNumberFormat="1" applyFont="1" applyFill="1" applyAlignment="1">
      <alignment horizontal="center"/>
    </xf>
    <xf numFmtId="174" fontId="55" fillId="0" borderId="0" xfId="0" applyNumberFormat="1" applyFont="1" applyFill="1" applyBorder="1" applyAlignment="1" applyProtection="1">
      <alignment horizontal="left" vertical="top" wrapText="1"/>
    </xf>
    <xf numFmtId="174" fontId="55" fillId="0" borderId="22" xfId="0" applyFont="1" applyBorder="1" applyAlignment="1">
      <alignment horizontal="center" wrapText="1"/>
    </xf>
    <xf numFmtId="174" fontId="55" fillId="0" borderId="15" xfId="0" applyFont="1" applyBorder="1" applyAlignment="1">
      <alignment horizontal="center" wrapText="1"/>
    </xf>
    <xf numFmtId="174" fontId="55" fillId="0" borderId="17" xfId="0" applyFont="1" applyBorder="1" applyAlignment="1">
      <alignment horizontal="center"/>
    </xf>
    <xf numFmtId="174" fontId="55" fillId="0" borderId="1" xfId="0" applyFont="1" applyBorder="1" applyAlignment="1">
      <alignment horizontal="center"/>
    </xf>
    <xf numFmtId="174" fontId="55" fillId="0" borderId="21" xfId="0" applyFont="1" applyBorder="1" applyAlignment="1">
      <alignment horizontal="center"/>
    </xf>
    <xf numFmtId="174" fontId="55" fillId="0" borderId="19" xfId="0" applyFont="1" applyFill="1" applyBorder="1" applyAlignment="1">
      <alignment horizontal="center"/>
    </xf>
    <xf numFmtId="174" fontId="55" fillId="0" borderId="20" xfId="0" applyFont="1" applyFill="1" applyBorder="1" applyAlignment="1">
      <alignment horizontal="center"/>
    </xf>
    <xf numFmtId="174" fontId="55" fillId="0" borderId="0" xfId="0" applyFont="1" applyAlignment="1">
      <alignment horizontal="left" vertical="top" wrapText="1"/>
    </xf>
    <xf numFmtId="174" fontId="62" fillId="0" borderId="0" xfId="0" applyFont="1" applyAlignment="1">
      <alignment horizontal="center"/>
    </xf>
    <xf numFmtId="0" fontId="62" fillId="0" borderId="0" xfId="211" applyFont="1" applyAlignment="1">
      <alignment horizontal="center"/>
    </xf>
    <xf numFmtId="0" fontId="62" fillId="0" borderId="0" xfId="211" applyFont="1" applyAlignment="1">
      <alignment horizontal="center" wrapText="1"/>
    </xf>
    <xf numFmtId="0" fontId="55" fillId="0" borderId="0" xfId="201" applyNumberFormat="1" applyFont="1" applyFill="1" applyBorder="1" applyAlignment="1" applyProtection="1">
      <alignment horizontal="center"/>
      <protection locked="0"/>
    </xf>
    <xf numFmtId="0" fontId="55" fillId="0" borderId="0" xfId="211" applyFont="1" applyAlignment="1">
      <alignment horizontal="center"/>
    </xf>
    <xf numFmtId="0" fontId="55" fillId="0" borderId="0" xfId="210" applyNumberFormat="1" applyFont="1" applyFill="1" applyAlignment="1">
      <alignment horizontal="center"/>
    </xf>
    <xf numFmtId="0" fontId="55" fillId="0" borderId="0" xfId="188" applyNumberFormat="1" applyFont="1" applyFill="1" applyAlignment="1">
      <alignment horizontal="left" vertical="top" wrapText="1"/>
    </xf>
    <xf numFmtId="174" fontId="55" fillId="0" borderId="0" xfId="0" applyFont="1" applyFill="1" applyAlignment="1">
      <alignment horizontal="left" vertical="top"/>
    </xf>
    <xf numFmtId="174" fontId="55" fillId="0" borderId="0" xfId="0" applyFont="1" applyAlignment="1">
      <alignment horizontal="center"/>
    </xf>
    <xf numFmtId="174" fontId="55" fillId="0" borderId="0" xfId="201" quotePrefix="1" applyFont="1" applyBorder="1" applyAlignment="1">
      <alignment horizontal="left" wrapText="1"/>
    </xf>
    <xf numFmtId="174" fontId="55" fillId="0" borderId="0" xfId="201" applyFont="1" applyFill="1" applyAlignment="1">
      <alignment horizontal="left" wrapText="1"/>
    </xf>
    <xf numFmtId="174" fontId="55" fillId="0" borderId="0" xfId="201" applyFont="1" applyAlignment="1">
      <alignment horizontal="center"/>
    </xf>
    <xf numFmtId="0" fontId="55" fillId="0" borderId="0" xfId="187" applyFont="1" applyFill="1" applyAlignment="1">
      <alignment horizontal="left" vertical="top" wrapText="1"/>
    </xf>
    <xf numFmtId="0" fontId="55" fillId="0" borderId="0" xfId="187" applyFont="1" applyFill="1" applyAlignment="1">
      <alignment horizontal="center"/>
    </xf>
    <xf numFmtId="0" fontId="55" fillId="0" borderId="0" xfId="187" applyFont="1" applyFill="1" applyAlignment="1">
      <alignment horizontal="left" wrapText="1"/>
    </xf>
    <xf numFmtId="0" fontId="86" fillId="0" borderId="0" xfId="187" applyFont="1" applyFill="1" applyBorder="1" applyAlignment="1">
      <alignment horizontal="center"/>
    </xf>
    <xf numFmtId="0" fontId="55" fillId="0" borderId="0" xfId="187" applyFont="1" applyFill="1" applyBorder="1" applyAlignment="1">
      <alignment horizontal="left"/>
    </xf>
    <xf numFmtId="2" fontId="55" fillId="0" borderId="0" xfId="0" applyNumberFormat="1" applyFont="1" applyAlignment="1">
      <alignment horizontal="left" vertical="top" wrapText="1"/>
    </xf>
    <xf numFmtId="0" fontId="62" fillId="0" borderId="0" xfId="365" applyFont="1" applyAlignment="1">
      <alignment horizontal="center"/>
    </xf>
    <xf numFmtId="0" fontId="55" fillId="0" borderId="0" xfId="0" applyNumberFormat="1" applyFont="1" applyAlignment="1">
      <alignment horizontal="center"/>
    </xf>
    <xf numFmtId="10" fontId="55" fillId="0" borderId="0" xfId="265" applyNumberFormat="1" applyFont="1" applyFill="1" applyAlignment="1">
      <alignment horizontal="center"/>
    </xf>
    <xf numFmtId="174" fontId="45" fillId="0" borderId="0" xfId="0" applyFont="1" applyAlignment="1">
      <alignment horizontal="left" vertical="top" wrapText="1"/>
    </xf>
  </cellXfs>
  <cellStyles count="1494">
    <cellStyle name="¢ Currency [1]" xfId="2"/>
    <cellStyle name="¢ Currency [2]" xfId="3"/>
    <cellStyle name="¢ Currency [3]" xfId="4"/>
    <cellStyle name="£ Currency [0]" xfId="5"/>
    <cellStyle name="£ Currency [1]" xfId="6"/>
    <cellStyle name="£ Currency [2]" xfId="7"/>
    <cellStyle name="=C:\WINNT35\SYSTEM32\COMMAND.COM" xfId="1"/>
    <cellStyle name="20% - Accent1 2" xfId="557"/>
    <cellStyle name="20% - Accent2 2" xfId="558"/>
    <cellStyle name="20% - Accent3 2" xfId="559"/>
    <cellStyle name="20% - Accent4 2" xfId="560"/>
    <cellStyle name="20% - Accent5 2" xfId="561"/>
    <cellStyle name="20% - Accent6 2" xfId="562"/>
    <cellStyle name="40% - Accent1 2" xfId="563"/>
    <cellStyle name="40% - Accent2 2" xfId="564"/>
    <cellStyle name="40% - Accent3 2" xfId="565"/>
    <cellStyle name="40% - Accent4 2" xfId="566"/>
    <cellStyle name="40% - Accent5 2" xfId="567"/>
    <cellStyle name="40% - Accent6 2" xfId="568"/>
    <cellStyle name="60% - Accent1 2" xfId="569"/>
    <cellStyle name="60% - Accent2 2" xfId="570"/>
    <cellStyle name="60% - Accent3 2" xfId="571"/>
    <cellStyle name="60% - Accent4 2" xfId="572"/>
    <cellStyle name="60% - Accent5 2" xfId="573"/>
    <cellStyle name="60% - Accent6 2" xfId="574"/>
    <cellStyle name="Accent1 2" xfId="575"/>
    <cellStyle name="Accent2 2" xfId="576"/>
    <cellStyle name="Accent3 2" xfId="577"/>
    <cellStyle name="Accent4 2" xfId="578"/>
    <cellStyle name="Accent5 2" xfId="579"/>
    <cellStyle name="Accent6 2" xfId="580"/>
    <cellStyle name="Bad 2" xfId="581"/>
    <cellStyle name="Basic" xfId="8"/>
    <cellStyle name="black" xfId="9"/>
    <cellStyle name="blu" xfId="10"/>
    <cellStyle name="bot" xfId="11"/>
    <cellStyle name="Bullet" xfId="12"/>
    <cellStyle name="Bullet [0]" xfId="13"/>
    <cellStyle name="Bullet [2]" xfId="14"/>
    <cellStyle name="Bullet [4]" xfId="15"/>
    <cellStyle name="c" xfId="16"/>
    <cellStyle name="c," xfId="17"/>
    <cellStyle name="c_HardInc " xfId="18"/>
    <cellStyle name="c_HardInc _ITC Great Plains Formula 1-12-09a" xfId="19"/>
    <cellStyle name="C00A" xfId="20"/>
    <cellStyle name="C00B" xfId="21"/>
    <cellStyle name="C00L" xfId="22"/>
    <cellStyle name="C01A" xfId="23"/>
    <cellStyle name="C01B" xfId="24"/>
    <cellStyle name="C01H" xfId="25"/>
    <cellStyle name="C01L" xfId="26"/>
    <cellStyle name="C02A" xfId="27"/>
    <cellStyle name="C02B" xfId="28"/>
    <cellStyle name="C02H" xfId="29"/>
    <cellStyle name="C02L" xfId="30"/>
    <cellStyle name="C03A" xfId="31"/>
    <cellStyle name="C03B" xfId="32"/>
    <cellStyle name="C03H" xfId="33"/>
    <cellStyle name="C03L" xfId="34"/>
    <cellStyle name="C04A" xfId="35"/>
    <cellStyle name="C04B" xfId="36"/>
    <cellStyle name="C04H" xfId="37"/>
    <cellStyle name="C04L" xfId="38"/>
    <cellStyle name="C05A" xfId="39"/>
    <cellStyle name="C05B" xfId="40"/>
    <cellStyle name="C05H" xfId="41"/>
    <cellStyle name="C05L" xfId="42"/>
    <cellStyle name="C05L 2" xfId="43"/>
    <cellStyle name="C06A" xfId="44"/>
    <cellStyle name="C06B" xfId="45"/>
    <cellStyle name="C06H" xfId="46"/>
    <cellStyle name="C06L" xfId="47"/>
    <cellStyle name="C07A" xfId="48"/>
    <cellStyle name="C07B" xfId="49"/>
    <cellStyle name="C07H" xfId="50"/>
    <cellStyle name="C07L" xfId="51"/>
    <cellStyle name="c1" xfId="52"/>
    <cellStyle name="c1," xfId="53"/>
    <cellStyle name="c2" xfId="54"/>
    <cellStyle name="c2," xfId="55"/>
    <cellStyle name="c3" xfId="56"/>
    <cellStyle name="Calculation 2" xfId="582"/>
    <cellStyle name="cas" xfId="57"/>
    <cellStyle name="Centered Heading" xfId="58"/>
    <cellStyle name="Check Cell 2" xfId="583"/>
    <cellStyle name="Comma" xfId="59" builtinId="3"/>
    <cellStyle name="Comma  - Style1" xfId="60"/>
    <cellStyle name="Comma  - Style2" xfId="61"/>
    <cellStyle name="Comma  - Style3" xfId="62"/>
    <cellStyle name="Comma  - Style4" xfId="63"/>
    <cellStyle name="Comma  - Style5" xfId="64"/>
    <cellStyle name="Comma  - Style6" xfId="65"/>
    <cellStyle name="Comma  - Style7" xfId="66"/>
    <cellStyle name="Comma  - Style8" xfId="67"/>
    <cellStyle name="Comma [0] 2" xfId="68"/>
    <cellStyle name="Comma [1]" xfId="69"/>
    <cellStyle name="Comma [2]" xfId="70"/>
    <cellStyle name="Comma [3]" xfId="71"/>
    <cellStyle name="Comma 0.0" xfId="72"/>
    <cellStyle name="Comma 0.00" xfId="73"/>
    <cellStyle name="Comma 0.000" xfId="74"/>
    <cellStyle name="Comma 0.0000" xfId="75"/>
    <cellStyle name="Comma 10" xfId="76"/>
    <cellStyle name="Comma 10 2" xfId="587"/>
    <cellStyle name="Comma 11" xfId="77"/>
    <cellStyle name="Comma 11 2" xfId="588"/>
    <cellStyle name="Comma 12" xfId="553"/>
    <cellStyle name="Comma 13" xfId="552"/>
    <cellStyle name="Comma 14" xfId="551"/>
    <cellStyle name="Comma 15" xfId="550"/>
    <cellStyle name="Comma 16" xfId="549"/>
    <cellStyle name="Comma 17" xfId="548"/>
    <cellStyle name="Comma 18" xfId="547"/>
    <cellStyle name="Comma 19" xfId="546"/>
    <cellStyle name="Comma 2" xfId="78"/>
    <cellStyle name="Comma 2 2" xfId="79"/>
    <cellStyle name="Comma 2 3" xfId="545"/>
    <cellStyle name="Comma 2 4" xfId="593"/>
    <cellStyle name="Comma 20" xfId="544"/>
    <cellStyle name="Comma 21" xfId="543"/>
    <cellStyle name="Comma 22" xfId="542"/>
    <cellStyle name="Comma 23" xfId="541"/>
    <cellStyle name="Comma 24" xfId="540"/>
    <cellStyle name="Comma 25" xfId="539"/>
    <cellStyle name="Comma 26" xfId="538"/>
    <cellStyle name="Comma 27" xfId="537"/>
    <cellStyle name="Comma 28" xfId="536"/>
    <cellStyle name="Comma 29" xfId="535"/>
    <cellStyle name="Comma 3" xfId="80"/>
    <cellStyle name="Comma 3 2" xfId="81"/>
    <cellStyle name="Comma 3 2 2" xfId="534"/>
    <cellStyle name="Comma 3 2 2 2" xfId="599"/>
    <cellStyle name="Comma 3 2 2 2 2" xfId="730"/>
    <cellStyle name="Comma 3 2 2 2 2 2" xfId="958"/>
    <cellStyle name="Comma 3 2 2 2 2 2 2" xfId="1391"/>
    <cellStyle name="Comma 3 2 2 2 2 3" xfId="1175"/>
    <cellStyle name="Comma 3 2 2 2 3" xfId="814"/>
    <cellStyle name="Comma 3 2 2 2 3 2" xfId="1030"/>
    <cellStyle name="Comma 3 2 2 2 3 2 2" xfId="1463"/>
    <cellStyle name="Comma 3 2 2 2 3 3" xfId="1247"/>
    <cellStyle name="Comma 3 2 2 2 4" xfId="886"/>
    <cellStyle name="Comma 3 2 2 2 4 2" xfId="1319"/>
    <cellStyle name="Comma 3 2 2 2 5" xfId="1103"/>
    <cellStyle name="Comma 3 2 2 3" xfId="627"/>
    <cellStyle name="Comma 3 2 2 3 2" xfId="736"/>
    <cellStyle name="Comma 3 2 2 3 2 2" xfId="964"/>
    <cellStyle name="Comma 3 2 2 3 2 2 2" xfId="1397"/>
    <cellStyle name="Comma 3 2 2 3 2 3" xfId="1181"/>
    <cellStyle name="Comma 3 2 2 3 3" xfId="820"/>
    <cellStyle name="Comma 3 2 2 3 3 2" xfId="1036"/>
    <cellStyle name="Comma 3 2 2 3 3 2 2" xfId="1469"/>
    <cellStyle name="Comma 3 2 2 3 3 3" xfId="1253"/>
    <cellStyle name="Comma 3 2 2 3 4" xfId="892"/>
    <cellStyle name="Comma 3 2 2 3 4 2" xfId="1325"/>
    <cellStyle name="Comma 3 2 2 3 5" xfId="1109"/>
    <cellStyle name="Comma 3 2 2 4" xfId="665"/>
    <cellStyle name="Comma 3 2 2 4 2" xfId="767"/>
    <cellStyle name="Comma 3 2 2 4 2 2" xfId="983"/>
    <cellStyle name="Comma 3 2 2 4 2 2 2" xfId="1416"/>
    <cellStyle name="Comma 3 2 2 4 2 3" xfId="1200"/>
    <cellStyle name="Comma 3 2 2 4 3" xfId="839"/>
    <cellStyle name="Comma 3 2 2 4 3 2" xfId="1055"/>
    <cellStyle name="Comma 3 2 2 4 3 2 2" xfId="1488"/>
    <cellStyle name="Comma 3 2 2 4 3 3" xfId="1272"/>
    <cellStyle name="Comma 3 2 2 4 4" xfId="911"/>
    <cellStyle name="Comma 3 2 2 4 4 2" xfId="1344"/>
    <cellStyle name="Comma 3 2 2 4 5" xfId="1128"/>
    <cellStyle name="Comma 3 2 2 5" xfId="729"/>
    <cellStyle name="Comma 3 2 2 5 2" xfId="957"/>
    <cellStyle name="Comma 3 2 2 5 2 2" xfId="1390"/>
    <cellStyle name="Comma 3 2 2 5 3" xfId="1174"/>
    <cellStyle name="Comma 3 2 2 6" xfId="813"/>
    <cellStyle name="Comma 3 2 2 6 2" xfId="1029"/>
    <cellStyle name="Comma 3 2 2 6 2 2" xfId="1462"/>
    <cellStyle name="Comma 3 2 2 6 3" xfId="1246"/>
    <cellStyle name="Comma 3 2 2 7" xfId="885"/>
    <cellStyle name="Comma 3 2 2 7 2" xfId="1318"/>
    <cellStyle name="Comma 3 2 2 8" xfId="1102"/>
    <cellStyle name="Comma 3 3" xfId="585"/>
    <cellStyle name="Comma 3 4" xfId="586"/>
    <cellStyle name="Comma 3 5" xfId="639"/>
    <cellStyle name="Comma 3 5 2" xfId="745"/>
    <cellStyle name="Comma 30" xfId="533"/>
    <cellStyle name="Comma 31" xfId="532"/>
    <cellStyle name="Comma 32" xfId="531"/>
    <cellStyle name="Comma 33" xfId="530"/>
    <cellStyle name="Comma 34" xfId="529"/>
    <cellStyle name="Comma 35" xfId="528"/>
    <cellStyle name="Comma 36" xfId="527"/>
    <cellStyle name="Comma 37" xfId="526"/>
    <cellStyle name="Comma 38" xfId="525"/>
    <cellStyle name="Comma 39" xfId="524"/>
    <cellStyle name="Comma 4" xfId="82"/>
    <cellStyle name="Comma 4 2" xfId="523"/>
    <cellStyle name="Comma 4 3" xfId="522"/>
    <cellStyle name="Comma 4 3 2" xfId="603"/>
    <cellStyle name="Comma 4 3 2 2" xfId="731"/>
    <cellStyle name="Comma 4 3 2 2 2" xfId="959"/>
    <cellStyle name="Comma 4 3 2 2 2 2" xfId="1392"/>
    <cellStyle name="Comma 4 3 2 2 3" xfId="1176"/>
    <cellStyle name="Comma 4 3 2 3" xfId="815"/>
    <cellStyle name="Comma 4 3 2 3 2" xfId="1031"/>
    <cellStyle name="Comma 4 3 2 3 2 2" xfId="1464"/>
    <cellStyle name="Comma 4 3 2 3 3" xfId="1248"/>
    <cellStyle name="Comma 4 3 2 4" xfId="887"/>
    <cellStyle name="Comma 4 3 2 4 2" xfId="1320"/>
    <cellStyle name="Comma 4 3 2 5" xfId="1104"/>
    <cellStyle name="Comma 4 3 3" xfId="628"/>
    <cellStyle name="Comma 4 3 3 2" xfId="737"/>
    <cellStyle name="Comma 4 3 3 2 2" xfId="965"/>
    <cellStyle name="Comma 4 3 3 2 2 2" xfId="1398"/>
    <cellStyle name="Comma 4 3 3 2 3" xfId="1182"/>
    <cellStyle name="Comma 4 3 3 3" xfId="821"/>
    <cellStyle name="Comma 4 3 3 3 2" xfId="1037"/>
    <cellStyle name="Comma 4 3 3 3 2 2" xfId="1470"/>
    <cellStyle name="Comma 4 3 3 3 3" xfId="1254"/>
    <cellStyle name="Comma 4 3 3 4" xfId="893"/>
    <cellStyle name="Comma 4 3 3 4 2" xfId="1326"/>
    <cellStyle name="Comma 4 3 3 5" xfId="1110"/>
    <cellStyle name="Comma 4 3 4" xfId="668"/>
    <cellStyle name="Comma 4 3 4 2" xfId="768"/>
    <cellStyle name="Comma 4 3 4 2 2" xfId="984"/>
    <cellStyle name="Comma 4 3 4 2 2 2" xfId="1417"/>
    <cellStyle name="Comma 4 3 4 2 3" xfId="1201"/>
    <cellStyle name="Comma 4 3 4 3" xfId="840"/>
    <cellStyle name="Comma 4 3 4 3 2" xfId="1056"/>
    <cellStyle name="Comma 4 3 4 3 2 2" xfId="1489"/>
    <cellStyle name="Comma 4 3 4 3 3" xfId="1273"/>
    <cellStyle name="Comma 4 3 4 4" xfId="912"/>
    <cellStyle name="Comma 4 3 4 4 2" xfId="1345"/>
    <cellStyle name="Comma 4 3 4 5" xfId="1129"/>
    <cellStyle name="Comma 4 3 5" xfId="728"/>
    <cellStyle name="Comma 4 3 5 2" xfId="956"/>
    <cellStyle name="Comma 4 3 5 2 2" xfId="1389"/>
    <cellStyle name="Comma 4 3 5 3" xfId="1173"/>
    <cellStyle name="Comma 4 3 6" xfId="812"/>
    <cellStyle name="Comma 4 3 6 2" xfId="1028"/>
    <cellStyle name="Comma 4 3 6 2 2" xfId="1461"/>
    <cellStyle name="Comma 4 3 6 3" xfId="1245"/>
    <cellStyle name="Comma 4 3 7" xfId="884"/>
    <cellStyle name="Comma 4 3 7 2" xfId="1317"/>
    <cellStyle name="Comma 4 3 8" xfId="1101"/>
    <cellStyle name="Comma 40" xfId="521"/>
    <cellStyle name="Comma 41" xfId="520"/>
    <cellStyle name="Comma 42" xfId="519"/>
    <cellStyle name="Comma 43" xfId="518"/>
    <cellStyle name="Comma 44" xfId="517"/>
    <cellStyle name="Comma 45" xfId="516"/>
    <cellStyle name="Comma 46" xfId="515"/>
    <cellStyle name="Comma 47" xfId="514"/>
    <cellStyle name="Comma 48" xfId="513"/>
    <cellStyle name="Comma 49" xfId="512"/>
    <cellStyle name="Comma 5" xfId="83"/>
    <cellStyle name="Comma 50" xfId="511"/>
    <cellStyle name="Comma 51" xfId="510"/>
    <cellStyle name="Comma 52" xfId="509"/>
    <cellStyle name="Comma 53" xfId="508"/>
    <cellStyle name="Comma 54" xfId="507"/>
    <cellStyle name="Comma 55" xfId="506"/>
    <cellStyle name="Comma 56" xfId="505"/>
    <cellStyle name="Comma 57" xfId="504"/>
    <cellStyle name="Comma 58" xfId="503"/>
    <cellStyle name="Comma 59" xfId="502"/>
    <cellStyle name="Comma 6" xfId="84"/>
    <cellStyle name="Comma 6 2" xfId="501"/>
    <cellStyle name="Comma 6 3" xfId="609"/>
    <cellStyle name="Comma 60" xfId="500"/>
    <cellStyle name="Comma 61" xfId="499"/>
    <cellStyle name="Comma 62" xfId="498"/>
    <cellStyle name="Comma 63" xfId="497"/>
    <cellStyle name="Comma 64" xfId="496"/>
    <cellStyle name="Comma 65" xfId="495"/>
    <cellStyle name="Comma 66" xfId="494"/>
    <cellStyle name="Comma 67" xfId="493"/>
    <cellStyle name="Comma 68" xfId="492"/>
    <cellStyle name="Comma 69" xfId="491"/>
    <cellStyle name="Comma 7" xfId="85"/>
    <cellStyle name="Comma 70" xfId="490"/>
    <cellStyle name="Comma 71" xfId="489"/>
    <cellStyle name="Comma 72" xfId="488"/>
    <cellStyle name="Comma 73" xfId="487"/>
    <cellStyle name="Comma 74" xfId="486"/>
    <cellStyle name="Comma 75" xfId="485"/>
    <cellStyle name="Comma 76" xfId="484"/>
    <cellStyle name="Comma 77" xfId="483"/>
    <cellStyle name="Comma 78" xfId="482"/>
    <cellStyle name="Comma 79" xfId="481"/>
    <cellStyle name="Comma 8" xfId="86"/>
    <cellStyle name="Comma 8 2" xfId="87"/>
    <cellStyle name="Comma 8 2 2" xfId="364"/>
    <cellStyle name="Comma 8 3" xfId="610"/>
    <cellStyle name="Comma 80" xfId="480"/>
    <cellStyle name="Comma 81" xfId="479"/>
    <cellStyle name="Comma 82" xfId="478"/>
    <cellStyle name="Comma 83" xfId="477"/>
    <cellStyle name="Comma 84" xfId="638"/>
    <cellStyle name="Comma 84 2" xfId="744"/>
    <cellStyle name="Comma 85" xfId="643"/>
    <cellStyle name="Comma 85 2" xfId="749"/>
    <cellStyle name="Comma 9" xfId="88"/>
    <cellStyle name="Comma 9 2" xfId="366"/>
    <cellStyle name="Comma 9 3" xfId="611"/>
    <cellStyle name="Comma Input" xfId="89"/>
    <cellStyle name="Comma0" xfId="90"/>
    <cellStyle name="Company Name" xfId="91"/>
    <cellStyle name="Config Data" xfId="92"/>
    <cellStyle name="Currency" xfId="93" builtinId="4"/>
    <cellStyle name="Currency [1]" xfId="94"/>
    <cellStyle name="Currency [2]" xfId="95"/>
    <cellStyle name="Currency [3]" xfId="96"/>
    <cellStyle name="Currency 0.0" xfId="97"/>
    <cellStyle name="Currency 0.00" xfId="98"/>
    <cellStyle name="Currency 0.000" xfId="99"/>
    <cellStyle name="Currency 0.0000" xfId="100"/>
    <cellStyle name="Currency 10" xfId="476"/>
    <cellStyle name="Currency 11" xfId="475"/>
    <cellStyle name="Currency 12" xfId="474"/>
    <cellStyle name="Currency 13" xfId="612"/>
    <cellStyle name="Currency 14" xfId="623"/>
    <cellStyle name="Currency 15" xfId="629"/>
    <cellStyle name="Currency 16" xfId="641"/>
    <cellStyle name="Currency 16 2" xfId="747"/>
    <cellStyle name="Currency 17" xfId="640"/>
    <cellStyle name="Currency 17 2" xfId="746"/>
    <cellStyle name="Currency 18" xfId="669"/>
    <cellStyle name="Currency 19" xfId="677"/>
    <cellStyle name="Currency 2" xfId="101"/>
    <cellStyle name="Currency 2 2" xfId="102"/>
    <cellStyle name="Currency 2 3" xfId="473"/>
    <cellStyle name="Currency 20" xfId="670"/>
    <cellStyle name="Currency 21" xfId="682"/>
    <cellStyle name="Currency 22" xfId="671"/>
    <cellStyle name="Currency 23" xfId="681"/>
    <cellStyle name="Currency 24" xfId="672"/>
    <cellStyle name="Currency 25" xfId="680"/>
    <cellStyle name="Currency 26" xfId="673"/>
    <cellStyle name="Currency 27" xfId="679"/>
    <cellStyle name="Currency 3" xfId="103"/>
    <cellStyle name="Currency 3 2" xfId="104"/>
    <cellStyle name="Currency 3 3" xfId="589"/>
    <cellStyle name="Currency 3 4" xfId="590"/>
    <cellStyle name="Currency 3 5" xfId="642"/>
    <cellStyle name="Currency 3 5 2" xfId="748"/>
    <cellStyle name="Currency 4" xfId="105"/>
    <cellStyle name="Currency 5" xfId="472"/>
    <cellStyle name="Currency 6" xfId="471"/>
    <cellStyle name="Currency 7" xfId="470"/>
    <cellStyle name="Currency 8" xfId="469"/>
    <cellStyle name="Currency 9" xfId="468"/>
    <cellStyle name="Currency Input" xfId="106"/>
    <cellStyle name="Currency0" xfId="107"/>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ollar" xfId="131"/>
    <cellStyle name="e" xfId="132"/>
    <cellStyle name="e1" xfId="133"/>
    <cellStyle name="e2" xfId="134"/>
    <cellStyle name="Euro" xfId="135"/>
    <cellStyle name="Explanatory Text 2" xfId="591"/>
    <cellStyle name="Fixed" xfId="136"/>
    <cellStyle name="FOOTER - Style1" xfId="137"/>
    <cellStyle name="g" xfId="138"/>
    <cellStyle name="general" xfId="139"/>
    <cellStyle name="General [C]" xfId="140"/>
    <cellStyle name="General [R]" xfId="141"/>
    <cellStyle name="Good 2" xfId="592"/>
    <cellStyle name="Green" xfId="142"/>
    <cellStyle name="grey" xfId="143"/>
    <cellStyle name="Header1" xfId="144"/>
    <cellStyle name="Header2" xfId="145"/>
    <cellStyle name="Heading" xfId="146"/>
    <cellStyle name="Heading 1" xfId="147" builtinId="16" customBuiltin="1"/>
    <cellStyle name="Heading 2" xfId="148" builtinId="17" customBuiltin="1"/>
    <cellStyle name="Heading 2 2" xfId="149"/>
    <cellStyle name="Heading 3 2" xfId="594"/>
    <cellStyle name="Heading 4 2" xfId="595"/>
    <cellStyle name="Heading No Underline" xfId="150"/>
    <cellStyle name="Heading With Underline" xfId="151"/>
    <cellStyle name="Heading1" xfId="152"/>
    <cellStyle name="Heading2" xfId="153"/>
    <cellStyle name="Headline" xfId="154"/>
    <cellStyle name="Highlight" xfId="155"/>
    <cellStyle name="Hyperlink 2" xfId="156"/>
    <cellStyle name="in" xfId="157"/>
    <cellStyle name="Indented [0]" xfId="158"/>
    <cellStyle name="Indented [2]" xfId="159"/>
    <cellStyle name="Indented [4]" xfId="160"/>
    <cellStyle name="Indented [6]" xfId="161"/>
    <cellStyle name="Input [yellow]" xfId="162"/>
    <cellStyle name="Input 2" xfId="596"/>
    <cellStyle name="Input 3" xfId="644"/>
    <cellStyle name="Input 4" xfId="637"/>
    <cellStyle name="Input$0" xfId="163"/>
    <cellStyle name="Input$1" xfId="164"/>
    <cellStyle name="Input$2" xfId="165"/>
    <cellStyle name="Input0" xfId="166"/>
    <cellStyle name="Input1" xfId="167"/>
    <cellStyle name="Input1x" xfId="168"/>
    <cellStyle name="Input2" xfId="169"/>
    <cellStyle name="Input2x" xfId="170"/>
    <cellStyle name="lborder" xfId="171"/>
    <cellStyle name="LeftSubtitle" xfId="172"/>
    <cellStyle name="Lines" xfId="173"/>
    <cellStyle name="Linked Cell 2" xfId="597"/>
    <cellStyle name="m" xfId="174"/>
    <cellStyle name="m1" xfId="175"/>
    <cellStyle name="m2" xfId="176"/>
    <cellStyle name="m3" xfId="177"/>
    <cellStyle name="Multiple" xfId="178"/>
    <cellStyle name="Negative" xfId="179"/>
    <cellStyle name="Neutral 2" xfId="598"/>
    <cellStyle name="no dec" xfId="180"/>
    <cellStyle name="Normal" xfId="0" builtinId="0"/>
    <cellStyle name="Normal - Style1" xfId="181"/>
    <cellStyle name="Normal 10" xfId="182"/>
    <cellStyle name="Normal 10 10" xfId="845"/>
    <cellStyle name="Normal 10 10 2" xfId="1278"/>
    <cellStyle name="Normal 10 11" xfId="1062"/>
    <cellStyle name="Normal 10 2" xfId="367"/>
    <cellStyle name="Normal 10 2 2" xfId="702"/>
    <cellStyle name="Normal 10 2 2 2" xfId="930"/>
    <cellStyle name="Normal 10 2 2 2 2" xfId="1363"/>
    <cellStyle name="Normal 10 2 2 3" xfId="1147"/>
    <cellStyle name="Normal 10 2 3" xfId="786"/>
    <cellStyle name="Normal 10 2 3 2" xfId="1002"/>
    <cellStyle name="Normal 10 2 3 2 2" xfId="1435"/>
    <cellStyle name="Normal 10 2 3 3" xfId="1219"/>
    <cellStyle name="Normal 10 2 4" xfId="858"/>
    <cellStyle name="Normal 10 2 4 2" xfId="1291"/>
    <cellStyle name="Normal 10 2 5" xfId="1075"/>
    <cellStyle name="Normal 10 3" xfId="399"/>
    <cellStyle name="Normal 10 3 2" xfId="715"/>
    <cellStyle name="Normal 10 3 2 2" xfId="943"/>
    <cellStyle name="Normal 10 3 2 2 2" xfId="1376"/>
    <cellStyle name="Normal 10 3 2 3" xfId="1160"/>
    <cellStyle name="Normal 10 3 3" xfId="799"/>
    <cellStyle name="Normal 10 3 3 2" xfId="1015"/>
    <cellStyle name="Normal 10 3 3 2 2" xfId="1448"/>
    <cellStyle name="Normal 10 3 3 3" xfId="1232"/>
    <cellStyle name="Normal 10 3 4" xfId="871"/>
    <cellStyle name="Normal 10 3 4 2" xfId="1304"/>
    <cellStyle name="Normal 10 3 5" xfId="1088"/>
    <cellStyle name="Normal 10 4" xfId="615"/>
    <cellStyle name="Normal 10 4 2" xfId="732"/>
    <cellStyle name="Normal 10 4 2 2" xfId="960"/>
    <cellStyle name="Normal 10 4 2 2 2" xfId="1393"/>
    <cellStyle name="Normal 10 4 2 3" xfId="1177"/>
    <cellStyle name="Normal 10 4 3" xfId="816"/>
    <cellStyle name="Normal 10 4 3 2" xfId="1032"/>
    <cellStyle name="Normal 10 4 3 2 2" xfId="1465"/>
    <cellStyle name="Normal 10 4 3 3" xfId="1249"/>
    <cellStyle name="Normal 10 4 4" xfId="888"/>
    <cellStyle name="Normal 10 4 4 2" xfId="1321"/>
    <cellStyle name="Normal 10 4 5" xfId="1105"/>
    <cellStyle name="Normal 10 5" xfId="630"/>
    <cellStyle name="Normal 10 5 2" xfId="738"/>
    <cellStyle name="Normal 10 5 2 2" xfId="966"/>
    <cellStyle name="Normal 10 5 2 2 2" xfId="1399"/>
    <cellStyle name="Normal 10 5 2 3" xfId="1183"/>
    <cellStyle name="Normal 10 5 3" xfId="822"/>
    <cellStyle name="Normal 10 5 3 2" xfId="1038"/>
    <cellStyle name="Normal 10 5 3 2 2" xfId="1471"/>
    <cellStyle name="Normal 10 5 3 3" xfId="1255"/>
    <cellStyle name="Normal 10 5 4" xfId="894"/>
    <cellStyle name="Normal 10 5 4 2" xfId="1327"/>
    <cellStyle name="Normal 10 5 5" xfId="1111"/>
    <cellStyle name="Normal 10 6" xfId="649"/>
    <cellStyle name="Normal 10 6 2" xfId="754"/>
    <cellStyle name="Normal 10 6 2 2" xfId="970"/>
    <cellStyle name="Normal 10 6 2 2 2" xfId="1403"/>
    <cellStyle name="Normal 10 6 2 3" xfId="1187"/>
    <cellStyle name="Normal 10 6 3" xfId="826"/>
    <cellStyle name="Normal 10 6 3 2" xfId="1042"/>
    <cellStyle name="Normal 10 6 3 2 2" xfId="1475"/>
    <cellStyle name="Normal 10 6 3 3" xfId="1259"/>
    <cellStyle name="Normal 10 6 4" xfId="898"/>
    <cellStyle name="Normal 10 6 4 2" xfId="1331"/>
    <cellStyle name="Normal 10 6 5" xfId="1115"/>
    <cellStyle name="Normal 10 7" xfId="674"/>
    <cellStyle name="Normal 10 7 2" xfId="769"/>
    <cellStyle name="Normal 10 7 2 2" xfId="985"/>
    <cellStyle name="Normal 10 7 2 2 2" xfId="1418"/>
    <cellStyle name="Normal 10 7 2 3" xfId="1202"/>
    <cellStyle name="Normal 10 7 3" xfId="841"/>
    <cellStyle name="Normal 10 7 3 2" xfId="1057"/>
    <cellStyle name="Normal 10 7 3 2 2" xfId="1490"/>
    <cellStyle name="Normal 10 7 3 3" xfId="1274"/>
    <cellStyle name="Normal 10 7 4" xfId="913"/>
    <cellStyle name="Normal 10 7 4 2" xfId="1346"/>
    <cellStyle name="Normal 10 7 5" xfId="1130"/>
    <cellStyle name="Normal 10 8" xfId="688"/>
    <cellStyle name="Normal 10 8 2" xfId="917"/>
    <cellStyle name="Normal 10 8 2 2" xfId="1350"/>
    <cellStyle name="Normal 10 8 3" xfId="1134"/>
    <cellStyle name="Normal 10 9" xfId="773"/>
    <cellStyle name="Normal 10 9 2" xfId="989"/>
    <cellStyle name="Normal 10 9 2 2" xfId="1422"/>
    <cellStyle name="Normal 10 9 3" xfId="1206"/>
    <cellStyle name="Normal 11" xfId="183"/>
    <cellStyle name="Normal 11 2" xfId="616"/>
    <cellStyle name="Normal 11 2 2" xfId="733"/>
    <cellStyle name="Normal 11 2 2 2" xfId="961"/>
    <cellStyle name="Normal 11 2 2 2 2" xfId="1394"/>
    <cellStyle name="Normal 11 2 2 3" xfId="1178"/>
    <cellStyle name="Normal 11 2 3" xfId="817"/>
    <cellStyle name="Normal 11 2 3 2" xfId="1033"/>
    <cellStyle name="Normal 11 2 3 2 2" xfId="1466"/>
    <cellStyle name="Normal 11 2 3 3" xfId="1250"/>
    <cellStyle name="Normal 11 2 4" xfId="889"/>
    <cellStyle name="Normal 11 2 4 2" xfId="1322"/>
    <cellStyle name="Normal 11 2 5" xfId="1106"/>
    <cellStyle name="Normal 11 3" xfId="631"/>
    <cellStyle name="Normal 11 3 2" xfId="739"/>
    <cellStyle name="Normal 11 3 2 2" xfId="967"/>
    <cellStyle name="Normal 11 3 2 2 2" xfId="1400"/>
    <cellStyle name="Normal 11 3 2 3" xfId="1184"/>
    <cellStyle name="Normal 11 3 3" xfId="823"/>
    <cellStyle name="Normal 11 3 3 2" xfId="1039"/>
    <cellStyle name="Normal 11 3 3 2 2" xfId="1472"/>
    <cellStyle name="Normal 11 3 3 3" xfId="1256"/>
    <cellStyle name="Normal 11 3 4" xfId="895"/>
    <cellStyle name="Normal 11 3 4 2" xfId="1328"/>
    <cellStyle name="Normal 11 3 5" xfId="1112"/>
    <cellStyle name="Normal 11 4" xfId="675"/>
    <cellStyle name="Normal 11 4 2" xfId="770"/>
    <cellStyle name="Normal 11 4 2 2" xfId="986"/>
    <cellStyle name="Normal 11 4 2 2 2" xfId="1419"/>
    <cellStyle name="Normal 11 4 2 3" xfId="1203"/>
    <cellStyle name="Normal 11 4 3" xfId="842"/>
    <cellStyle name="Normal 11 4 3 2" xfId="1058"/>
    <cellStyle name="Normal 11 4 3 2 2" xfId="1491"/>
    <cellStyle name="Normal 11 4 3 3" xfId="1275"/>
    <cellStyle name="Normal 11 4 4" xfId="914"/>
    <cellStyle name="Normal 11 4 4 2" xfId="1347"/>
    <cellStyle name="Normal 11 4 5" xfId="1131"/>
    <cellStyle name="Normal 12" xfId="365"/>
    <cellStyle name="Normal 12 2" xfId="617"/>
    <cellStyle name="Normal 12 3" xfId="701"/>
    <cellStyle name="Normal 13" xfId="467"/>
    <cellStyle name="Normal 14" xfId="466"/>
    <cellStyle name="Normal 15" xfId="465"/>
    <cellStyle name="Normal 16" xfId="464"/>
    <cellStyle name="Normal 17" xfId="463"/>
    <cellStyle name="Normal 18" xfId="462"/>
    <cellStyle name="Normal 18 2" xfId="461"/>
    <cellStyle name="Normal 18 2 2" xfId="460"/>
    <cellStyle name="Normal 18 3" xfId="459"/>
    <cellStyle name="Normal 18 3 2" xfId="458"/>
    <cellStyle name="Normal 18 4" xfId="457"/>
    <cellStyle name="Normal 18 4 2" xfId="456"/>
    <cellStyle name="Normal 18 5" xfId="455"/>
    <cellStyle name="Normal 18 6" xfId="454"/>
    <cellStyle name="Normal 19" xfId="453"/>
    <cellStyle name="Normal 19 2" xfId="452"/>
    <cellStyle name="Normal 2" xfId="184"/>
    <cellStyle name="Normal 2 2" xfId="185"/>
    <cellStyle name="Normal 2 2 2" xfId="451"/>
    <cellStyle name="Normal 2 2 3" xfId="619"/>
    <cellStyle name="Normal 2 2 3 2" xfId="734"/>
    <cellStyle name="Normal 2 2 3 2 2" xfId="962"/>
    <cellStyle name="Normal 2 2 3 2 2 2" xfId="1395"/>
    <cellStyle name="Normal 2 2 3 2 3" xfId="1179"/>
    <cellStyle name="Normal 2 2 3 3" xfId="818"/>
    <cellStyle name="Normal 2 2 3 3 2" xfId="1034"/>
    <cellStyle name="Normal 2 2 3 3 2 2" xfId="1467"/>
    <cellStyle name="Normal 2 2 3 3 3" xfId="1251"/>
    <cellStyle name="Normal 2 2 3 4" xfId="890"/>
    <cellStyle name="Normal 2 2 3 4 2" xfId="1323"/>
    <cellStyle name="Normal 2 2 3 5" xfId="1107"/>
    <cellStyle name="Normal 2 2 4" xfId="632"/>
    <cellStyle name="Normal 2 2 4 2" xfId="740"/>
    <cellStyle name="Normal 2 2 4 2 2" xfId="968"/>
    <cellStyle name="Normal 2 2 4 2 2 2" xfId="1401"/>
    <cellStyle name="Normal 2 2 4 2 3" xfId="1185"/>
    <cellStyle name="Normal 2 2 4 3" xfId="824"/>
    <cellStyle name="Normal 2 2 4 3 2" xfId="1040"/>
    <cellStyle name="Normal 2 2 4 3 2 2" xfId="1473"/>
    <cellStyle name="Normal 2 2 4 3 3" xfId="1257"/>
    <cellStyle name="Normal 2 2 4 4" xfId="896"/>
    <cellStyle name="Normal 2 2 4 4 2" xfId="1329"/>
    <cellStyle name="Normal 2 2 4 5" xfId="1113"/>
    <cellStyle name="Normal 2 2 5" xfId="676"/>
    <cellStyle name="Normal 2 2 5 2" xfId="771"/>
    <cellStyle name="Normal 2 2 5 2 2" xfId="987"/>
    <cellStyle name="Normal 2 2 5 2 2 2" xfId="1420"/>
    <cellStyle name="Normal 2 2 5 2 3" xfId="1204"/>
    <cellStyle name="Normal 2 2 5 3" xfId="843"/>
    <cellStyle name="Normal 2 2 5 3 2" xfId="1059"/>
    <cellStyle name="Normal 2 2 5 3 2 2" xfId="1492"/>
    <cellStyle name="Normal 2 2 5 3 3" xfId="1276"/>
    <cellStyle name="Normal 2 2 5 4" xfId="915"/>
    <cellStyle name="Normal 2 2 5 4 2" xfId="1348"/>
    <cellStyle name="Normal 2 2 5 5" xfId="1132"/>
    <cellStyle name="Normal 2 3" xfId="450"/>
    <cellStyle name="Normal 2 4" xfId="618"/>
    <cellStyle name="Normal 20" xfId="449"/>
    <cellStyle name="Normal 20 2" xfId="448"/>
    <cellStyle name="Normal 21" xfId="447"/>
    <cellStyle name="Normal 21 2" xfId="446"/>
    <cellStyle name="Normal 22" xfId="556"/>
    <cellStyle name="Normal 23" xfId="635"/>
    <cellStyle name="Normal 23 2" xfId="742"/>
    <cellStyle name="Normal 24" xfId="648"/>
    <cellStyle name="Normal 24 2" xfId="753"/>
    <cellStyle name="Normal 25" xfId="1061"/>
    <cellStyle name="Normal 3" xfId="186"/>
    <cellStyle name="Normal 3 2" xfId="187"/>
    <cellStyle name="Normal 3 3" xfId="620"/>
    <cellStyle name="Normal 3_Attach O, GG, Support -New Method 2-14-11" xfId="188"/>
    <cellStyle name="Normal 4" xfId="189"/>
    <cellStyle name="Normal 4 2" xfId="190"/>
    <cellStyle name="Normal 4 2 2" xfId="445"/>
    <cellStyle name="Normal 4 3" xfId="621"/>
    <cellStyle name="Normal 4 3 2" xfId="600"/>
    <cellStyle name="Normal 4 4" xfId="601"/>
    <cellStyle name="Normal 4 5" xfId="645"/>
    <cellStyle name="Normal 4 5 2" xfId="750"/>
    <cellStyle name="Normal 4_Attach O, GG, Support -New Method 2-14-11" xfId="191"/>
    <cellStyle name="Normal 5" xfId="192"/>
    <cellStyle name="Normal 5 2" xfId="602"/>
    <cellStyle name="Normal 6" xfId="193"/>
    <cellStyle name="Normal 6 10" xfId="774"/>
    <cellStyle name="Normal 6 10 2" xfId="990"/>
    <cellStyle name="Normal 6 10 2 2" xfId="1423"/>
    <cellStyle name="Normal 6 10 3" xfId="1207"/>
    <cellStyle name="Normal 6 11" xfId="846"/>
    <cellStyle name="Normal 6 11 2" xfId="1279"/>
    <cellStyle name="Normal 6 12" xfId="1063"/>
    <cellStyle name="Normal 6 2" xfId="194"/>
    <cellStyle name="Normal 6 2 10" xfId="1064"/>
    <cellStyle name="Normal 6 2 2" xfId="195"/>
    <cellStyle name="Normal 6 2 2 2" xfId="196"/>
    <cellStyle name="Normal 6 2 2 2 2" xfId="371"/>
    <cellStyle name="Normal 6 2 2 2 2 2" xfId="706"/>
    <cellStyle name="Normal 6 2 2 2 2 2 2" xfId="934"/>
    <cellStyle name="Normal 6 2 2 2 2 2 2 2" xfId="1367"/>
    <cellStyle name="Normal 6 2 2 2 2 2 3" xfId="1151"/>
    <cellStyle name="Normal 6 2 2 2 2 3" xfId="790"/>
    <cellStyle name="Normal 6 2 2 2 2 3 2" xfId="1006"/>
    <cellStyle name="Normal 6 2 2 2 2 3 2 2" xfId="1439"/>
    <cellStyle name="Normal 6 2 2 2 2 3 3" xfId="1223"/>
    <cellStyle name="Normal 6 2 2 2 2 4" xfId="862"/>
    <cellStyle name="Normal 6 2 2 2 2 4 2" xfId="1295"/>
    <cellStyle name="Normal 6 2 2 2 2 5" xfId="1079"/>
    <cellStyle name="Normal 6 2 2 2 3" xfId="413"/>
    <cellStyle name="Normal 6 2 2 2 3 2" xfId="719"/>
    <cellStyle name="Normal 6 2 2 2 3 2 2" xfId="947"/>
    <cellStyle name="Normal 6 2 2 2 3 2 2 2" xfId="1380"/>
    <cellStyle name="Normal 6 2 2 2 3 2 3" xfId="1164"/>
    <cellStyle name="Normal 6 2 2 2 3 3" xfId="803"/>
    <cellStyle name="Normal 6 2 2 2 3 3 2" xfId="1019"/>
    <cellStyle name="Normal 6 2 2 2 3 3 2 2" xfId="1452"/>
    <cellStyle name="Normal 6 2 2 2 3 3 3" xfId="1236"/>
    <cellStyle name="Normal 6 2 2 2 3 4" xfId="875"/>
    <cellStyle name="Normal 6 2 2 2 3 4 2" xfId="1308"/>
    <cellStyle name="Normal 6 2 2 2 3 5" xfId="1092"/>
    <cellStyle name="Normal 6 2 2 2 4" xfId="653"/>
    <cellStyle name="Normal 6 2 2 2 4 2" xfId="758"/>
    <cellStyle name="Normal 6 2 2 2 4 2 2" xfId="974"/>
    <cellStyle name="Normal 6 2 2 2 4 2 2 2" xfId="1407"/>
    <cellStyle name="Normal 6 2 2 2 4 2 3" xfId="1191"/>
    <cellStyle name="Normal 6 2 2 2 4 3" xfId="830"/>
    <cellStyle name="Normal 6 2 2 2 4 3 2" xfId="1046"/>
    <cellStyle name="Normal 6 2 2 2 4 3 2 2" xfId="1479"/>
    <cellStyle name="Normal 6 2 2 2 4 3 3" xfId="1263"/>
    <cellStyle name="Normal 6 2 2 2 4 4" xfId="902"/>
    <cellStyle name="Normal 6 2 2 2 4 4 2" xfId="1335"/>
    <cellStyle name="Normal 6 2 2 2 4 5" xfId="1119"/>
    <cellStyle name="Normal 6 2 2 2 5" xfId="692"/>
    <cellStyle name="Normal 6 2 2 2 5 2" xfId="921"/>
    <cellStyle name="Normal 6 2 2 2 5 2 2" xfId="1354"/>
    <cellStyle name="Normal 6 2 2 2 5 3" xfId="1138"/>
    <cellStyle name="Normal 6 2 2 2 6" xfId="777"/>
    <cellStyle name="Normal 6 2 2 2 6 2" xfId="993"/>
    <cellStyle name="Normal 6 2 2 2 6 2 2" xfId="1426"/>
    <cellStyle name="Normal 6 2 2 2 6 3" xfId="1210"/>
    <cellStyle name="Normal 6 2 2 2 7" xfId="849"/>
    <cellStyle name="Normal 6 2 2 2 7 2" xfId="1282"/>
    <cellStyle name="Normal 6 2 2 2 8" xfId="1066"/>
    <cellStyle name="Normal 6 2 2 3" xfId="370"/>
    <cellStyle name="Normal 6 2 2 3 2" xfId="705"/>
    <cellStyle name="Normal 6 2 2 3 2 2" xfId="933"/>
    <cellStyle name="Normal 6 2 2 3 2 2 2" xfId="1366"/>
    <cellStyle name="Normal 6 2 2 3 2 3" xfId="1150"/>
    <cellStyle name="Normal 6 2 2 3 3" xfId="789"/>
    <cellStyle name="Normal 6 2 2 3 3 2" xfId="1005"/>
    <cellStyle name="Normal 6 2 2 3 3 2 2" xfId="1438"/>
    <cellStyle name="Normal 6 2 2 3 3 3" xfId="1222"/>
    <cellStyle name="Normal 6 2 2 3 4" xfId="861"/>
    <cellStyle name="Normal 6 2 2 3 4 2" xfId="1294"/>
    <cellStyle name="Normal 6 2 2 3 5" xfId="1078"/>
    <cellStyle name="Normal 6 2 2 4" xfId="412"/>
    <cellStyle name="Normal 6 2 2 4 2" xfId="718"/>
    <cellStyle name="Normal 6 2 2 4 2 2" xfId="946"/>
    <cellStyle name="Normal 6 2 2 4 2 2 2" xfId="1379"/>
    <cellStyle name="Normal 6 2 2 4 2 3" xfId="1163"/>
    <cellStyle name="Normal 6 2 2 4 3" xfId="802"/>
    <cellStyle name="Normal 6 2 2 4 3 2" xfId="1018"/>
    <cellStyle name="Normal 6 2 2 4 3 2 2" xfId="1451"/>
    <cellStyle name="Normal 6 2 2 4 3 3" xfId="1235"/>
    <cellStyle name="Normal 6 2 2 4 4" xfId="874"/>
    <cellStyle name="Normal 6 2 2 4 4 2" xfId="1307"/>
    <cellStyle name="Normal 6 2 2 4 5" xfId="1091"/>
    <cellStyle name="Normal 6 2 2 5" xfId="652"/>
    <cellStyle name="Normal 6 2 2 5 2" xfId="757"/>
    <cellStyle name="Normal 6 2 2 5 2 2" xfId="973"/>
    <cellStyle name="Normal 6 2 2 5 2 2 2" xfId="1406"/>
    <cellStyle name="Normal 6 2 2 5 2 3" xfId="1190"/>
    <cellStyle name="Normal 6 2 2 5 3" xfId="829"/>
    <cellStyle name="Normal 6 2 2 5 3 2" xfId="1045"/>
    <cellStyle name="Normal 6 2 2 5 3 2 2" xfId="1478"/>
    <cellStyle name="Normal 6 2 2 5 3 3" xfId="1262"/>
    <cellStyle name="Normal 6 2 2 5 4" xfId="901"/>
    <cellStyle name="Normal 6 2 2 5 4 2" xfId="1334"/>
    <cellStyle name="Normal 6 2 2 5 5" xfId="1118"/>
    <cellStyle name="Normal 6 2 2 6" xfId="691"/>
    <cellStyle name="Normal 6 2 2 6 2" xfId="920"/>
    <cellStyle name="Normal 6 2 2 6 2 2" xfId="1353"/>
    <cellStyle name="Normal 6 2 2 6 3" xfId="1137"/>
    <cellStyle name="Normal 6 2 2 7" xfId="776"/>
    <cellStyle name="Normal 6 2 2 7 2" xfId="992"/>
    <cellStyle name="Normal 6 2 2 7 2 2" xfId="1425"/>
    <cellStyle name="Normal 6 2 2 7 3" xfId="1209"/>
    <cellStyle name="Normal 6 2 2 8" xfId="848"/>
    <cellStyle name="Normal 6 2 2 8 2" xfId="1281"/>
    <cellStyle name="Normal 6 2 2 9" xfId="1065"/>
    <cellStyle name="Normal 6 2 3" xfId="197"/>
    <cellStyle name="Normal 6 2 3 2" xfId="372"/>
    <cellStyle name="Normal 6 2 3 2 2" xfId="707"/>
    <cellStyle name="Normal 6 2 3 2 2 2" xfId="935"/>
    <cellStyle name="Normal 6 2 3 2 2 2 2" xfId="1368"/>
    <cellStyle name="Normal 6 2 3 2 2 3" xfId="1152"/>
    <cellStyle name="Normal 6 2 3 2 3" xfId="791"/>
    <cellStyle name="Normal 6 2 3 2 3 2" xfId="1007"/>
    <cellStyle name="Normal 6 2 3 2 3 2 2" xfId="1440"/>
    <cellStyle name="Normal 6 2 3 2 3 3" xfId="1224"/>
    <cellStyle name="Normal 6 2 3 2 4" xfId="863"/>
    <cellStyle name="Normal 6 2 3 2 4 2" xfId="1296"/>
    <cellStyle name="Normal 6 2 3 2 5" xfId="1080"/>
    <cellStyle name="Normal 6 2 3 3" xfId="414"/>
    <cellStyle name="Normal 6 2 3 3 2" xfId="720"/>
    <cellStyle name="Normal 6 2 3 3 2 2" xfId="948"/>
    <cellStyle name="Normal 6 2 3 3 2 2 2" xfId="1381"/>
    <cellStyle name="Normal 6 2 3 3 2 3" xfId="1165"/>
    <cellStyle name="Normal 6 2 3 3 3" xfId="804"/>
    <cellStyle name="Normal 6 2 3 3 3 2" xfId="1020"/>
    <cellStyle name="Normal 6 2 3 3 3 2 2" xfId="1453"/>
    <cellStyle name="Normal 6 2 3 3 3 3" xfId="1237"/>
    <cellStyle name="Normal 6 2 3 3 4" xfId="876"/>
    <cellStyle name="Normal 6 2 3 3 4 2" xfId="1309"/>
    <cellStyle name="Normal 6 2 3 3 5" xfId="1093"/>
    <cellStyle name="Normal 6 2 3 4" xfId="654"/>
    <cellStyle name="Normal 6 2 3 4 2" xfId="759"/>
    <cellStyle name="Normal 6 2 3 4 2 2" xfId="975"/>
    <cellStyle name="Normal 6 2 3 4 2 2 2" xfId="1408"/>
    <cellStyle name="Normal 6 2 3 4 2 3" xfId="1192"/>
    <cellStyle name="Normal 6 2 3 4 3" xfId="831"/>
    <cellStyle name="Normal 6 2 3 4 3 2" xfId="1047"/>
    <cellStyle name="Normal 6 2 3 4 3 2 2" xfId="1480"/>
    <cellStyle name="Normal 6 2 3 4 3 3" xfId="1264"/>
    <cellStyle name="Normal 6 2 3 4 4" xfId="903"/>
    <cellStyle name="Normal 6 2 3 4 4 2" xfId="1336"/>
    <cellStyle name="Normal 6 2 3 4 5" xfId="1120"/>
    <cellStyle name="Normal 6 2 3 5" xfId="693"/>
    <cellStyle name="Normal 6 2 3 5 2" xfId="922"/>
    <cellStyle name="Normal 6 2 3 5 2 2" xfId="1355"/>
    <cellStyle name="Normal 6 2 3 5 3" xfId="1139"/>
    <cellStyle name="Normal 6 2 3 6" xfId="778"/>
    <cellStyle name="Normal 6 2 3 6 2" xfId="994"/>
    <cellStyle name="Normal 6 2 3 6 2 2" xfId="1427"/>
    <cellStyle name="Normal 6 2 3 6 3" xfId="1211"/>
    <cellStyle name="Normal 6 2 3 7" xfId="850"/>
    <cellStyle name="Normal 6 2 3 7 2" xfId="1283"/>
    <cellStyle name="Normal 6 2 3 8" xfId="1067"/>
    <cellStyle name="Normal 6 2 4" xfId="369"/>
    <cellStyle name="Normal 6 2 4 2" xfId="704"/>
    <cellStyle name="Normal 6 2 4 2 2" xfId="932"/>
    <cellStyle name="Normal 6 2 4 2 2 2" xfId="1365"/>
    <cellStyle name="Normal 6 2 4 2 3" xfId="1149"/>
    <cellStyle name="Normal 6 2 4 3" xfId="788"/>
    <cellStyle name="Normal 6 2 4 3 2" xfId="1004"/>
    <cellStyle name="Normal 6 2 4 3 2 2" xfId="1437"/>
    <cellStyle name="Normal 6 2 4 3 3" xfId="1221"/>
    <cellStyle name="Normal 6 2 4 4" xfId="860"/>
    <cellStyle name="Normal 6 2 4 4 2" xfId="1293"/>
    <cellStyle name="Normal 6 2 4 5" xfId="1077"/>
    <cellStyle name="Normal 6 2 5" xfId="411"/>
    <cellStyle name="Normal 6 2 5 2" xfId="717"/>
    <cellStyle name="Normal 6 2 5 2 2" xfId="945"/>
    <cellStyle name="Normal 6 2 5 2 2 2" xfId="1378"/>
    <cellStyle name="Normal 6 2 5 2 3" xfId="1162"/>
    <cellStyle name="Normal 6 2 5 3" xfId="801"/>
    <cellStyle name="Normal 6 2 5 3 2" xfId="1017"/>
    <cellStyle name="Normal 6 2 5 3 2 2" xfId="1450"/>
    <cellStyle name="Normal 6 2 5 3 3" xfId="1234"/>
    <cellStyle name="Normal 6 2 5 4" xfId="873"/>
    <cellStyle name="Normal 6 2 5 4 2" xfId="1306"/>
    <cellStyle name="Normal 6 2 5 5" xfId="1090"/>
    <cellStyle name="Normal 6 2 6" xfId="651"/>
    <cellStyle name="Normal 6 2 6 2" xfId="756"/>
    <cellStyle name="Normal 6 2 6 2 2" xfId="972"/>
    <cellStyle name="Normal 6 2 6 2 2 2" xfId="1405"/>
    <cellStyle name="Normal 6 2 6 2 3" xfId="1189"/>
    <cellStyle name="Normal 6 2 6 3" xfId="828"/>
    <cellStyle name="Normal 6 2 6 3 2" xfId="1044"/>
    <cellStyle name="Normal 6 2 6 3 2 2" xfId="1477"/>
    <cellStyle name="Normal 6 2 6 3 3" xfId="1261"/>
    <cellStyle name="Normal 6 2 6 4" xfId="900"/>
    <cellStyle name="Normal 6 2 6 4 2" xfId="1333"/>
    <cellStyle name="Normal 6 2 6 5" xfId="1117"/>
    <cellStyle name="Normal 6 2 7" xfId="690"/>
    <cellStyle name="Normal 6 2 7 2" xfId="919"/>
    <cellStyle name="Normal 6 2 7 2 2" xfId="1352"/>
    <cellStyle name="Normal 6 2 7 3" xfId="1136"/>
    <cellStyle name="Normal 6 2 8" xfId="775"/>
    <cellStyle name="Normal 6 2 8 2" xfId="991"/>
    <cellStyle name="Normal 6 2 8 2 2" xfId="1424"/>
    <cellStyle name="Normal 6 2 8 3" xfId="1208"/>
    <cellStyle name="Normal 6 2 9" xfId="847"/>
    <cellStyle name="Normal 6 2 9 2" xfId="1280"/>
    <cellStyle name="Normal 6 3" xfId="198"/>
    <cellStyle name="Normal 6 3 2" xfId="199"/>
    <cellStyle name="Normal 6 3 2 2" xfId="374"/>
    <cellStyle name="Normal 6 3 2 2 2" xfId="709"/>
    <cellStyle name="Normal 6 3 2 2 2 2" xfId="937"/>
    <cellStyle name="Normal 6 3 2 2 2 2 2" xfId="1370"/>
    <cellStyle name="Normal 6 3 2 2 2 3" xfId="1154"/>
    <cellStyle name="Normal 6 3 2 2 3" xfId="793"/>
    <cellStyle name="Normal 6 3 2 2 3 2" xfId="1009"/>
    <cellStyle name="Normal 6 3 2 2 3 2 2" xfId="1442"/>
    <cellStyle name="Normal 6 3 2 2 3 3" xfId="1226"/>
    <cellStyle name="Normal 6 3 2 2 4" xfId="865"/>
    <cellStyle name="Normal 6 3 2 2 4 2" xfId="1298"/>
    <cellStyle name="Normal 6 3 2 2 5" xfId="1082"/>
    <cellStyle name="Normal 6 3 2 3" xfId="416"/>
    <cellStyle name="Normal 6 3 2 3 2" xfId="722"/>
    <cellStyle name="Normal 6 3 2 3 2 2" xfId="950"/>
    <cellStyle name="Normal 6 3 2 3 2 2 2" xfId="1383"/>
    <cellStyle name="Normal 6 3 2 3 2 3" xfId="1167"/>
    <cellStyle name="Normal 6 3 2 3 3" xfId="806"/>
    <cellStyle name="Normal 6 3 2 3 3 2" xfId="1022"/>
    <cellStyle name="Normal 6 3 2 3 3 2 2" xfId="1455"/>
    <cellStyle name="Normal 6 3 2 3 3 3" xfId="1239"/>
    <cellStyle name="Normal 6 3 2 3 4" xfId="878"/>
    <cellStyle name="Normal 6 3 2 3 4 2" xfId="1311"/>
    <cellStyle name="Normal 6 3 2 3 5" xfId="1095"/>
    <cellStyle name="Normal 6 3 2 4" xfId="656"/>
    <cellStyle name="Normal 6 3 2 4 2" xfId="761"/>
    <cellStyle name="Normal 6 3 2 4 2 2" xfId="977"/>
    <cellStyle name="Normal 6 3 2 4 2 2 2" xfId="1410"/>
    <cellStyle name="Normal 6 3 2 4 2 3" xfId="1194"/>
    <cellStyle name="Normal 6 3 2 4 3" xfId="833"/>
    <cellStyle name="Normal 6 3 2 4 3 2" xfId="1049"/>
    <cellStyle name="Normal 6 3 2 4 3 2 2" xfId="1482"/>
    <cellStyle name="Normal 6 3 2 4 3 3" xfId="1266"/>
    <cellStyle name="Normal 6 3 2 4 4" xfId="905"/>
    <cellStyle name="Normal 6 3 2 4 4 2" xfId="1338"/>
    <cellStyle name="Normal 6 3 2 4 5" xfId="1122"/>
    <cellStyle name="Normal 6 3 2 5" xfId="695"/>
    <cellStyle name="Normal 6 3 2 5 2" xfId="924"/>
    <cellStyle name="Normal 6 3 2 5 2 2" xfId="1357"/>
    <cellStyle name="Normal 6 3 2 5 3" xfId="1141"/>
    <cellStyle name="Normal 6 3 2 6" xfId="780"/>
    <cellStyle name="Normal 6 3 2 6 2" xfId="996"/>
    <cellStyle name="Normal 6 3 2 6 2 2" xfId="1429"/>
    <cellStyle name="Normal 6 3 2 6 3" xfId="1213"/>
    <cellStyle name="Normal 6 3 2 7" xfId="852"/>
    <cellStyle name="Normal 6 3 2 7 2" xfId="1285"/>
    <cellStyle name="Normal 6 3 2 8" xfId="1069"/>
    <cellStyle name="Normal 6 3 3" xfId="373"/>
    <cellStyle name="Normal 6 3 3 2" xfId="708"/>
    <cellStyle name="Normal 6 3 3 2 2" xfId="936"/>
    <cellStyle name="Normal 6 3 3 2 2 2" xfId="1369"/>
    <cellStyle name="Normal 6 3 3 2 3" xfId="1153"/>
    <cellStyle name="Normal 6 3 3 3" xfId="792"/>
    <cellStyle name="Normal 6 3 3 3 2" xfId="1008"/>
    <cellStyle name="Normal 6 3 3 3 2 2" xfId="1441"/>
    <cellStyle name="Normal 6 3 3 3 3" xfId="1225"/>
    <cellStyle name="Normal 6 3 3 4" xfId="864"/>
    <cellStyle name="Normal 6 3 3 4 2" xfId="1297"/>
    <cellStyle name="Normal 6 3 3 5" xfId="1081"/>
    <cellStyle name="Normal 6 3 4" xfId="415"/>
    <cellStyle name="Normal 6 3 4 2" xfId="721"/>
    <cellStyle name="Normal 6 3 4 2 2" xfId="949"/>
    <cellStyle name="Normal 6 3 4 2 2 2" xfId="1382"/>
    <cellStyle name="Normal 6 3 4 2 3" xfId="1166"/>
    <cellStyle name="Normal 6 3 4 3" xfId="805"/>
    <cellStyle name="Normal 6 3 4 3 2" xfId="1021"/>
    <cellStyle name="Normal 6 3 4 3 2 2" xfId="1454"/>
    <cellStyle name="Normal 6 3 4 3 3" xfId="1238"/>
    <cellStyle name="Normal 6 3 4 4" xfId="877"/>
    <cellStyle name="Normal 6 3 4 4 2" xfId="1310"/>
    <cellStyle name="Normal 6 3 4 5" xfId="1094"/>
    <cellStyle name="Normal 6 3 5" xfId="655"/>
    <cellStyle name="Normal 6 3 5 2" xfId="760"/>
    <cellStyle name="Normal 6 3 5 2 2" xfId="976"/>
    <cellStyle name="Normal 6 3 5 2 2 2" xfId="1409"/>
    <cellStyle name="Normal 6 3 5 2 3" xfId="1193"/>
    <cellStyle name="Normal 6 3 5 3" xfId="832"/>
    <cellStyle name="Normal 6 3 5 3 2" xfId="1048"/>
    <cellStyle name="Normal 6 3 5 3 2 2" xfId="1481"/>
    <cellStyle name="Normal 6 3 5 3 3" xfId="1265"/>
    <cellStyle name="Normal 6 3 5 4" xfId="904"/>
    <cellStyle name="Normal 6 3 5 4 2" xfId="1337"/>
    <cellStyle name="Normal 6 3 5 5" xfId="1121"/>
    <cellStyle name="Normal 6 3 6" xfId="694"/>
    <cellStyle name="Normal 6 3 6 2" xfId="923"/>
    <cellStyle name="Normal 6 3 6 2 2" xfId="1356"/>
    <cellStyle name="Normal 6 3 6 3" xfId="1140"/>
    <cellStyle name="Normal 6 3 7" xfId="779"/>
    <cellStyle name="Normal 6 3 7 2" xfId="995"/>
    <cellStyle name="Normal 6 3 7 2 2" xfId="1428"/>
    <cellStyle name="Normal 6 3 7 3" xfId="1212"/>
    <cellStyle name="Normal 6 3 8" xfId="851"/>
    <cellStyle name="Normal 6 3 8 2" xfId="1284"/>
    <cellStyle name="Normal 6 3 9" xfId="1068"/>
    <cellStyle name="Normal 6 4" xfId="200"/>
    <cellStyle name="Normal 6 4 2" xfId="375"/>
    <cellStyle name="Normal 6 4 2 2" xfId="710"/>
    <cellStyle name="Normal 6 4 2 2 2" xfId="938"/>
    <cellStyle name="Normal 6 4 2 2 2 2" xfId="1371"/>
    <cellStyle name="Normal 6 4 2 2 3" xfId="1155"/>
    <cellStyle name="Normal 6 4 2 3" xfId="794"/>
    <cellStyle name="Normal 6 4 2 3 2" xfId="1010"/>
    <cellStyle name="Normal 6 4 2 3 2 2" xfId="1443"/>
    <cellStyle name="Normal 6 4 2 3 3" xfId="1227"/>
    <cellStyle name="Normal 6 4 2 4" xfId="866"/>
    <cellStyle name="Normal 6 4 2 4 2" xfId="1299"/>
    <cellStyle name="Normal 6 4 2 5" xfId="1083"/>
    <cellStyle name="Normal 6 4 3" xfId="417"/>
    <cellStyle name="Normal 6 4 3 2" xfId="723"/>
    <cellStyle name="Normal 6 4 3 2 2" xfId="951"/>
    <cellStyle name="Normal 6 4 3 2 2 2" xfId="1384"/>
    <cellStyle name="Normal 6 4 3 2 3" xfId="1168"/>
    <cellStyle name="Normal 6 4 3 3" xfId="807"/>
    <cellStyle name="Normal 6 4 3 3 2" xfId="1023"/>
    <cellStyle name="Normal 6 4 3 3 2 2" xfId="1456"/>
    <cellStyle name="Normal 6 4 3 3 3" xfId="1240"/>
    <cellStyle name="Normal 6 4 3 4" xfId="879"/>
    <cellStyle name="Normal 6 4 3 4 2" xfId="1312"/>
    <cellStyle name="Normal 6 4 3 5" xfId="1096"/>
    <cellStyle name="Normal 6 4 4" xfId="657"/>
    <cellStyle name="Normal 6 4 4 2" xfId="762"/>
    <cellStyle name="Normal 6 4 4 2 2" xfId="978"/>
    <cellStyle name="Normal 6 4 4 2 2 2" xfId="1411"/>
    <cellStyle name="Normal 6 4 4 2 3" xfId="1195"/>
    <cellStyle name="Normal 6 4 4 3" xfId="834"/>
    <cellStyle name="Normal 6 4 4 3 2" xfId="1050"/>
    <cellStyle name="Normal 6 4 4 3 2 2" xfId="1483"/>
    <cellStyle name="Normal 6 4 4 3 3" xfId="1267"/>
    <cellStyle name="Normal 6 4 4 4" xfId="906"/>
    <cellStyle name="Normal 6 4 4 4 2" xfId="1339"/>
    <cellStyle name="Normal 6 4 4 5" xfId="1123"/>
    <cellStyle name="Normal 6 4 5" xfId="696"/>
    <cellStyle name="Normal 6 4 5 2" xfId="925"/>
    <cellStyle name="Normal 6 4 5 2 2" xfId="1358"/>
    <cellStyle name="Normal 6 4 5 3" xfId="1142"/>
    <cellStyle name="Normal 6 4 6" xfId="781"/>
    <cellStyle name="Normal 6 4 6 2" xfId="997"/>
    <cellStyle name="Normal 6 4 6 2 2" xfId="1430"/>
    <cellStyle name="Normal 6 4 6 3" xfId="1214"/>
    <cellStyle name="Normal 6 4 7" xfId="853"/>
    <cellStyle name="Normal 6 4 7 2" xfId="1286"/>
    <cellStyle name="Normal 6 4 8" xfId="1070"/>
    <cellStyle name="Normal 6 5" xfId="368"/>
    <cellStyle name="Normal 6 5 2" xfId="703"/>
    <cellStyle name="Normal 6 5 2 2" xfId="931"/>
    <cellStyle name="Normal 6 5 2 2 2" xfId="1364"/>
    <cellStyle name="Normal 6 5 2 3" xfId="1148"/>
    <cellStyle name="Normal 6 5 3" xfId="787"/>
    <cellStyle name="Normal 6 5 3 2" xfId="1003"/>
    <cellStyle name="Normal 6 5 3 2 2" xfId="1436"/>
    <cellStyle name="Normal 6 5 3 3" xfId="1220"/>
    <cellStyle name="Normal 6 5 4" xfId="859"/>
    <cellStyle name="Normal 6 5 4 2" xfId="1292"/>
    <cellStyle name="Normal 6 5 5" xfId="1076"/>
    <cellStyle name="Normal 6 6" xfId="410"/>
    <cellStyle name="Normal 6 6 2" xfId="716"/>
    <cellStyle name="Normal 6 6 2 2" xfId="944"/>
    <cellStyle name="Normal 6 6 2 2 2" xfId="1377"/>
    <cellStyle name="Normal 6 6 2 3" xfId="1161"/>
    <cellStyle name="Normal 6 6 3" xfId="800"/>
    <cellStyle name="Normal 6 6 3 2" xfId="1016"/>
    <cellStyle name="Normal 6 6 3 2 2" xfId="1449"/>
    <cellStyle name="Normal 6 6 3 3" xfId="1233"/>
    <cellStyle name="Normal 6 6 4" xfId="872"/>
    <cellStyle name="Normal 6 6 4 2" xfId="1305"/>
    <cellStyle name="Normal 6 6 5" xfId="1089"/>
    <cellStyle name="Normal 6 7" xfId="622"/>
    <cellStyle name="Normal 6 8" xfId="650"/>
    <cellStyle name="Normal 6 8 2" xfId="755"/>
    <cellStyle name="Normal 6 8 2 2" xfId="971"/>
    <cellStyle name="Normal 6 8 2 2 2" xfId="1404"/>
    <cellStyle name="Normal 6 8 2 3" xfId="1188"/>
    <cellStyle name="Normal 6 8 3" xfId="827"/>
    <cellStyle name="Normal 6 8 3 2" xfId="1043"/>
    <cellStyle name="Normal 6 8 3 2 2" xfId="1476"/>
    <cellStyle name="Normal 6 8 3 3" xfId="1260"/>
    <cellStyle name="Normal 6 8 4" xfId="899"/>
    <cellStyle name="Normal 6 8 4 2" xfId="1332"/>
    <cellStyle name="Normal 6 8 5" xfId="1116"/>
    <cellStyle name="Normal 6 9" xfId="689"/>
    <cellStyle name="Normal 6 9 2" xfId="918"/>
    <cellStyle name="Normal 6 9 2 2" xfId="1351"/>
    <cellStyle name="Normal 6 9 3" xfId="1135"/>
    <cellStyle name="Normal 7" xfId="201"/>
    <cellStyle name="Normal 7 2" xfId="444"/>
    <cellStyle name="Normal 8" xfId="202"/>
    <cellStyle name="Normal 8 10" xfId="443"/>
    <cellStyle name="Normal 8 10 2" xfId="442"/>
    <cellStyle name="Normal 8 11" xfId="441"/>
    <cellStyle name="Normal 8 12" xfId="440"/>
    <cellStyle name="Normal 8 13" xfId="658"/>
    <cellStyle name="Normal 8 13 2" xfId="763"/>
    <cellStyle name="Normal 8 13 2 2" xfId="979"/>
    <cellStyle name="Normal 8 13 2 2 2" xfId="1412"/>
    <cellStyle name="Normal 8 13 2 3" xfId="1196"/>
    <cellStyle name="Normal 8 13 3" xfId="835"/>
    <cellStyle name="Normal 8 13 3 2" xfId="1051"/>
    <cellStyle name="Normal 8 13 3 2 2" xfId="1484"/>
    <cellStyle name="Normal 8 13 3 3" xfId="1268"/>
    <cellStyle name="Normal 8 13 4" xfId="907"/>
    <cellStyle name="Normal 8 13 4 2" xfId="1340"/>
    <cellStyle name="Normal 8 13 5" xfId="1124"/>
    <cellStyle name="Normal 8 14" xfId="697"/>
    <cellStyle name="Normal 8 14 2" xfId="926"/>
    <cellStyle name="Normal 8 14 2 2" xfId="1359"/>
    <cellStyle name="Normal 8 14 3" xfId="1143"/>
    <cellStyle name="Normal 8 15" xfId="782"/>
    <cellStyle name="Normal 8 15 2" xfId="998"/>
    <cellStyle name="Normal 8 15 2 2" xfId="1431"/>
    <cellStyle name="Normal 8 15 3" xfId="1215"/>
    <cellStyle name="Normal 8 16" xfId="854"/>
    <cellStyle name="Normal 8 16 2" xfId="1287"/>
    <cellStyle name="Normal 8 17" xfId="1071"/>
    <cellStyle name="Normal 8 2" xfId="203"/>
    <cellStyle name="Normal 8 2 10" xfId="855"/>
    <cellStyle name="Normal 8 2 10 2" xfId="1288"/>
    <cellStyle name="Normal 8 2 11" xfId="1072"/>
    <cellStyle name="Normal 8 2 2" xfId="377"/>
    <cellStyle name="Normal 8 2 2 2" xfId="439"/>
    <cellStyle name="Normal 8 2 2 3" xfId="712"/>
    <cellStyle name="Normal 8 2 2 3 2" xfId="940"/>
    <cellStyle name="Normal 8 2 2 3 2 2" xfId="1373"/>
    <cellStyle name="Normal 8 2 2 3 3" xfId="1157"/>
    <cellStyle name="Normal 8 2 2 4" xfId="796"/>
    <cellStyle name="Normal 8 2 2 4 2" xfId="1012"/>
    <cellStyle name="Normal 8 2 2 4 2 2" xfId="1445"/>
    <cellStyle name="Normal 8 2 2 4 3" xfId="1229"/>
    <cellStyle name="Normal 8 2 2 5" xfId="868"/>
    <cellStyle name="Normal 8 2 2 5 2" xfId="1301"/>
    <cellStyle name="Normal 8 2 2 6" xfId="1085"/>
    <cellStyle name="Normal 8 2 3" xfId="420"/>
    <cellStyle name="Normal 8 2 3 2" xfId="438"/>
    <cellStyle name="Normal 8 2 3 3" xfId="725"/>
    <cellStyle name="Normal 8 2 3 3 2" xfId="953"/>
    <cellStyle name="Normal 8 2 3 3 2 2" xfId="1386"/>
    <cellStyle name="Normal 8 2 3 3 3" xfId="1170"/>
    <cellStyle name="Normal 8 2 3 4" xfId="809"/>
    <cellStyle name="Normal 8 2 3 4 2" xfId="1025"/>
    <cellStyle name="Normal 8 2 3 4 2 2" xfId="1458"/>
    <cellStyle name="Normal 8 2 3 4 3" xfId="1242"/>
    <cellStyle name="Normal 8 2 3 5" xfId="881"/>
    <cellStyle name="Normal 8 2 3 5 2" xfId="1314"/>
    <cellStyle name="Normal 8 2 3 6" xfId="1098"/>
    <cellStyle name="Normal 8 2 4" xfId="437"/>
    <cellStyle name="Normal 8 2 4 2" xfId="436"/>
    <cellStyle name="Normal 8 2 5" xfId="435"/>
    <cellStyle name="Normal 8 2 6" xfId="434"/>
    <cellStyle name="Normal 8 2 7" xfId="659"/>
    <cellStyle name="Normal 8 2 7 2" xfId="764"/>
    <cellStyle name="Normal 8 2 7 2 2" xfId="980"/>
    <cellStyle name="Normal 8 2 7 2 2 2" xfId="1413"/>
    <cellStyle name="Normal 8 2 7 2 3" xfId="1197"/>
    <cellStyle name="Normal 8 2 7 3" xfId="836"/>
    <cellStyle name="Normal 8 2 7 3 2" xfId="1052"/>
    <cellStyle name="Normal 8 2 7 3 2 2" xfId="1485"/>
    <cellStyle name="Normal 8 2 7 3 3" xfId="1269"/>
    <cellStyle name="Normal 8 2 7 4" xfId="908"/>
    <cellStyle name="Normal 8 2 7 4 2" xfId="1341"/>
    <cellStyle name="Normal 8 2 7 5" xfId="1125"/>
    <cellStyle name="Normal 8 2 8" xfId="698"/>
    <cellStyle name="Normal 8 2 8 2" xfId="927"/>
    <cellStyle name="Normal 8 2 8 2 2" xfId="1360"/>
    <cellStyle name="Normal 8 2 8 3" xfId="1144"/>
    <cellStyle name="Normal 8 2 9" xfId="783"/>
    <cellStyle name="Normal 8 2 9 2" xfId="999"/>
    <cellStyle name="Normal 8 2 9 2 2" xfId="1432"/>
    <cellStyle name="Normal 8 2 9 3" xfId="1216"/>
    <cellStyle name="Normal 8 3" xfId="376"/>
    <cellStyle name="Normal 8 3 10" xfId="1084"/>
    <cellStyle name="Normal 8 3 2" xfId="433"/>
    <cellStyle name="Normal 8 3 2 2" xfId="432"/>
    <cellStyle name="Normal 8 3 3" xfId="431"/>
    <cellStyle name="Normal 8 3 3 2" xfId="430"/>
    <cellStyle name="Normal 8 3 4" xfId="429"/>
    <cellStyle name="Normal 8 3 4 2" xfId="428"/>
    <cellStyle name="Normal 8 3 5" xfId="427"/>
    <cellStyle name="Normal 8 3 6" xfId="426"/>
    <cellStyle name="Normal 8 3 7" xfId="711"/>
    <cellStyle name="Normal 8 3 7 2" xfId="939"/>
    <cellStyle name="Normal 8 3 7 2 2" xfId="1372"/>
    <cellStyle name="Normal 8 3 7 3" xfId="1156"/>
    <cellStyle name="Normal 8 3 8" xfId="795"/>
    <cellStyle name="Normal 8 3 8 2" xfId="1011"/>
    <cellStyle name="Normal 8 3 8 2 2" xfId="1444"/>
    <cellStyle name="Normal 8 3 8 3" xfId="1228"/>
    <cellStyle name="Normal 8 3 9" xfId="867"/>
    <cellStyle name="Normal 8 3 9 2" xfId="1300"/>
    <cellStyle name="Normal 8 4" xfId="419"/>
    <cellStyle name="Normal 8 4 10" xfId="1097"/>
    <cellStyle name="Normal 8 4 2" xfId="425"/>
    <cellStyle name="Normal 8 4 2 2" xfId="424"/>
    <cellStyle name="Normal 8 4 3" xfId="423"/>
    <cellStyle name="Normal 8 4 3 2" xfId="418"/>
    <cellStyle name="Normal 8 4 4" xfId="409"/>
    <cellStyle name="Normal 8 4 4 2" xfId="408"/>
    <cellStyle name="Normal 8 4 5" xfId="407"/>
    <cellStyle name="Normal 8 4 6" xfId="406"/>
    <cellStyle name="Normal 8 4 7" xfId="724"/>
    <cellStyle name="Normal 8 4 7 2" xfId="952"/>
    <cellStyle name="Normal 8 4 7 2 2" xfId="1385"/>
    <cellStyle name="Normal 8 4 7 3" xfId="1169"/>
    <cellStyle name="Normal 8 4 8" xfId="808"/>
    <cellStyle name="Normal 8 4 8 2" xfId="1024"/>
    <cellStyle name="Normal 8 4 8 2 2" xfId="1457"/>
    <cellStyle name="Normal 8 4 8 3" xfId="1241"/>
    <cellStyle name="Normal 8 4 9" xfId="880"/>
    <cellStyle name="Normal 8 4 9 2" xfId="1313"/>
    <cellStyle name="Normal 8 5" xfId="405"/>
    <cellStyle name="Normal 8 5 2" xfId="404"/>
    <cellStyle name="Normal 8 5 2 2" xfId="403"/>
    <cellStyle name="Normal 8 5 3" xfId="402"/>
    <cellStyle name="Normal 8 5 3 2" xfId="401"/>
    <cellStyle name="Normal 8 5 4" xfId="400"/>
    <cellStyle name="Normal 8 5 5" xfId="398"/>
    <cellStyle name="Normal 8 6" xfId="380"/>
    <cellStyle name="Normal 8 6 2" xfId="397"/>
    <cellStyle name="Normal 8 6 2 2" xfId="396"/>
    <cellStyle name="Normal 8 6 3" xfId="395"/>
    <cellStyle name="Normal 8 6 3 2" xfId="394"/>
    <cellStyle name="Normal 8 6 4" xfId="393"/>
    <cellStyle name="Normal 8 6 5" xfId="392"/>
    <cellStyle name="Normal 8 7" xfId="391"/>
    <cellStyle name="Normal 8 7 2" xfId="390"/>
    <cellStyle name="Normal 8 7 2 2" xfId="389"/>
    <cellStyle name="Normal 8 7 3" xfId="388"/>
    <cellStyle name="Normal 8 7 3 2" xfId="387"/>
    <cellStyle name="Normal 8 7 4" xfId="386"/>
    <cellStyle name="Normal 8 7 5" xfId="385"/>
    <cellStyle name="Normal 8 8" xfId="384"/>
    <cellStyle name="Normal 8 8 2" xfId="383"/>
    <cellStyle name="Normal 8 9" xfId="382"/>
    <cellStyle name="Normal 8 9 2" xfId="381"/>
    <cellStyle name="Normal 9" xfId="204"/>
    <cellStyle name="Normal 9 10" xfId="784"/>
    <cellStyle name="Normal 9 10 2" xfId="1000"/>
    <cellStyle name="Normal 9 10 2 2" xfId="1433"/>
    <cellStyle name="Normal 9 10 3" xfId="1217"/>
    <cellStyle name="Normal 9 11" xfId="856"/>
    <cellStyle name="Normal 9 11 2" xfId="1289"/>
    <cellStyle name="Normal 9 12" xfId="1073"/>
    <cellStyle name="Normal 9 2" xfId="205"/>
    <cellStyle name="Normal 9 2 2" xfId="379"/>
    <cellStyle name="Normal 9 2 2 2" xfId="714"/>
    <cellStyle name="Normal 9 2 2 2 2" xfId="942"/>
    <cellStyle name="Normal 9 2 2 2 2 2" xfId="1375"/>
    <cellStyle name="Normal 9 2 2 2 3" xfId="1159"/>
    <cellStyle name="Normal 9 2 2 3" xfId="798"/>
    <cellStyle name="Normal 9 2 2 3 2" xfId="1014"/>
    <cellStyle name="Normal 9 2 2 3 2 2" xfId="1447"/>
    <cellStyle name="Normal 9 2 2 3 3" xfId="1231"/>
    <cellStyle name="Normal 9 2 2 4" xfId="870"/>
    <cellStyle name="Normal 9 2 2 4 2" xfId="1303"/>
    <cellStyle name="Normal 9 2 2 5" xfId="1087"/>
    <cellStyle name="Normal 9 2 3" xfId="422"/>
    <cellStyle name="Normal 9 2 3 2" xfId="727"/>
    <cellStyle name="Normal 9 2 3 2 2" xfId="955"/>
    <cellStyle name="Normal 9 2 3 2 2 2" xfId="1388"/>
    <cellStyle name="Normal 9 2 3 2 3" xfId="1172"/>
    <cellStyle name="Normal 9 2 3 3" xfId="811"/>
    <cellStyle name="Normal 9 2 3 3 2" xfId="1027"/>
    <cellStyle name="Normal 9 2 3 3 2 2" xfId="1460"/>
    <cellStyle name="Normal 9 2 3 3 3" xfId="1244"/>
    <cellStyle name="Normal 9 2 3 4" xfId="883"/>
    <cellStyle name="Normal 9 2 3 4 2" xfId="1316"/>
    <cellStyle name="Normal 9 2 3 5" xfId="1100"/>
    <cellStyle name="Normal 9 2 4" xfId="661"/>
    <cellStyle name="Normal 9 2 4 2" xfId="766"/>
    <cellStyle name="Normal 9 2 4 2 2" xfId="982"/>
    <cellStyle name="Normal 9 2 4 2 2 2" xfId="1415"/>
    <cellStyle name="Normal 9 2 4 2 3" xfId="1199"/>
    <cellStyle name="Normal 9 2 4 3" xfId="838"/>
    <cellStyle name="Normal 9 2 4 3 2" xfId="1054"/>
    <cellStyle name="Normal 9 2 4 3 2 2" xfId="1487"/>
    <cellStyle name="Normal 9 2 4 3 3" xfId="1271"/>
    <cellStyle name="Normal 9 2 4 4" xfId="910"/>
    <cellStyle name="Normal 9 2 4 4 2" xfId="1343"/>
    <cellStyle name="Normal 9 2 4 5" xfId="1127"/>
    <cellStyle name="Normal 9 2 5" xfId="700"/>
    <cellStyle name="Normal 9 2 5 2" xfId="929"/>
    <cellStyle name="Normal 9 2 5 2 2" xfId="1362"/>
    <cellStyle name="Normal 9 2 5 3" xfId="1146"/>
    <cellStyle name="Normal 9 2 6" xfId="785"/>
    <cellStyle name="Normal 9 2 6 2" xfId="1001"/>
    <cellStyle name="Normal 9 2 6 2 2" xfId="1434"/>
    <cellStyle name="Normal 9 2 6 3" xfId="1218"/>
    <cellStyle name="Normal 9 2 7" xfId="857"/>
    <cellStyle name="Normal 9 2 7 2" xfId="1290"/>
    <cellStyle name="Normal 9 2 8" xfId="1074"/>
    <cellStyle name="Normal 9 3" xfId="378"/>
    <cellStyle name="Normal 9 3 2" xfId="713"/>
    <cellStyle name="Normal 9 3 2 2" xfId="941"/>
    <cellStyle name="Normal 9 3 2 2 2" xfId="1374"/>
    <cellStyle name="Normal 9 3 2 3" xfId="1158"/>
    <cellStyle name="Normal 9 3 3" xfId="797"/>
    <cellStyle name="Normal 9 3 3 2" xfId="1013"/>
    <cellStyle name="Normal 9 3 3 2 2" xfId="1446"/>
    <cellStyle name="Normal 9 3 3 3" xfId="1230"/>
    <cellStyle name="Normal 9 3 4" xfId="869"/>
    <cellStyle name="Normal 9 3 4 2" xfId="1302"/>
    <cellStyle name="Normal 9 3 5" xfId="1086"/>
    <cellStyle name="Normal 9 4" xfId="421"/>
    <cellStyle name="Normal 9 4 2" xfId="726"/>
    <cellStyle name="Normal 9 4 2 2" xfId="954"/>
    <cellStyle name="Normal 9 4 2 2 2" xfId="1387"/>
    <cellStyle name="Normal 9 4 2 3" xfId="1171"/>
    <cellStyle name="Normal 9 4 3" xfId="810"/>
    <cellStyle name="Normal 9 4 3 2" xfId="1026"/>
    <cellStyle name="Normal 9 4 3 2 2" xfId="1459"/>
    <cellStyle name="Normal 9 4 3 3" xfId="1243"/>
    <cellStyle name="Normal 9 4 4" xfId="882"/>
    <cellStyle name="Normal 9 4 4 2" xfId="1315"/>
    <cellStyle name="Normal 9 4 5" xfId="1099"/>
    <cellStyle name="Normal 9 5" xfId="624"/>
    <cellStyle name="Normal 9 5 2" xfId="735"/>
    <cellStyle name="Normal 9 5 2 2" xfId="963"/>
    <cellStyle name="Normal 9 5 2 2 2" xfId="1396"/>
    <cellStyle name="Normal 9 5 2 3" xfId="1180"/>
    <cellStyle name="Normal 9 5 3" xfId="819"/>
    <cellStyle name="Normal 9 5 3 2" xfId="1035"/>
    <cellStyle name="Normal 9 5 3 2 2" xfId="1468"/>
    <cellStyle name="Normal 9 5 3 3" xfId="1252"/>
    <cellStyle name="Normal 9 5 4" xfId="891"/>
    <cellStyle name="Normal 9 5 4 2" xfId="1324"/>
    <cellStyle name="Normal 9 5 5" xfId="1108"/>
    <cellStyle name="Normal 9 6" xfId="633"/>
    <cellStyle name="Normal 9 6 2" xfId="741"/>
    <cellStyle name="Normal 9 6 2 2" xfId="969"/>
    <cellStyle name="Normal 9 6 2 2 2" xfId="1402"/>
    <cellStyle name="Normal 9 6 2 3" xfId="1186"/>
    <cellStyle name="Normal 9 6 3" xfId="825"/>
    <cellStyle name="Normal 9 6 3 2" xfId="1041"/>
    <cellStyle name="Normal 9 6 3 2 2" xfId="1474"/>
    <cellStyle name="Normal 9 6 3 3" xfId="1258"/>
    <cellStyle name="Normal 9 6 4" xfId="897"/>
    <cellStyle name="Normal 9 6 4 2" xfId="1330"/>
    <cellStyle name="Normal 9 6 5" xfId="1114"/>
    <cellStyle name="Normal 9 7" xfId="660"/>
    <cellStyle name="Normal 9 7 2" xfId="765"/>
    <cellStyle name="Normal 9 7 2 2" xfId="981"/>
    <cellStyle name="Normal 9 7 2 2 2" xfId="1414"/>
    <cellStyle name="Normal 9 7 2 3" xfId="1198"/>
    <cellStyle name="Normal 9 7 3" xfId="837"/>
    <cellStyle name="Normal 9 7 3 2" xfId="1053"/>
    <cellStyle name="Normal 9 7 3 2 2" xfId="1486"/>
    <cellStyle name="Normal 9 7 3 3" xfId="1270"/>
    <cellStyle name="Normal 9 7 4" xfId="909"/>
    <cellStyle name="Normal 9 7 4 2" xfId="1342"/>
    <cellStyle name="Normal 9 7 5" xfId="1126"/>
    <cellStyle name="Normal 9 8" xfId="678"/>
    <cellStyle name="Normal 9 8 2" xfId="772"/>
    <cellStyle name="Normal 9 8 2 2" xfId="988"/>
    <cellStyle name="Normal 9 8 2 2 2" xfId="1421"/>
    <cellStyle name="Normal 9 8 2 3" xfId="1205"/>
    <cellStyle name="Normal 9 8 3" xfId="844"/>
    <cellStyle name="Normal 9 8 3 2" xfId="1060"/>
    <cellStyle name="Normal 9 8 3 2 2" xfId="1493"/>
    <cellStyle name="Normal 9 8 3 3" xfId="1277"/>
    <cellStyle name="Normal 9 8 4" xfId="916"/>
    <cellStyle name="Normal 9 8 4 2" xfId="1349"/>
    <cellStyle name="Normal 9 8 5" xfId="1133"/>
    <cellStyle name="Normal 9 9" xfId="699"/>
    <cellStyle name="Normal 9 9 2" xfId="928"/>
    <cellStyle name="Normal 9 9 2 2" xfId="1361"/>
    <cellStyle name="Normal 9 9 3" xfId="1145"/>
    <cellStyle name="Normal_21 Exh B" xfId="206"/>
    <cellStyle name="Normal_ATC Projected 2008 Monthly Plant Balances for Attachment O 2 (2)" xfId="207"/>
    <cellStyle name="Normal_Attachment GG Example 8 26 09" xfId="208"/>
    <cellStyle name="Normal_Attachment GG Template ER11-28 11-18-10" xfId="209"/>
    <cellStyle name="Normal_Attachment Os for 2002 True-up" xfId="210"/>
    <cellStyle name="Normal_FERC Functional M&amp;S All Cos" xfId="554"/>
    <cellStyle name="Normal_FN1 Ratebase Draft SPP template (6-11-04) v2" xfId="625"/>
    <cellStyle name="Normal_Schedule O Info for Mike" xfId="211"/>
    <cellStyle name="Normal_Support 2003 PSI Peak Demand excluding Joint Owners 2" xfId="555"/>
    <cellStyle name="Note 2" xfId="604"/>
    <cellStyle name="Output 2" xfId="605"/>
    <cellStyle name="Output1_Back" xfId="212"/>
    <cellStyle name="p" xfId="213"/>
    <cellStyle name="p_2010 Attachment O  GG_082709" xfId="214"/>
    <cellStyle name="p_2010 Attachment O Template Supporting Work Papers_ITC Midwest" xfId="215"/>
    <cellStyle name="p_2010 Attachment O Template Supporting Work Papers_ITCTransmission" xfId="216"/>
    <cellStyle name="p_2010 Attachment O Template Supporting Work Papers_METC" xfId="217"/>
    <cellStyle name="p_2Mod11" xfId="218"/>
    <cellStyle name="p_aavidmod11.xls Chart 1" xfId="219"/>
    <cellStyle name="p_aavidmod11.xls Chart 2" xfId="220"/>
    <cellStyle name="p_Attachment O &amp; GG" xfId="221"/>
    <cellStyle name="p_charts for capm" xfId="222"/>
    <cellStyle name="p_DCF" xfId="223"/>
    <cellStyle name="p_DCF_2Mod11" xfId="224"/>
    <cellStyle name="p_DCF_aavidmod11.xls Chart 1" xfId="225"/>
    <cellStyle name="p_DCF_aavidmod11.xls Chart 2" xfId="226"/>
    <cellStyle name="p_DCF_charts for capm" xfId="227"/>
    <cellStyle name="p_DCF_DCF5" xfId="228"/>
    <cellStyle name="p_DCF_Template2" xfId="229"/>
    <cellStyle name="p_DCF_Template2_1" xfId="230"/>
    <cellStyle name="p_DCF_VERA" xfId="231"/>
    <cellStyle name="p_DCF_VERA_1" xfId="232"/>
    <cellStyle name="p_DCF_VERA_1_Template2" xfId="233"/>
    <cellStyle name="p_DCF_VERA_aavidmod11.xls Chart 2" xfId="234"/>
    <cellStyle name="p_DCF_VERA_Model02" xfId="235"/>
    <cellStyle name="p_DCF_VERA_Template2" xfId="236"/>
    <cellStyle name="p_DCF_VERA_VERA" xfId="237"/>
    <cellStyle name="p_DCF_VERA_VERA_1" xfId="238"/>
    <cellStyle name="p_DCF_VERA_VERA_2" xfId="239"/>
    <cellStyle name="p_DCF_VERA_VERA_Template2" xfId="240"/>
    <cellStyle name="p_DCF5" xfId="241"/>
    <cellStyle name="p_ITC Great Plains Formula 1-12-09a" xfId="242"/>
    <cellStyle name="p_ITCM 2010 Template" xfId="243"/>
    <cellStyle name="p_ITCMW 2009 Rate" xfId="244"/>
    <cellStyle name="p_ITCMW 2010 Rate_083109" xfId="245"/>
    <cellStyle name="p_ITCOP 2010 Rate_083109" xfId="246"/>
    <cellStyle name="p_ITCT 2009 Rate" xfId="247"/>
    <cellStyle name="p_ITCT New 2010 Attachment O &amp; GG_111209NL" xfId="248"/>
    <cellStyle name="p_METC 2010 Rate_083109" xfId="249"/>
    <cellStyle name="p_Template2" xfId="250"/>
    <cellStyle name="p_Template2_1" xfId="251"/>
    <cellStyle name="p_VERA" xfId="252"/>
    <cellStyle name="p_VERA_1" xfId="253"/>
    <cellStyle name="p_VERA_1_Template2" xfId="254"/>
    <cellStyle name="p_VERA_aavidmod11.xls Chart 2" xfId="255"/>
    <cellStyle name="p_VERA_Model02" xfId="256"/>
    <cellStyle name="p_VERA_Template2" xfId="257"/>
    <cellStyle name="p_VERA_VERA" xfId="258"/>
    <cellStyle name="p_VERA_VERA_1" xfId="259"/>
    <cellStyle name="p_VERA_VERA_2" xfId="260"/>
    <cellStyle name="p_VERA_VERA_Template2" xfId="261"/>
    <cellStyle name="p1" xfId="262"/>
    <cellStyle name="p2" xfId="263"/>
    <cellStyle name="p3" xfId="264"/>
    <cellStyle name="Percent" xfId="265" builtinId="5"/>
    <cellStyle name="Percent %" xfId="266"/>
    <cellStyle name="Percent % Long Underline" xfId="267"/>
    <cellStyle name="Percent (0)" xfId="268"/>
    <cellStyle name="Percent [0]" xfId="269"/>
    <cellStyle name="Percent [1]" xfId="270"/>
    <cellStyle name="Percent [2]" xfId="271"/>
    <cellStyle name="Percent [3]" xfId="272"/>
    <cellStyle name="Percent 0.0%" xfId="273"/>
    <cellStyle name="Percent 0.0% Long Underline" xfId="274"/>
    <cellStyle name="Percent 0.00%" xfId="275"/>
    <cellStyle name="Percent 0.00% Long Underline" xfId="276"/>
    <cellStyle name="Percent 0.000%" xfId="277"/>
    <cellStyle name="Percent 0.000% Long Underline" xfId="278"/>
    <cellStyle name="Percent 0.0000%" xfId="279"/>
    <cellStyle name="Percent 0.0000% Long Underline" xfId="280"/>
    <cellStyle name="Percent 10" xfId="634"/>
    <cellStyle name="Percent 11" xfId="646"/>
    <cellStyle name="Percent 11 2" xfId="751"/>
    <cellStyle name="Percent 12" xfId="636"/>
    <cellStyle name="Percent 12 2" xfId="743"/>
    <cellStyle name="Percent 13" xfId="683"/>
    <cellStyle name="Percent 14" xfId="662"/>
    <cellStyle name="Percent 15" xfId="684"/>
    <cellStyle name="Percent 16" xfId="667"/>
    <cellStyle name="Percent 17" xfId="685"/>
    <cellStyle name="Percent 18" xfId="666"/>
    <cellStyle name="Percent 19" xfId="686"/>
    <cellStyle name="Percent 2" xfId="281"/>
    <cellStyle name="Percent 2 2" xfId="282"/>
    <cellStyle name="Percent 20" xfId="664"/>
    <cellStyle name="Percent 21" xfId="687"/>
    <cellStyle name="Percent 22" xfId="663"/>
    <cellStyle name="Percent 3" xfId="283"/>
    <cellStyle name="Percent 3 2" xfId="284"/>
    <cellStyle name="Percent 3 3" xfId="606"/>
    <cellStyle name="Percent 3 4" xfId="607"/>
    <cellStyle name="Percent 3 5" xfId="647"/>
    <cellStyle name="Percent 3 5 2" xfId="752"/>
    <cellStyle name="Percent 4" xfId="285"/>
    <cellStyle name="Percent 4 2" xfId="608"/>
    <cellStyle name="Percent 5" xfId="286"/>
    <cellStyle name="Percent 6" xfId="287"/>
    <cellStyle name="Percent 7" xfId="288"/>
    <cellStyle name="Percent 8" xfId="626"/>
    <cellStyle name="Percent 9" xfId="584"/>
    <cellStyle name="Percent Input" xfId="289"/>
    <cellStyle name="Percent0" xfId="290"/>
    <cellStyle name="Percent1" xfId="291"/>
    <cellStyle name="Percent2" xfId="292"/>
    <cellStyle name="PSChar" xfId="293"/>
    <cellStyle name="PSDate" xfId="294"/>
    <cellStyle name="PSDec" xfId="295"/>
    <cellStyle name="PSdesc" xfId="296"/>
    <cellStyle name="PSHeading" xfId="297"/>
    <cellStyle name="PSInt" xfId="298"/>
    <cellStyle name="PSSpacer" xfId="299"/>
    <cellStyle name="PStest" xfId="300"/>
    <cellStyle name="R00A" xfId="301"/>
    <cellStyle name="R00B" xfId="302"/>
    <cellStyle name="R00L" xfId="303"/>
    <cellStyle name="R01A" xfId="304"/>
    <cellStyle name="R01B" xfId="305"/>
    <cellStyle name="R01H" xfId="306"/>
    <cellStyle name="R01L" xfId="307"/>
    <cellStyle name="R02A" xfId="308"/>
    <cellStyle name="R02B" xfId="309"/>
    <cellStyle name="R02H" xfId="310"/>
    <cellStyle name="R02L" xfId="311"/>
    <cellStyle name="R03A" xfId="312"/>
    <cellStyle name="R03B" xfId="313"/>
    <cellStyle name="R03H" xfId="314"/>
    <cellStyle name="R03L" xfId="315"/>
    <cellStyle name="R04A" xfId="316"/>
    <cellStyle name="R04B" xfId="317"/>
    <cellStyle name="R04H" xfId="318"/>
    <cellStyle name="R04L" xfId="319"/>
    <cellStyle name="R05A" xfId="320"/>
    <cellStyle name="R05B" xfId="321"/>
    <cellStyle name="R05H" xfId="322"/>
    <cellStyle name="R05L" xfId="323"/>
    <cellStyle name="R05L 2" xfId="324"/>
    <cellStyle name="R06A" xfId="325"/>
    <cellStyle name="R06B" xfId="326"/>
    <cellStyle name="R06H" xfId="327"/>
    <cellStyle name="R06L" xfId="328"/>
    <cellStyle name="R07A" xfId="329"/>
    <cellStyle name="R07B" xfId="330"/>
    <cellStyle name="R07H" xfId="331"/>
    <cellStyle name="R07L" xfId="332"/>
    <cellStyle name="rborder" xfId="333"/>
    <cellStyle name="red" xfId="334"/>
    <cellStyle name="s_HardInc " xfId="335"/>
    <cellStyle name="s_HardInc _ITC Great Plains Formula 1-12-09a" xfId="336"/>
    <cellStyle name="scenario" xfId="337"/>
    <cellStyle name="SECTION" xfId="338"/>
    <cellStyle name="Sheetmult" xfId="339"/>
    <cellStyle name="Shtmultx" xfId="340"/>
    <cellStyle name="Style 1" xfId="341"/>
    <cellStyle name="STYLE1" xfId="342"/>
    <cellStyle name="STYLE2" xfId="343"/>
    <cellStyle name="System Defined" xfId="344"/>
    <cellStyle name="TableHeading" xfId="345"/>
    <cellStyle name="tb" xfId="346"/>
    <cellStyle name="Tickmark" xfId="347"/>
    <cellStyle name="Title 2" xfId="613"/>
    <cellStyle name="Title1" xfId="348"/>
    <cellStyle name="top" xfId="349"/>
    <cellStyle name="Total" xfId="350" builtinId="25" customBuiltin="1"/>
    <cellStyle name="w" xfId="351"/>
    <cellStyle name="Warning Text 2" xfId="614"/>
    <cellStyle name="XComma" xfId="352"/>
    <cellStyle name="XComma 0.0" xfId="353"/>
    <cellStyle name="XComma 0.00" xfId="354"/>
    <cellStyle name="XComma 0.000" xfId="355"/>
    <cellStyle name="XCurrency" xfId="356"/>
    <cellStyle name="XCurrency 0.0" xfId="357"/>
    <cellStyle name="XCurrency 0.00" xfId="358"/>
    <cellStyle name="XCurrency 0.000" xfId="359"/>
    <cellStyle name="yra" xfId="360"/>
    <cellStyle name="yrActual" xfId="361"/>
    <cellStyle name="yre" xfId="362"/>
    <cellStyle name="yrExpect" xfId="363"/>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Transmission/Transmission%20-FTR/Formula%20Rate%20FY2014/Annual%20Update/Posting%20Files/Updated%20for%20Depr%20Rate%20Chang/KCPL%20Transmission%20%20Formula%20Rate%20FY2014-Annual%20Update%20-Depr%20Chan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195155/AppData/Local/Microsoft/Windows/Temporary%20Internet%20Files/Content.Outlook/L15BWFUN/duke-energy-ohio-inc-2015-fully-functioning-exc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refreshError="1"/>
      <sheetData sheetId="1" refreshError="1"/>
      <sheetData sheetId="2" refreshError="1"/>
      <sheetData sheetId="3" refreshError="1"/>
      <sheetData sheetId="4" refreshError="1">
        <row r="39">
          <cell r="M39">
            <v>183359399.53846154</v>
          </cell>
        </row>
        <row r="42">
          <cell r="K42">
            <v>1</v>
          </cell>
        </row>
        <row r="156">
          <cell r="K156">
            <v>4.3009977375187969E-2</v>
          </cell>
        </row>
        <row r="194">
          <cell r="M194">
            <v>1.898472513614197E-2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2 ADIT 190 &amp; 282"/>
      <sheetName val="P2 Allocate M&amp;S"/>
      <sheetName val="P2 Land Held for Future Use"/>
      <sheetName val="P3 Advertising - EPRI Adj."/>
      <sheetName val="P3 Schedule 1 Charges acct 561"/>
      <sheetName val="P3 Statetax"/>
      <sheetName val="P4 Trans Plant In OATT"/>
      <sheetName val="P4 Rev Cred Support"/>
      <sheetName val="P4 Capital Structure - Confiden"/>
      <sheetName val="Partner KW"/>
      <sheetName val="Corrections to Previous Filings"/>
    </sheetNames>
    <sheetDataSet>
      <sheetData sheetId="0"/>
      <sheetData sheetId="1"/>
      <sheetData sheetId="2"/>
      <sheetData sheetId="3">
        <row r="28">
          <cell r="J28">
            <v>86772256.260696799</v>
          </cell>
        </row>
      </sheetData>
      <sheetData sheetId="4"/>
      <sheetData sheetId="5"/>
      <sheetData sheetId="6"/>
      <sheetData sheetId="7"/>
      <sheetData sheetId="8"/>
      <sheetData sheetId="9"/>
      <sheetData sheetId="10"/>
      <sheetData sheetId="11"/>
      <sheetData sheetId="12"/>
      <sheetData sheetId="13"/>
      <sheetData sheetId="14">
        <row r="33">
          <cell r="G33">
            <v>3.2500000000000001E-2</v>
          </cell>
        </row>
      </sheetData>
      <sheetData sheetId="15"/>
      <sheetData sheetId="16">
        <row r="21">
          <cell r="D21">
            <v>33089463</v>
          </cell>
        </row>
      </sheetData>
      <sheetData sheetId="17">
        <row r="15">
          <cell r="B15">
            <v>9021050</v>
          </cell>
        </row>
      </sheetData>
      <sheetData sheetId="18">
        <row r="20">
          <cell r="B20">
            <v>121217</v>
          </cell>
        </row>
      </sheetData>
      <sheetData sheetId="19">
        <row r="30">
          <cell r="C30">
            <v>2070335</v>
          </cell>
        </row>
      </sheetData>
      <sheetData sheetId="20"/>
      <sheetData sheetId="21">
        <row r="13">
          <cell r="B13">
            <v>0</v>
          </cell>
        </row>
      </sheetData>
      <sheetData sheetId="22">
        <row r="18">
          <cell r="B18">
            <v>0</v>
          </cell>
        </row>
      </sheetData>
      <sheetData sheetId="23">
        <row r="23">
          <cell r="C23">
            <v>172456</v>
          </cell>
        </row>
      </sheetData>
      <sheetData sheetId="24">
        <row r="48">
          <cell r="B48">
            <v>4686038583</v>
          </cell>
        </row>
      </sheetData>
      <sheetData sheetId="25">
        <row r="13">
          <cell r="B13">
            <v>5105000</v>
          </cell>
          <cell r="C13">
            <v>4597000</v>
          </cell>
          <cell r="D13">
            <v>4107000</v>
          </cell>
          <cell r="E13">
            <v>3451000</v>
          </cell>
          <cell r="F13">
            <v>4390000</v>
          </cell>
          <cell r="G13">
            <v>4939000</v>
          </cell>
          <cell r="H13">
            <v>4938000</v>
          </cell>
          <cell r="I13">
            <v>5039000</v>
          </cell>
          <cell r="J13">
            <v>4937000</v>
          </cell>
          <cell r="K13">
            <v>3673000</v>
          </cell>
          <cell r="L13">
            <v>4096000</v>
          </cell>
          <cell r="M13">
            <v>3865000</v>
          </cell>
        </row>
        <row r="16">
          <cell r="B16">
            <v>860000</v>
          </cell>
          <cell r="C16">
            <v>746000</v>
          </cell>
          <cell r="D16">
            <v>684000</v>
          </cell>
          <cell r="E16">
            <v>554000</v>
          </cell>
          <cell r="F16">
            <v>726000</v>
          </cell>
          <cell r="G16">
            <v>816000</v>
          </cell>
          <cell r="H16">
            <v>819000</v>
          </cell>
          <cell r="I16">
            <v>837000</v>
          </cell>
          <cell r="J16">
            <v>815000</v>
          </cell>
          <cell r="K16">
            <v>632000</v>
          </cell>
          <cell r="L16">
            <v>680000</v>
          </cell>
          <cell r="M16">
            <v>638000</v>
          </cell>
        </row>
        <row r="18">
          <cell r="B18">
            <v>4245000</v>
          </cell>
          <cell r="C18">
            <v>3851000</v>
          </cell>
          <cell r="D18">
            <v>3423000</v>
          </cell>
          <cell r="E18">
            <v>2897000</v>
          </cell>
          <cell r="F18">
            <v>3664000</v>
          </cell>
          <cell r="G18">
            <v>4123000</v>
          </cell>
          <cell r="H18">
            <v>4119000</v>
          </cell>
          <cell r="I18">
            <v>4202000</v>
          </cell>
          <cell r="J18">
            <v>4122000</v>
          </cell>
          <cell r="K18">
            <v>3041000</v>
          </cell>
          <cell r="L18">
            <v>3416000</v>
          </cell>
          <cell r="M18">
            <v>3227000</v>
          </cell>
        </row>
      </sheetData>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8"/>
  <sheetViews>
    <sheetView tabSelected="1" view="pageBreakPreview" zoomScaleNormal="100" zoomScaleSheetLayoutView="100" workbookViewId="0"/>
  </sheetViews>
  <sheetFormatPr defaultColWidth="8.88671875" defaultRowHeight="12.75"/>
  <cols>
    <col min="1" max="1" width="6.77734375" style="13" customWidth="1"/>
    <col min="2" max="2" width="43.5546875" style="13" customWidth="1"/>
    <col min="3" max="3" width="36.109375" style="13" customWidth="1"/>
    <col min="4" max="4" width="16.33203125" style="13" customWidth="1"/>
    <col min="5" max="5" width="6.77734375" style="13" customWidth="1"/>
    <col min="6" max="6" width="7.33203125" style="13" customWidth="1"/>
    <col min="7" max="7" width="9.44140625" style="13" customWidth="1"/>
    <col min="8" max="8" width="4.88671875" style="13" customWidth="1"/>
    <col min="9" max="9" width="13.5546875" style="13" customWidth="1"/>
    <col min="10" max="10" width="2.6640625" style="13" customWidth="1"/>
    <col min="11" max="11" width="9.88671875" style="13" customWidth="1"/>
    <col min="12" max="12" width="14.44140625" style="13" bestFit="1" customWidth="1"/>
    <col min="13" max="13" width="14.6640625" style="13" bestFit="1" customWidth="1"/>
    <col min="14" max="16384" width="8.88671875" style="13"/>
  </cols>
  <sheetData>
    <row r="1" spans="1:11">
      <c r="A1" s="104"/>
      <c r="B1" s="104"/>
      <c r="C1" s="104"/>
      <c r="D1" s="104"/>
      <c r="E1" s="104"/>
      <c r="F1" s="104"/>
      <c r="G1" s="104"/>
      <c r="H1" s="104"/>
      <c r="I1" s="104"/>
      <c r="J1" s="104"/>
      <c r="K1" s="105" t="s">
        <v>712</v>
      </c>
    </row>
    <row r="2" spans="1:11">
      <c r="A2" s="104"/>
      <c r="B2" s="104"/>
      <c r="C2" s="104"/>
      <c r="D2" s="104"/>
      <c r="E2" s="104"/>
      <c r="F2" s="104"/>
      <c r="G2" s="104"/>
      <c r="H2" s="104"/>
      <c r="I2" s="104"/>
      <c r="J2" s="104"/>
      <c r="K2" s="104"/>
    </row>
    <row r="3" spans="1:11">
      <c r="A3" s="32"/>
      <c r="B3" s="24" t="s">
        <v>1</v>
      </c>
      <c r="C3" s="204"/>
      <c r="D3" s="106" t="s">
        <v>816</v>
      </c>
      <c r="E3" s="24"/>
      <c r="F3" s="24"/>
      <c r="G3" s="107"/>
      <c r="H3" s="108"/>
      <c r="I3" s="109"/>
      <c r="J3" s="891" t="s">
        <v>860</v>
      </c>
      <c r="K3" s="894">
        <v>43830</v>
      </c>
    </row>
    <row r="4" spans="1:11">
      <c r="A4" s="32"/>
      <c r="C4" s="25"/>
      <c r="D4" s="28" t="s">
        <v>101</v>
      </c>
      <c r="E4" s="25"/>
      <c r="F4" s="25"/>
      <c r="G4" s="25"/>
      <c r="H4" s="110"/>
      <c r="I4" s="110"/>
      <c r="J4" s="111"/>
      <c r="K4" s="111"/>
    </row>
    <row r="5" spans="1:11" ht="13.5">
      <c r="A5" s="32"/>
      <c r="B5" s="112"/>
      <c r="C5" s="119"/>
      <c r="D5" s="267" t="s">
        <v>412</v>
      </c>
      <c r="E5" s="119"/>
      <c r="F5" s="119"/>
      <c r="G5" s="119"/>
      <c r="H5" s="111"/>
      <c r="I5" s="111"/>
      <c r="J5" s="111"/>
      <c r="K5" s="111"/>
    </row>
    <row r="6" spans="1:11" ht="13.5">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5" thickBot="1">
      <c r="A10" s="29" t="s">
        <v>10</v>
      </c>
      <c r="B10" s="111"/>
      <c r="C10" s="144" t="s">
        <v>205</v>
      </c>
      <c r="D10" s="111"/>
      <c r="E10" s="111"/>
      <c r="F10" s="111"/>
      <c r="G10" s="111"/>
      <c r="H10" s="111"/>
      <c r="I10" s="29" t="s">
        <v>11</v>
      </c>
      <c r="J10" s="111"/>
      <c r="K10" s="111"/>
    </row>
    <row r="11" spans="1:11">
      <c r="A11" s="106">
        <v>1</v>
      </c>
      <c r="B11" s="111" t="s">
        <v>574</v>
      </c>
      <c r="C11" s="111" t="s">
        <v>628</v>
      </c>
      <c r="D11" s="117"/>
      <c r="E11" s="111"/>
      <c r="F11" s="111"/>
      <c r="G11" s="111"/>
      <c r="H11" s="111"/>
      <c r="I11" s="118">
        <f>+I170</f>
        <v>8198953.6877313415</v>
      </c>
      <c r="J11" s="111"/>
      <c r="K11" s="119"/>
    </row>
    <row r="12" spans="1:11">
      <c r="A12" s="106"/>
      <c r="B12" s="111"/>
      <c r="C12" s="111"/>
      <c r="D12" s="111"/>
      <c r="E12" s="111"/>
      <c r="F12" s="111"/>
      <c r="G12" s="111"/>
      <c r="H12" s="111"/>
      <c r="I12" s="117"/>
      <c r="J12" s="111"/>
      <c r="K12" s="111"/>
    </row>
    <row r="13" spans="1:11" ht="13.5" thickBot="1">
      <c r="A13" s="106" t="s">
        <v>2</v>
      </c>
      <c r="B13" s="27" t="s">
        <v>12</v>
      </c>
      <c r="C13" s="33" t="s">
        <v>544</v>
      </c>
      <c r="D13" s="29" t="s">
        <v>13</v>
      </c>
      <c r="E13" s="25"/>
      <c r="F13" s="120" t="s">
        <v>14</v>
      </c>
      <c r="G13" s="120"/>
      <c r="H13" s="111"/>
      <c r="I13" s="117"/>
      <c r="J13" s="111"/>
      <c r="K13" s="111"/>
    </row>
    <row r="14" spans="1:11">
      <c r="A14" s="106">
        <f>+A11+1</f>
        <v>2</v>
      </c>
      <c r="B14" s="27" t="s">
        <v>106</v>
      </c>
      <c r="C14" s="33" t="str">
        <f>"(page 4, line "&amp;A209&amp;")"</f>
        <v>(page 4, line 20)</v>
      </c>
      <c r="D14" s="159">
        <f>I209</f>
        <v>0</v>
      </c>
      <c r="E14" s="25"/>
      <c r="F14" s="25" t="s">
        <v>15</v>
      </c>
      <c r="G14" s="168">
        <f>$I$188</f>
        <v>1</v>
      </c>
      <c r="H14" s="40"/>
      <c r="I14" s="15">
        <f>+G14*D14</f>
        <v>0</v>
      </c>
      <c r="J14" s="111"/>
      <c r="K14" s="111"/>
    </row>
    <row r="15" spans="1:11">
      <c r="A15" s="106">
        <f>+A14+1</f>
        <v>3</v>
      </c>
      <c r="B15" s="27" t="s">
        <v>107</v>
      </c>
      <c r="C15" s="511" t="str">
        <f>"(page 4, line "&amp;A211&amp;")"</f>
        <v>(page 4, line 21)</v>
      </c>
      <c r="D15" s="159">
        <f>+I211</f>
        <v>0</v>
      </c>
      <c r="E15" s="25"/>
      <c r="F15" s="25" t="s">
        <v>15</v>
      </c>
      <c r="G15" s="168">
        <f>$I$188</f>
        <v>1</v>
      </c>
      <c r="H15" s="40"/>
      <c r="I15" s="15">
        <f>+G15*D15</f>
        <v>0</v>
      </c>
      <c r="J15" s="111"/>
      <c r="K15" s="111"/>
    </row>
    <row r="16" spans="1:11">
      <c r="A16" s="482">
        <f>+A15+1</f>
        <v>4</v>
      </c>
      <c r="B16" s="121" t="s">
        <v>261</v>
      </c>
      <c r="C16" s="331" t="s">
        <v>557</v>
      </c>
      <c r="D16" s="328">
        <v>0</v>
      </c>
      <c r="E16" s="25"/>
      <c r="F16" s="25" t="s">
        <v>15</v>
      </c>
      <c r="G16" s="168">
        <f>$I$188</f>
        <v>1</v>
      </c>
      <c r="H16" s="40"/>
      <c r="I16" s="15">
        <f>+G16*D16</f>
        <v>0</v>
      </c>
      <c r="J16" s="111"/>
      <c r="K16" s="111"/>
    </row>
    <row r="17" spans="1:13" ht="13.5" thickBot="1">
      <c r="A17" s="106">
        <f>+A16+1</f>
        <v>5</v>
      </c>
      <c r="B17" s="121" t="s">
        <v>108</v>
      </c>
      <c r="C17" s="122"/>
      <c r="D17" s="328">
        <v>0</v>
      </c>
      <c r="E17" s="25"/>
      <c r="F17" s="25" t="s">
        <v>15</v>
      </c>
      <c r="G17" s="168">
        <f>$I$188</f>
        <v>1</v>
      </c>
      <c r="H17" s="40"/>
      <c r="I17" s="38">
        <f>+G17*D17</f>
        <v>0</v>
      </c>
      <c r="J17" s="111"/>
      <c r="K17" s="111"/>
    </row>
    <row r="18" spans="1:13">
      <c r="A18" s="482">
        <f>+A17+1</f>
        <v>6</v>
      </c>
      <c r="B18" s="27" t="s">
        <v>224</v>
      </c>
      <c r="C18" s="111" t="s">
        <v>558</v>
      </c>
      <c r="D18" s="483">
        <f>SUM(D14:D17)</f>
        <v>0</v>
      </c>
      <c r="E18" s="25"/>
      <c r="F18" s="25"/>
      <c r="G18" s="41"/>
      <c r="H18" s="40"/>
      <c r="I18" s="483">
        <f>SUM(I14:I17)</f>
        <v>0</v>
      </c>
      <c r="J18" s="111"/>
      <c r="K18" s="111"/>
    </row>
    <row r="19" spans="1:13">
      <c r="A19" s="106"/>
      <c r="B19" s="32"/>
      <c r="C19" s="111"/>
      <c r="D19" s="472" t="s">
        <v>2</v>
      </c>
      <c r="E19" s="111"/>
      <c r="F19" s="111"/>
      <c r="G19" s="123"/>
      <c r="H19" s="111"/>
      <c r="I19" s="32"/>
      <c r="J19" s="111"/>
      <c r="K19" s="111"/>
    </row>
    <row r="20" spans="1:13" s="324" customFormat="1">
      <c r="A20" s="482">
        <f>+A18+1</f>
        <v>7</v>
      </c>
      <c r="B20" s="121" t="s">
        <v>794</v>
      </c>
      <c r="C20" s="122" t="s">
        <v>531</v>
      </c>
      <c r="D20" s="159">
        <f>+'11-Corrections'!F30</f>
        <v>0</v>
      </c>
      <c r="E20" s="25"/>
      <c r="F20" s="25" t="s">
        <v>77</v>
      </c>
      <c r="G20" s="168">
        <v>1</v>
      </c>
      <c r="H20" s="25"/>
      <c r="I20" s="409">
        <f>+G20*D20</f>
        <v>0</v>
      </c>
      <c r="J20" s="111"/>
      <c r="K20" s="111"/>
      <c r="M20" s="124"/>
    </row>
    <row r="21" spans="1:13">
      <c r="A21" s="125">
        <f>+A20+1</f>
        <v>8</v>
      </c>
      <c r="B21" s="126" t="s">
        <v>102</v>
      </c>
      <c r="C21" s="304" t="s">
        <v>649</v>
      </c>
      <c r="D21" s="159">
        <v>-485909.7790634571</v>
      </c>
      <c r="E21" s="127"/>
      <c r="F21" s="128" t="s">
        <v>77</v>
      </c>
      <c r="G21" s="499">
        <v>1</v>
      </c>
      <c r="H21" s="127"/>
      <c r="I21" s="15">
        <f>+G21*D21</f>
        <v>-485909.7790634571</v>
      </c>
      <c r="K21" s="129"/>
    </row>
    <row r="22" spans="1:13">
      <c r="A22" s="125"/>
      <c r="B22" s="126"/>
      <c r="C22" s="127"/>
      <c r="D22" s="473"/>
      <c r="E22" s="130"/>
      <c r="F22" s="130"/>
      <c r="G22" s="130"/>
      <c r="H22" s="130"/>
      <c r="I22" s="131"/>
      <c r="K22" s="129"/>
    </row>
    <row r="23" spans="1:13" ht="13.5" thickBot="1">
      <c r="A23" s="125">
        <f>+A21+1</f>
        <v>9</v>
      </c>
      <c r="B23" s="126" t="s">
        <v>431</v>
      </c>
      <c r="C23" s="111" t="s">
        <v>559</v>
      </c>
      <c r="D23" s="130"/>
      <c r="E23" s="131"/>
      <c r="F23" s="131"/>
      <c r="G23" s="131"/>
      <c r="H23" s="131"/>
      <c r="I23" s="132">
        <f>+I11-I18+I20+I21</f>
        <v>7713043.9086678848</v>
      </c>
      <c r="K23" s="129"/>
    </row>
    <row r="24" spans="1:13" ht="13.5" thickTop="1">
      <c r="A24" s="133"/>
      <c r="B24" s="121"/>
      <c r="C24" s="129"/>
      <c r="D24" s="129"/>
      <c r="E24" s="129"/>
      <c r="F24" s="134"/>
      <c r="G24" s="135"/>
      <c r="H24" s="129"/>
      <c r="I24" s="121"/>
      <c r="J24" s="129"/>
      <c r="K24" s="129"/>
    </row>
    <row r="25" spans="1:13" s="324" customFormat="1">
      <c r="A25" s="133"/>
      <c r="B25" s="136"/>
      <c r="C25" s="129"/>
      <c r="D25" s="129"/>
      <c r="E25" s="129"/>
      <c r="F25" s="134"/>
      <c r="G25" s="135"/>
      <c r="H25" s="129"/>
      <c r="I25" s="121"/>
      <c r="J25" s="129"/>
      <c r="K25" s="129"/>
    </row>
    <row r="26" spans="1:13" s="324" customFormat="1">
      <c r="A26" s="482"/>
      <c r="B26" s="27"/>
      <c r="C26" s="111"/>
      <c r="D26" s="137"/>
      <c r="E26" s="138"/>
      <c r="F26" s="138"/>
      <c r="G26" s="138"/>
      <c r="H26" s="138"/>
      <c r="I26" s="138"/>
      <c r="J26" s="138"/>
      <c r="K26" s="111"/>
    </row>
    <row r="27" spans="1:13" s="583" customFormat="1" ht="16.5" thickBot="1">
      <c r="A27" s="632"/>
      <c r="B27" s="650" t="s">
        <v>636</v>
      </c>
      <c r="C27" s="622"/>
      <c r="D27" s="625"/>
      <c r="E27" s="622"/>
      <c r="G27" s="622"/>
      <c r="H27" s="622"/>
      <c r="I27" s="624"/>
      <c r="J27" s="579"/>
      <c r="K27" s="578"/>
    </row>
    <row r="28" spans="1:13" s="583" customFormat="1" ht="15">
      <c r="A28" s="649" t="s">
        <v>605</v>
      </c>
      <c r="B28" s="635" t="s">
        <v>676</v>
      </c>
      <c r="C28" s="580" t="s">
        <v>205</v>
      </c>
      <c r="D28" s="625"/>
      <c r="E28" s="622"/>
      <c r="G28" s="622"/>
      <c r="H28" s="622"/>
      <c r="I28" s="621"/>
      <c r="J28" s="579"/>
      <c r="K28" s="578"/>
    </row>
    <row r="29" spans="1:13" s="583" customFormat="1" ht="25.5">
      <c r="A29" s="540">
        <v>10</v>
      </c>
      <c r="B29" s="574" t="s">
        <v>669</v>
      </c>
      <c r="C29" s="553" t="s">
        <v>668</v>
      </c>
      <c r="D29" s="604">
        <f>+I23</f>
        <v>7713043.9086678848</v>
      </c>
      <c r="E29" s="576"/>
      <c r="F29" s="576"/>
      <c r="G29" s="576"/>
      <c r="H29" s="576"/>
      <c r="J29" s="579"/>
      <c r="K29" s="578"/>
    </row>
    <row r="30" spans="1:13" s="583" customFormat="1" ht="25.5">
      <c r="A30" s="540">
        <f t="shared" ref="A30:A33" si="0">+A29+1</f>
        <v>11</v>
      </c>
      <c r="B30" s="574" t="s">
        <v>667</v>
      </c>
      <c r="C30" s="554" t="s">
        <v>670</v>
      </c>
      <c r="D30" s="612">
        <f>+'1-Project Rev Req'!U61</f>
        <v>7713043.9086678838</v>
      </c>
      <c r="E30" s="576"/>
      <c r="F30" s="576"/>
      <c r="G30" s="576"/>
      <c r="H30" s="576"/>
      <c r="J30" s="579"/>
      <c r="K30" s="578"/>
    </row>
    <row r="31" spans="1:13" s="583" customFormat="1">
      <c r="A31" s="540">
        <f t="shared" si="0"/>
        <v>12</v>
      </c>
      <c r="B31" s="577" t="s">
        <v>634</v>
      </c>
      <c r="C31" s="553" t="str">
        <f>"( Line "&amp;A29&amp;" - line "&amp;A30&amp;")"</f>
        <v>( Line 10 - line 11)</v>
      </c>
      <c r="D31" s="604">
        <f>+D29-D30</f>
        <v>0</v>
      </c>
      <c r="E31" s="576"/>
      <c r="F31" s="576"/>
      <c r="G31" s="576"/>
      <c r="H31" s="576"/>
      <c r="J31" s="579"/>
      <c r="K31" s="578"/>
    </row>
    <row r="32" spans="1:13" s="583" customFormat="1" ht="15.75" customHeight="1">
      <c r="A32" s="540">
        <f t="shared" si="0"/>
        <v>13</v>
      </c>
      <c r="B32" s="574" t="s">
        <v>648</v>
      </c>
      <c r="C32" s="554" t="s">
        <v>671</v>
      </c>
      <c r="D32" s="612">
        <f>+'1-Project Rev Req'!P65</f>
        <v>0</v>
      </c>
      <c r="E32" s="576"/>
      <c r="F32" s="576"/>
      <c r="G32" s="576"/>
      <c r="H32" s="576"/>
      <c r="J32" s="579"/>
      <c r="K32" s="578"/>
    </row>
    <row r="33" spans="1:21" s="583" customFormat="1">
      <c r="A33" s="540">
        <f t="shared" si="0"/>
        <v>14</v>
      </c>
      <c r="B33" s="577" t="s">
        <v>635</v>
      </c>
      <c r="C33" s="553" t="str">
        <f>"( Line "&amp;A31&amp;" + line "&amp;A32&amp;")"</f>
        <v>( Line 12 + line 13)</v>
      </c>
      <c r="D33" s="604">
        <f>+D31+D32</f>
        <v>0</v>
      </c>
      <c r="E33" s="576"/>
      <c r="F33" s="576"/>
      <c r="G33" s="576"/>
      <c r="H33" s="576"/>
      <c r="J33" s="579"/>
      <c r="K33" s="578"/>
    </row>
    <row r="34" spans="1:21" s="583" customFormat="1" ht="15">
      <c r="A34" s="575"/>
      <c r="B34" s="623"/>
      <c r="C34" s="626"/>
      <c r="D34" s="629"/>
      <c r="E34" s="621"/>
      <c r="G34" s="627"/>
      <c r="H34" s="628"/>
      <c r="J34" s="579"/>
      <c r="K34" s="578"/>
    </row>
    <row r="35" spans="1:21" s="583" customFormat="1">
      <c r="A35" s="634" t="s">
        <v>606</v>
      </c>
      <c r="B35" s="635" t="s">
        <v>607</v>
      </c>
      <c r="C35" s="636"/>
      <c r="D35" s="638"/>
      <c r="E35" s="636"/>
      <c r="G35" s="636"/>
      <c r="H35" s="636"/>
      <c r="J35" s="579"/>
      <c r="K35" s="578"/>
    </row>
    <row r="36" spans="1:21" s="583" customFormat="1">
      <c r="A36" s="575">
        <f>+A33+1</f>
        <v>15</v>
      </c>
      <c r="B36" s="639" t="str">
        <f>"Year"&amp;" "&amp;YEAR(K3)&amp;" "&amp;"AEP East Zone Network Service Peak Load (1 CP)"</f>
        <v>Year 2019 AEP East Zone Network Service Peak Load (1 CP)</v>
      </c>
      <c r="D36" s="328">
        <v>22739</v>
      </c>
      <c r="E36" s="640"/>
      <c r="G36" s="641"/>
      <c r="H36" s="642"/>
      <c r="J36" s="579"/>
      <c r="K36" s="578"/>
    </row>
    <row r="37" spans="1:21" s="583" customFormat="1">
      <c r="A37" s="575">
        <f>+A36+1</f>
        <v>16</v>
      </c>
      <c r="B37" s="633" t="s">
        <v>675</v>
      </c>
      <c r="D37" s="643"/>
      <c r="E37" s="584"/>
      <c r="G37" s="585"/>
      <c r="H37" s="584"/>
      <c r="J37" s="579"/>
      <c r="K37" s="578"/>
    </row>
    <row r="38" spans="1:21" s="583" customFormat="1">
      <c r="A38" s="575">
        <f t="shared" ref="A38:A44" si="1">+A37+1</f>
        <v>17</v>
      </c>
      <c r="B38" s="639" t="str">
        <f>"Annual Point-to-Point Rate in $/MW - Year"</f>
        <v>Annual Point-to-Point Rate in $/MW - Year</v>
      </c>
      <c r="C38" s="553" t="str">
        <f>"( Line "&amp;A33&amp;" / line "&amp;A36&amp;")"</f>
        <v>( Line 14 / line 15)</v>
      </c>
      <c r="D38" s="645">
        <f>IFERROR(ROUND(+D33/D36,4),0)</f>
        <v>0</v>
      </c>
      <c r="E38" s="584"/>
      <c r="G38" s="644"/>
      <c r="H38" s="584"/>
      <c r="J38" s="579"/>
      <c r="K38" s="578"/>
    </row>
    <row r="39" spans="1:21" s="583" customFormat="1">
      <c r="A39" s="575">
        <f t="shared" si="1"/>
        <v>18</v>
      </c>
      <c r="B39" s="639" t="str">
        <f>"Monthly Point-to-Point Rate in $/MW - Month"</f>
        <v>Monthly Point-to-Point Rate in $/MW - Month</v>
      </c>
      <c r="C39" s="651" t="str">
        <f>"( Line "&amp;$A$38&amp;" / 12)"</f>
        <v>( Line 17 / 12)</v>
      </c>
      <c r="D39" s="645">
        <f>ROUND(+D$38/12,4)</f>
        <v>0</v>
      </c>
      <c r="E39" s="584"/>
      <c r="G39" s="644"/>
      <c r="H39" s="584"/>
      <c r="J39" s="579"/>
      <c r="K39" s="578"/>
    </row>
    <row r="40" spans="1:21" s="583" customFormat="1">
      <c r="A40" s="575">
        <f t="shared" si="1"/>
        <v>19</v>
      </c>
      <c r="B40" s="639" t="str">
        <f>"Weekly Point-to-Point Rate in $/MW - Weekly"</f>
        <v>Weekly Point-to-Point Rate in $/MW - Weekly</v>
      </c>
      <c r="C40" s="651" t="str">
        <f>"( Line "&amp;$A$38&amp;" / 52)"</f>
        <v>( Line 17 / 52)</v>
      </c>
      <c r="D40" s="645">
        <f>ROUND(+D38/52,4)</f>
        <v>0</v>
      </c>
      <c r="E40" s="584"/>
      <c r="G40" s="644"/>
      <c r="H40" s="584"/>
      <c r="J40" s="579"/>
      <c r="K40" s="578"/>
    </row>
    <row r="41" spans="1:21" s="583" customFormat="1">
      <c r="A41" s="575">
        <f t="shared" si="1"/>
        <v>20</v>
      </c>
      <c r="B41" s="639" t="str">
        <f>"Daily On-Peak Point-to-Point Rate in $/MW - Day"</f>
        <v>Daily On-Peak Point-to-Point Rate in $/MW - Day</v>
      </c>
      <c r="C41" s="651" t="str">
        <f>"( Line "&amp;$A$38&amp;" / 260)"</f>
        <v>( Line 17 / 260)</v>
      </c>
      <c r="D41" s="645">
        <f>ROUND(+D38/260,4)</f>
        <v>0</v>
      </c>
      <c r="E41" s="584"/>
      <c r="G41" s="644"/>
      <c r="H41" s="584"/>
      <c r="J41" s="579"/>
      <c r="K41" s="578"/>
    </row>
    <row r="42" spans="1:21" s="583" customFormat="1">
      <c r="A42" s="575">
        <f t="shared" si="1"/>
        <v>21</v>
      </c>
      <c r="B42" s="639" t="str">
        <f>"Daily Off-Peak Point-to-Point Rate in $/MW - Day"</f>
        <v>Daily Off-Peak Point-to-Point Rate in $/MW - Day</v>
      </c>
      <c r="C42" s="651" t="str">
        <f>"( Line "&amp;$A$38&amp;" / 365)"</f>
        <v>( Line 17 / 365)</v>
      </c>
      <c r="D42" s="645">
        <f>+D38/365</f>
        <v>0</v>
      </c>
      <c r="E42" s="584"/>
      <c r="G42" s="644"/>
      <c r="H42" s="584"/>
      <c r="J42" s="579"/>
      <c r="K42" s="578"/>
    </row>
    <row r="43" spans="1:21" s="583" customFormat="1">
      <c r="A43" s="575">
        <f t="shared" si="1"/>
        <v>22</v>
      </c>
      <c r="B43" s="639" t="str">
        <f>"Hourly On-Peak Point-to-Point Rate in $/MW - Hour"</f>
        <v>Hourly On-Peak Point-to-Point Rate in $/MW - Hour</v>
      </c>
      <c r="C43" s="651" t="str">
        <f>"( Line "&amp;$A$38&amp;" / 4160)"</f>
        <v>( Line 17 / 4160)</v>
      </c>
      <c r="D43" s="645">
        <f>ROUND(+D38/4160,4)</f>
        <v>0</v>
      </c>
      <c r="E43" s="584"/>
      <c r="G43" s="644"/>
      <c r="H43" s="584"/>
      <c r="J43" s="579"/>
      <c r="K43" s="578"/>
    </row>
    <row r="44" spans="1:21" s="583" customFormat="1">
      <c r="A44" s="575">
        <f t="shared" si="1"/>
        <v>23</v>
      </c>
      <c r="B44" s="639" t="str">
        <f>"Hourly Off-Peak Point-to-Point Rate in $/MW - Hour"</f>
        <v>Hourly Off-Peak Point-to-Point Rate in $/MW - Hour</v>
      </c>
      <c r="C44" s="651" t="str">
        <f>"( Line "&amp;$A$38&amp;" / 8760)"</f>
        <v>( Line 17 / 8760)</v>
      </c>
      <c r="D44" s="645">
        <f>ROUND(+D38/8760,4)</f>
        <v>0</v>
      </c>
      <c r="E44" s="584"/>
      <c r="G44" s="644"/>
      <c r="H44" s="584"/>
      <c r="J44" s="579"/>
      <c r="K44" s="578"/>
    </row>
    <row r="45" spans="1:21" s="583" customFormat="1">
      <c r="A45" s="575"/>
      <c r="B45" s="555"/>
      <c r="C45" s="578"/>
      <c r="D45" s="579"/>
      <c r="E45" s="579"/>
      <c r="F45" s="579"/>
      <c r="G45" s="579"/>
      <c r="H45" s="579"/>
      <c r="J45" s="579"/>
      <c r="K45" s="578"/>
    </row>
    <row r="46" spans="1:21" s="621" customFormat="1" ht="15">
      <c r="A46" s="575"/>
      <c r="B46" s="638"/>
      <c r="C46" s="638"/>
      <c r="D46" s="638"/>
      <c r="E46" s="638"/>
      <c r="F46" s="638"/>
      <c r="G46" s="646"/>
      <c r="H46" s="642"/>
      <c r="J46" s="628"/>
      <c r="K46" s="630"/>
      <c r="L46" s="630"/>
      <c r="M46" s="630"/>
      <c r="N46" s="630"/>
      <c r="O46" s="630"/>
      <c r="P46" s="630"/>
      <c r="Q46" s="630"/>
      <c r="R46" s="630"/>
      <c r="S46" s="630"/>
      <c r="T46" s="630"/>
      <c r="U46" s="630"/>
    </row>
    <row r="47" spans="1:21" s="621" customFormat="1" ht="15">
      <c r="A47" s="634" t="s">
        <v>608</v>
      </c>
      <c r="B47" s="635" t="s">
        <v>609</v>
      </c>
      <c r="C47" s="637"/>
      <c r="D47" s="638"/>
      <c r="E47" s="637"/>
      <c r="F47" s="636"/>
      <c r="G47" s="647"/>
      <c r="H47" s="636"/>
      <c r="J47" s="622"/>
      <c r="K47" s="600"/>
      <c r="L47" s="600"/>
      <c r="M47" s="600"/>
      <c r="N47" s="600"/>
      <c r="O47" s="600"/>
      <c r="P47" s="600"/>
      <c r="Q47" s="600"/>
      <c r="R47" s="600"/>
      <c r="S47" s="600"/>
      <c r="T47" s="600"/>
    </row>
    <row r="48" spans="1:21" s="621" customFormat="1" ht="15">
      <c r="A48" s="575">
        <f>+A44+1</f>
        <v>24</v>
      </c>
      <c r="B48" s="584" t="s">
        <v>650</v>
      </c>
      <c r="C48" s="554" t="s">
        <v>673</v>
      </c>
      <c r="D48" s="648">
        <f>+'1-Project Rev Req'!U61-'1-Project Rev Req'!P61</f>
        <v>7713043.9086678838</v>
      </c>
      <c r="E48" s="549"/>
      <c r="F48" s="549"/>
      <c r="G48" s="549"/>
      <c r="H48" s="549"/>
      <c r="J48" s="631"/>
      <c r="K48" s="600"/>
      <c r="L48" s="600"/>
      <c r="M48" s="600"/>
      <c r="N48" s="600"/>
      <c r="O48" s="600"/>
      <c r="P48" s="600"/>
      <c r="Q48" s="600"/>
      <c r="R48" s="600"/>
      <c r="S48" s="600"/>
      <c r="T48" s="600"/>
    </row>
    <row r="49" spans="1:20" s="621" customFormat="1" ht="15">
      <c r="A49" s="575">
        <f>+A48+1</f>
        <v>25</v>
      </c>
      <c r="B49" s="638" t="s">
        <v>811</v>
      </c>
      <c r="C49" s="554" t="s">
        <v>672</v>
      </c>
      <c r="D49" s="648">
        <f>+'1-Project Rev Req'!P61</f>
        <v>0</v>
      </c>
      <c r="E49" s="549"/>
      <c r="F49" s="549"/>
      <c r="G49" s="549"/>
      <c r="H49" s="549"/>
      <c r="J49" s="631"/>
      <c r="K49" s="600"/>
      <c r="L49" s="600"/>
      <c r="M49" s="600"/>
      <c r="N49" s="600"/>
      <c r="O49" s="600"/>
      <c r="P49" s="600"/>
      <c r="Q49" s="600"/>
      <c r="R49" s="600"/>
      <c r="S49" s="600"/>
      <c r="T49" s="600"/>
    </row>
    <row r="50" spans="1:20" s="621" customFormat="1" ht="15">
      <c r="A50" s="575">
        <f>+A49+1</f>
        <v>26</v>
      </c>
      <c r="B50" s="541" t="s">
        <v>674</v>
      </c>
      <c r="C50" s="553" t="str">
        <f>"( Line "&amp;A48&amp;" + line "&amp;A49&amp;")"</f>
        <v>( Line 24 + line 25)</v>
      </c>
      <c r="D50" s="542">
        <f>+D48+D49</f>
        <v>7713043.9086678838</v>
      </c>
      <c r="E50" s="549"/>
      <c r="F50" s="549"/>
      <c r="G50" s="549"/>
      <c r="H50" s="549"/>
      <c r="J50" s="631"/>
      <c r="K50" s="600"/>
      <c r="L50" s="600"/>
      <c r="M50" s="600"/>
      <c r="N50" s="600"/>
      <c r="O50" s="600"/>
      <c r="P50" s="600"/>
      <c r="Q50" s="600"/>
      <c r="R50" s="600"/>
      <c r="S50" s="600"/>
      <c r="T50" s="600"/>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711</v>
      </c>
    </row>
    <row r="54" spans="1:20">
      <c r="A54" s="32"/>
      <c r="B54" s="111"/>
      <c r="C54" s="111"/>
      <c r="D54" s="111"/>
      <c r="E54" s="111"/>
      <c r="F54" s="111"/>
      <c r="G54" s="111"/>
      <c r="H54" s="111"/>
      <c r="I54" s="111"/>
      <c r="J54" s="111"/>
      <c r="K54" s="111"/>
    </row>
    <row r="55" spans="1:20">
      <c r="A55" s="32"/>
      <c r="B55" s="27" t="s">
        <v>1</v>
      </c>
      <c r="C55" s="27"/>
      <c r="D55" s="106" t="s">
        <v>816</v>
      </c>
      <c r="E55" s="27"/>
      <c r="F55" s="27"/>
      <c r="G55" s="27"/>
      <c r="H55" s="27"/>
      <c r="I55" s="104"/>
      <c r="J55" s="140" t="str">
        <f>J3</f>
        <v xml:space="preserve">For the 12 months ended </v>
      </c>
      <c r="K55" s="893">
        <f>K3</f>
        <v>43830</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899"/>
      <c r="B58" s="899"/>
      <c r="C58" s="899"/>
      <c r="D58" s="899"/>
      <c r="E58" s="899"/>
      <c r="F58" s="899"/>
      <c r="G58" s="899"/>
      <c r="H58" s="899"/>
      <c r="I58" s="899"/>
      <c r="J58" s="899"/>
      <c r="K58" s="899"/>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5" thickBot="1">
      <c r="A62" s="330" t="s">
        <v>10</v>
      </c>
      <c r="B62" s="146" t="s">
        <v>356</v>
      </c>
      <c r="C62" s="25"/>
      <c r="D62" s="25"/>
      <c r="E62" s="25"/>
      <c r="F62" s="25"/>
      <c r="G62" s="25"/>
      <c r="H62" s="25"/>
      <c r="I62" s="25"/>
      <c r="J62" s="25"/>
      <c r="K62" s="25"/>
    </row>
    <row r="63" spans="1:20">
      <c r="A63" s="302"/>
      <c r="B63" s="27" t="s">
        <v>593</v>
      </c>
      <c r="C63" s="25" t="s">
        <v>405</v>
      </c>
      <c r="D63" s="25"/>
      <c r="E63" s="25"/>
      <c r="F63" s="25"/>
      <c r="G63" s="25"/>
      <c r="H63" s="25"/>
      <c r="I63" s="25"/>
      <c r="J63" s="25"/>
      <c r="K63" s="25"/>
    </row>
    <row r="64" spans="1:20">
      <c r="A64" s="302">
        <v>1</v>
      </c>
      <c r="B64" s="27" t="s">
        <v>262</v>
      </c>
      <c r="C64" s="40" t="s">
        <v>266</v>
      </c>
      <c r="D64" s="328">
        <v>0</v>
      </c>
      <c r="E64" s="25"/>
      <c r="F64" s="25" t="s">
        <v>21</v>
      </c>
      <c r="G64" s="169">
        <v>0</v>
      </c>
      <c r="H64" s="25"/>
      <c r="I64" s="15">
        <f>+G64*D64</f>
        <v>0</v>
      </c>
      <c r="J64" s="25"/>
      <c r="K64" s="25"/>
    </row>
    <row r="65" spans="1:11">
      <c r="A65" s="302">
        <f>+A64+1</f>
        <v>2</v>
      </c>
      <c r="B65" s="27" t="s">
        <v>22</v>
      </c>
      <c r="C65" s="40" t="s">
        <v>264</v>
      </c>
      <c r="D65" s="159">
        <f>'4- Rate Base'!C23</f>
        <v>35991551.483076923</v>
      </c>
      <c r="E65" s="25"/>
      <c r="F65" s="25" t="s">
        <v>15</v>
      </c>
      <c r="G65" s="168">
        <f>$I$188</f>
        <v>1</v>
      </c>
      <c r="H65" s="40"/>
      <c r="I65" s="15">
        <f>+G65*D65</f>
        <v>35991551.483076923</v>
      </c>
      <c r="J65" s="25"/>
      <c r="K65" s="25"/>
    </row>
    <row r="66" spans="1:11">
      <c r="A66" s="302">
        <f t="shared" ref="A66:A102" si="2">+A65+1</f>
        <v>3</v>
      </c>
      <c r="B66" s="27" t="s">
        <v>263</v>
      </c>
      <c r="C66" s="40" t="s">
        <v>267</v>
      </c>
      <c r="D66" s="328">
        <v>0</v>
      </c>
      <c r="E66" s="25"/>
      <c r="F66" s="25" t="s">
        <v>21</v>
      </c>
      <c r="G66" s="169">
        <v>0</v>
      </c>
      <c r="H66" s="40"/>
      <c r="I66" s="15">
        <f>+G66*D66</f>
        <v>0</v>
      </c>
      <c r="J66" s="25"/>
      <c r="K66" s="25"/>
    </row>
    <row r="67" spans="1:11" ht="13.5" thickBot="1">
      <c r="A67" s="302">
        <f t="shared" si="2"/>
        <v>4</v>
      </c>
      <c r="B67" s="27" t="s">
        <v>88</v>
      </c>
      <c r="C67" s="40" t="s">
        <v>265</v>
      </c>
      <c r="D67" s="149">
        <f>'4- Rate Base'!D23</f>
        <v>167095.92307692306</v>
      </c>
      <c r="E67" s="25"/>
      <c r="F67" s="25" t="s">
        <v>23</v>
      </c>
      <c r="G67" s="168">
        <f>$I$196</f>
        <v>1</v>
      </c>
      <c r="H67" s="40"/>
      <c r="I67" s="149">
        <f>+G67*D67</f>
        <v>167095.92307692306</v>
      </c>
      <c r="J67" s="25"/>
      <c r="K67" s="25"/>
    </row>
    <row r="68" spans="1:11">
      <c r="A68" s="302">
        <f t="shared" si="2"/>
        <v>5</v>
      </c>
      <c r="B68" s="24" t="s">
        <v>220</v>
      </c>
      <c r="C68" s="25" t="s">
        <v>552</v>
      </c>
      <c r="D68" s="409">
        <f>SUM(D64:D67)</f>
        <v>36158647.406153843</v>
      </c>
      <c r="E68" s="25"/>
      <c r="F68" s="25" t="s">
        <v>24</v>
      </c>
      <c r="G68" s="333">
        <f>IF(I68&gt;0,I68/D68,1)</f>
        <v>1</v>
      </c>
      <c r="H68" s="40"/>
      <c r="I68" s="409">
        <f>SUM(I64:I67)</f>
        <v>36158647.406153843</v>
      </c>
      <c r="J68" s="25"/>
      <c r="K68" s="151"/>
    </row>
    <row r="69" spans="1:11">
      <c r="A69" s="302"/>
      <c r="B69" s="27"/>
      <c r="C69" s="25"/>
      <c r="D69" s="15"/>
      <c r="E69" s="25"/>
      <c r="F69" s="25"/>
      <c r="G69" s="334"/>
      <c r="H69" s="25"/>
      <c r="I69" s="15"/>
      <c r="J69" s="25"/>
      <c r="K69" s="151"/>
    </row>
    <row r="70" spans="1:11">
      <c r="A70" s="302">
        <f>+A68+1</f>
        <v>6</v>
      </c>
      <c r="B70" s="27" t="s">
        <v>592</v>
      </c>
      <c r="C70" s="25" t="s">
        <v>405</v>
      </c>
      <c r="D70" s="15"/>
      <c r="E70" s="25"/>
      <c r="F70" s="25"/>
      <c r="G70" s="168"/>
      <c r="H70" s="25"/>
      <c r="I70" s="15"/>
      <c r="J70" s="25"/>
      <c r="K70" s="25"/>
    </row>
    <row r="71" spans="1:11">
      <c r="A71" s="302">
        <f t="shared" si="2"/>
        <v>7</v>
      </c>
      <c r="B71" s="27" t="s">
        <v>262</v>
      </c>
      <c r="C71" s="25" t="s">
        <v>268</v>
      </c>
      <c r="D71" s="147">
        <v>0</v>
      </c>
      <c r="E71" s="25"/>
      <c r="F71" s="25" t="s">
        <v>21</v>
      </c>
      <c r="G71" s="168">
        <v>0</v>
      </c>
      <c r="H71" s="25"/>
      <c r="I71" s="15">
        <f>+G71*D71</f>
        <v>0</v>
      </c>
      <c r="J71" s="25"/>
      <c r="K71" s="25"/>
    </row>
    <row r="72" spans="1:11">
      <c r="A72" s="302">
        <f t="shared" si="2"/>
        <v>8</v>
      </c>
      <c r="B72" s="27" t="s">
        <v>22</v>
      </c>
      <c r="C72" s="25" t="s">
        <v>270</v>
      </c>
      <c r="D72" s="159">
        <f>'4- Rate Base'!I23</f>
        <v>115612.64923076922</v>
      </c>
      <c r="E72" s="25"/>
      <c r="F72" s="25" t="s">
        <v>15</v>
      </c>
      <c r="G72" s="168">
        <f>$I$188</f>
        <v>1</v>
      </c>
      <c r="H72" s="40"/>
      <c r="I72" s="15">
        <f>+G72*D72</f>
        <v>115612.64923076922</v>
      </c>
      <c r="J72" s="25"/>
      <c r="K72" s="25"/>
    </row>
    <row r="73" spans="1:11">
      <c r="A73" s="302">
        <f t="shared" si="2"/>
        <v>9</v>
      </c>
      <c r="B73" s="27" t="s">
        <v>263</v>
      </c>
      <c r="C73" s="25" t="s">
        <v>269</v>
      </c>
      <c r="D73" s="328">
        <v>0</v>
      </c>
      <c r="E73" s="25"/>
      <c r="F73" s="25" t="s">
        <v>21</v>
      </c>
      <c r="G73" s="168">
        <f>+G66</f>
        <v>0</v>
      </c>
      <c r="H73" s="40"/>
      <c r="I73" s="159">
        <f>+G73*D73</f>
        <v>0</v>
      </c>
      <c r="J73" s="25"/>
      <c r="K73" s="25"/>
    </row>
    <row r="74" spans="1:11" ht="13.5" thickBot="1">
      <c r="A74" s="302">
        <f t="shared" si="2"/>
        <v>10</v>
      </c>
      <c r="B74" s="27" t="s">
        <v>88</v>
      </c>
      <c r="C74" s="25" t="s">
        <v>271</v>
      </c>
      <c r="D74" s="149">
        <f>'4- Rate Base'!J23</f>
        <v>17121.563846153844</v>
      </c>
      <c r="E74" s="25"/>
      <c r="F74" s="25" t="s">
        <v>23</v>
      </c>
      <c r="G74" s="168">
        <f>$I$196</f>
        <v>1</v>
      </c>
      <c r="H74" s="40"/>
      <c r="I74" s="149">
        <f>+G74*D74</f>
        <v>17121.563846153844</v>
      </c>
      <c r="J74" s="25"/>
      <c r="K74" s="25"/>
    </row>
    <row r="75" spans="1:11">
      <c r="A75" s="302">
        <f t="shared" si="2"/>
        <v>11</v>
      </c>
      <c r="B75" s="27" t="s">
        <v>221</v>
      </c>
      <c r="C75" s="25" t="s">
        <v>235</v>
      </c>
      <c r="D75" s="409">
        <f>SUM(D71:D74)</f>
        <v>132734.21307692307</v>
      </c>
      <c r="E75" s="25"/>
      <c r="F75" s="25"/>
      <c r="G75" s="23"/>
      <c r="H75" s="40"/>
      <c r="I75" s="409">
        <f>SUM(I71:I74)</f>
        <v>132734.21307692307</v>
      </c>
      <c r="J75" s="25"/>
      <c r="K75" s="25"/>
    </row>
    <row r="76" spans="1:11">
      <c r="A76" s="302"/>
      <c r="B76" s="32"/>
      <c r="C76" s="25" t="s">
        <v>2</v>
      </c>
      <c r="D76" s="15"/>
      <c r="E76" s="25"/>
      <c r="F76" s="25"/>
      <c r="G76" s="150"/>
      <c r="H76" s="25"/>
      <c r="I76" s="15"/>
      <c r="J76" s="25"/>
      <c r="K76" s="151"/>
    </row>
    <row r="77" spans="1:11">
      <c r="A77" s="302">
        <f>+A75+1</f>
        <v>12</v>
      </c>
      <c r="B77" s="27" t="s">
        <v>25</v>
      </c>
      <c r="C77" s="25"/>
      <c r="D77" s="15"/>
      <c r="E77" s="25"/>
      <c r="F77" s="25"/>
      <c r="G77" s="23"/>
      <c r="H77" s="25"/>
      <c r="I77" s="15"/>
      <c r="J77" s="25"/>
      <c r="K77" s="25"/>
    </row>
    <row r="78" spans="1:11">
      <c r="A78" s="302">
        <f t="shared" si="2"/>
        <v>13</v>
      </c>
      <c r="B78" s="27" t="s">
        <v>262</v>
      </c>
      <c r="C78" s="25" t="str">
        <f>"(line "&amp;A64&amp;" - line "&amp;A71&amp;")"</f>
        <v>(line 1 - line 7)</v>
      </c>
      <c r="D78" s="15">
        <f>D64-D71</f>
        <v>0</v>
      </c>
      <c r="E78" s="40"/>
      <c r="F78" s="40"/>
      <c r="G78" s="150"/>
      <c r="H78" s="40"/>
      <c r="I78" s="15">
        <f>I64-I71</f>
        <v>0</v>
      </c>
      <c r="J78" s="25"/>
      <c r="K78" s="151"/>
    </row>
    <row r="79" spans="1:11">
      <c r="A79" s="302">
        <f t="shared" si="2"/>
        <v>14</v>
      </c>
      <c r="B79" s="27" t="s">
        <v>22</v>
      </c>
      <c r="C79" s="25" t="str">
        <f>"(line "&amp;A65&amp;" - line "&amp;A72&amp;")"</f>
        <v>(line 2 - line 8)</v>
      </c>
      <c r="D79" s="15">
        <f>D65-D72</f>
        <v>35875938.833846152</v>
      </c>
      <c r="E79" s="40"/>
      <c r="F79" s="40"/>
      <c r="G79" s="23"/>
      <c r="H79" s="40"/>
      <c r="I79" s="15">
        <f>I65-I72</f>
        <v>35875938.833846152</v>
      </c>
      <c r="J79" s="25"/>
      <c r="K79" s="151"/>
    </row>
    <row r="80" spans="1:11">
      <c r="A80" s="302">
        <f t="shared" si="2"/>
        <v>15</v>
      </c>
      <c r="B80" s="27" t="s">
        <v>263</v>
      </c>
      <c r="C80" s="25" t="str">
        <f>"(line "&amp;A66&amp;" - line "&amp;A73&amp;")"</f>
        <v>(line 3 - line 9)</v>
      </c>
      <c r="D80" s="15">
        <f>D66-D73</f>
        <v>0</v>
      </c>
      <c r="E80" s="40"/>
      <c r="F80" s="40"/>
      <c r="G80" s="150"/>
      <c r="H80" s="40"/>
      <c r="I80" s="159">
        <f>I66-I73</f>
        <v>0</v>
      </c>
      <c r="J80" s="25"/>
      <c r="K80" s="151"/>
    </row>
    <row r="81" spans="1:11" ht="13.5" thickBot="1">
      <c r="A81" s="302">
        <f t="shared" si="2"/>
        <v>16</v>
      </c>
      <c r="B81" s="27" t="s">
        <v>88</v>
      </c>
      <c r="C81" s="25" t="str">
        <f>"(line "&amp;A67&amp;" - line "&amp;A74&amp;")"</f>
        <v>(line 4 - line 10)</v>
      </c>
      <c r="D81" s="149">
        <f>D67-D74</f>
        <v>149974.35923076922</v>
      </c>
      <c r="E81" s="40"/>
      <c r="F81" s="40"/>
      <c r="G81" s="150"/>
      <c r="H81" s="40"/>
      <c r="I81" s="149">
        <f>I67-I74</f>
        <v>149974.35923076922</v>
      </c>
      <c r="J81" s="25"/>
      <c r="K81" s="151"/>
    </row>
    <row r="82" spans="1:11">
      <c r="A82" s="302">
        <f t="shared" si="2"/>
        <v>17</v>
      </c>
      <c r="B82" s="27" t="s">
        <v>223</v>
      </c>
      <c r="C82" s="25" t="str">
        <f>"( Sum of line "&amp;A68&amp;" - line "&amp;A75&amp;")"</f>
        <v>( Sum of line 5 - line 11)</v>
      </c>
      <c r="D82" s="409">
        <f>SUM(D78:D81)</f>
        <v>36025913.193076923</v>
      </c>
      <c r="E82" s="40"/>
      <c r="F82" s="40" t="s">
        <v>26</v>
      </c>
      <c r="G82" s="333">
        <f>IF(I82&gt;0,I82/D82,1)</f>
        <v>1</v>
      </c>
      <c r="H82" s="40"/>
      <c r="I82" s="409">
        <f>SUM(I78:I81)</f>
        <v>36025913.193076923</v>
      </c>
      <c r="J82" s="25"/>
      <c r="K82" s="25"/>
    </row>
    <row r="83" spans="1:11">
      <c r="A83" s="302"/>
      <c r="B83" s="32"/>
      <c r="C83" s="25"/>
      <c r="D83" s="15"/>
      <c r="E83" s="25"/>
      <c r="F83" s="32"/>
      <c r="G83" s="484"/>
      <c r="H83" s="25"/>
      <c r="I83" s="15"/>
      <c r="J83" s="25"/>
      <c r="K83" s="151"/>
    </row>
    <row r="84" spans="1:11">
      <c r="A84" s="302">
        <f>+A82+1</f>
        <v>18</v>
      </c>
      <c r="B84" s="24" t="s">
        <v>272</v>
      </c>
      <c r="C84" s="25"/>
      <c r="D84" s="15"/>
      <c r="E84" s="25"/>
      <c r="F84" s="25"/>
      <c r="G84" s="484"/>
      <c r="H84" s="25"/>
      <c r="I84" s="15"/>
      <c r="J84" s="25"/>
      <c r="K84" s="25"/>
    </row>
    <row r="85" spans="1:11">
      <c r="A85" s="302">
        <f t="shared" si="2"/>
        <v>19</v>
      </c>
      <c r="B85" s="27" t="s">
        <v>89</v>
      </c>
      <c r="C85" s="25" t="s">
        <v>561</v>
      </c>
      <c r="D85" s="159">
        <f>-'4- Rate Base'!E42</f>
        <v>0</v>
      </c>
      <c r="E85" s="33"/>
      <c r="F85" s="33" t="s">
        <v>21</v>
      </c>
      <c r="G85" s="485" t="s">
        <v>110</v>
      </c>
      <c r="H85" s="40"/>
      <c r="I85" s="15">
        <v>0</v>
      </c>
      <c r="J85" s="25"/>
      <c r="K85" s="151"/>
    </row>
    <row r="86" spans="1:11">
      <c r="A86" s="302">
        <f t="shared" si="2"/>
        <v>20</v>
      </c>
      <c r="B86" s="27" t="s">
        <v>90</v>
      </c>
      <c r="C86" s="25" t="s">
        <v>562</v>
      </c>
      <c r="D86" s="45">
        <f>-'4- Rate Base'!F42</f>
        <v>-374751.86</v>
      </c>
      <c r="E86" s="25"/>
      <c r="F86" s="25" t="s">
        <v>27</v>
      </c>
      <c r="G86" s="168">
        <f>+$G$82</f>
        <v>1</v>
      </c>
      <c r="H86" s="40"/>
      <c r="I86" s="15">
        <f>D86*G86</f>
        <v>-374751.86</v>
      </c>
      <c r="J86" s="25"/>
      <c r="K86" s="151"/>
    </row>
    <row r="87" spans="1:11">
      <c r="A87" s="302">
        <f t="shared" si="2"/>
        <v>21</v>
      </c>
      <c r="B87" s="27" t="s">
        <v>91</v>
      </c>
      <c r="C87" s="25" t="s">
        <v>563</v>
      </c>
      <c r="D87" s="45">
        <f>-'4- Rate Base'!G42</f>
        <v>3260.1000000000004</v>
      </c>
      <c r="E87" s="25"/>
      <c r="F87" s="25" t="s">
        <v>27</v>
      </c>
      <c r="G87" s="168">
        <f>+$G$82</f>
        <v>1</v>
      </c>
      <c r="H87" s="40"/>
      <c r="I87" s="15">
        <f>D87*G87</f>
        <v>3260.1000000000004</v>
      </c>
      <c r="J87" s="25"/>
      <c r="K87" s="151"/>
    </row>
    <row r="88" spans="1:11">
      <c r="A88" s="302">
        <f t="shared" si="2"/>
        <v>22</v>
      </c>
      <c r="B88" s="27" t="s">
        <v>96</v>
      </c>
      <c r="C88" s="25" t="s">
        <v>564</v>
      </c>
      <c r="D88" s="45">
        <f>+'4- Rate Base'!H42</f>
        <v>53361.394999999997</v>
      </c>
      <c r="E88" s="25"/>
      <c r="F88" s="25" t="s">
        <v>27</v>
      </c>
      <c r="G88" s="168">
        <f>+$G$82</f>
        <v>1</v>
      </c>
      <c r="H88" s="40"/>
      <c r="I88" s="15">
        <f>D88*G88</f>
        <v>53361.394999999997</v>
      </c>
      <c r="J88" s="25"/>
      <c r="K88" s="151"/>
    </row>
    <row r="89" spans="1:11">
      <c r="A89" s="302">
        <f t="shared" si="2"/>
        <v>23</v>
      </c>
      <c r="B89" s="32" t="s">
        <v>92</v>
      </c>
      <c r="C89" s="32" t="s">
        <v>565</v>
      </c>
      <c r="D89" s="45">
        <f>-'4- Rate Base'!I42</f>
        <v>0</v>
      </c>
      <c r="E89" s="25"/>
      <c r="F89" s="25" t="s">
        <v>27</v>
      </c>
      <c r="G89" s="168">
        <f>+$G$82</f>
        <v>1</v>
      </c>
      <c r="H89" s="40"/>
      <c r="I89" s="38">
        <f>D89*G89</f>
        <v>0</v>
      </c>
      <c r="J89" s="25"/>
      <c r="K89" s="151"/>
    </row>
    <row r="90" spans="1:11" s="217" customFormat="1">
      <c r="A90" s="302">
        <f t="shared" si="2"/>
        <v>24</v>
      </c>
      <c r="B90" s="30" t="s">
        <v>408</v>
      </c>
      <c r="C90" s="30" t="s">
        <v>687</v>
      </c>
      <c r="D90" s="45">
        <f>+'4- Rate Base'!I73</f>
        <v>0</v>
      </c>
      <c r="E90" s="33"/>
      <c r="F90" s="33" t="s">
        <v>77</v>
      </c>
      <c r="G90" s="169">
        <f>G91</f>
        <v>1</v>
      </c>
      <c r="H90" s="160"/>
      <c r="I90" s="45">
        <f>+G90*D90</f>
        <v>0</v>
      </c>
      <c r="J90" s="33"/>
      <c r="K90" s="303"/>
    </row>
    <row r="91" spans="1:11">
      <c r="A91" s="302">
        <f t="shared" si="2"/>
        <v>25</v>
      </c>
      <c r="B91" s="130" t="s">
        <v>87</v>
      </c>
      <c r="C91" s="156" t="s">
        <v>206</v>
      </c>
      <c r="D91" s="45">
        <f>'4- Rate Base'!E23</f>
        <v>37212677.625384614</v>
      </c>
      <c r="E91" s="153"/>
      <c r="F91" s="154" t="str">
        <f>+F92</f>
        <v>DA</v>
      </c>
      <c r="G91" s="170">
        <v>1</v>
      </c>
      <c r="H91" s="153"/>
      <c r="I91" s="38">
        <f>+G91*D91</f>
        <v>37212677.625384614</v>
      </c>
      <c r="K91" s="151"/>
    </row>
    <row r="92" spans="1:11">
      <c r="A92" s="302">
        <f t="shared" si="2"/>
        <v>26</v>
      </c>
      <c r="B92" s="155" t="s">
        <v>104</v>
      </c>
      <c r="C92" s="156" t="s">
        <v>567</v>
      </c>
      <c r="D92" s="45">
        <f>+'4- Rate Base'!C42</f>
        <v>102582.93</v>
      </c>
      <c r="E92" s="154"/>
      <c r="F92" s="154" t="str">
        <f>+F93</f>
        <v>DA</v>
      </c>
      <c r="G92" s="170">
        <v>1</v>
      </c>
      <c r="H92" s="154"/>
      <c r="I92" s="38">
        <f>+G92*D92</f>
        <v>102582.93</v>
      </c>
      <c r="K92" s="151"/>
    </row>
    <row r="93" spans="1:11" ht="13.5" thickBot="1">
      <c r="A93" s="302">
        <f t="shared" si="2"/>
        <v>27</v>
      </c>
      <c r="B93" s="155" t="s">
        <v>105</v>
      </c>
      <c r="C93" s="156" t="s">
        <v>568</v>
      </c>
      <c r="D93" s="171">
        <f>+'4- Rate Base'!D42</f>
        <v>0</v>
      </c>
      <c r="E93" s="153"/>
      <c r="F93" s="153" t="s">
        <v>77</v>
      </c>
      <c r="G93" s="332">
        <v>1</v>
      </c>
      <c r="H93" s="153"/>
      <c r="I93" s="149">
        <f>+G93*D93</f>
        <v>0</v>
      </c>
      <c r="K93" s="151"/>
    </row>
    <row r="94" spans="1:11">
      <c r="A94" s="302">
        <f t="shared" si="2"/>
        <v>28</v>
      </c>
      <c r="B94" s="27" t="s">
        <v>222</v>
      </c>
      <c r="C94" s="25" t="str">
        <f>"( Sum of line "&amp;A85&amp;" - line "&amp;A93&amp;")"</f>
        <v>( Sum of line 19 - line 27)</v>
      </c>
      <c r="D94" s="15">
        <f>SUM(D85:D93)</f>
        <v>36997130.190384611</v>
      </c>
      <c r="E94" s="25"/>
      <c r="F94" s="25"/>
      <c r="G94" s="486"/>
      <c r="H94" s="40"/>
      <c r="I94" s="15">
        <f>SUM(I85:I93)</f>
        <v>36997130.190384611</v>
      </c>
      <c r="J94" s="25"/>
      <c r="K94" s="25"/>
    </row>
    <row r="95" spans="1:11">
      <c r="A95" s="302"/>
      <c r="B95" s="32"/>
      <c r="C95" s="25"/>
      <c r="D95" s="15"/>
      <c r="E95" s="25"/>
      <c r="F95" s="25"/>
      <c r="G95" s="332"/>
      <c r="H95" s="25"/>
      <c r="I95" s="15"/>
      <c r="J95" s="25"/>
      <c r="K95" s="151"/>
    </row>
    <row r="96" spans="1:11">
      <c r="A96" s="302">
        <f>+A94+1</f>
        <v>29</v>
      </c>
      <c r="B96" s="24" t="s">
        <v>752</v>
      </c>
      <c r="C96" s="158" t="s">
        <v>569</v>
      </c>
      <c r="D96" s="159">
        <f>+'4- Rate Base'!F23</f>
        <v>0</v>
      </c>
      <c r="E96" s="25"/>
      <c r="F96" s="25" t="s">
        <v>15</v>
      </c>
      <c r="G96" s="168">
        <f>$I$188</f>
        <v>1</v>
      </c>
      <c r="H96" s="40"/>
      <c r="I96" s="15">
        <f>+G96*D96</f>
        <v>0</v>
      </c>
      <c r="J96" s="25"/>
      <c r="K96" s="25"/>
    </row>
    <row r="97" spans="1:11">
      <c r="A97" s="302"/>
      <c r="B97" s="27"/>
      <c r="C97" s="25"/>
      <c r="D97" s="15"/>
      <c r="E97" s="25"/>
      <c r="F97" s="25"/>
      <c r="G97" s="332"/>
      <c r="H97" s="40"/>
      <c r="I97" s="15"/>
      <c r="J97" s="25"/>
      <c r="K97" s="25"/>
    </row>
    <row r="98" spans="1:11">
      <c r="A98" s="302">
        <f>+A96+1</f>
        <v>30</v>
      </c>
      <c r="B98" s="27" t="s">
        <v>591</v>
      </c>
      <c r="C98" s="25" t="s">
        <v>590</v>
      </c>
      <c r="D98" s="15"/>
      <c r="E98" s="25"/>
      <c r="F98" s="25"/>
      <c r="G98" s="332"/>
      <c r="H98" s="40"/>
      <c r="I98" s="15"/>
      <c r="J98" s="25"/>
      <c r="K98" s="25"/>
    </row>
    <row r="99" spans="1:11">
      <c r="A99" s="302">
        <f t="shared" si="2"/>
        <v>31</v>
      </c>
      <c r="B99" s="27" t="s">
        <v>709</v>
      </c>
      <c r="C99" s="32" t="s">
        <v>627</v>
      </c>
      <c r="D99" s="159">
        <f>(D133-D130)/8</f>
        <v>43528.080004151394</v>
      </c>
      <c r="E99" s="33"/>
      <c r="F99" s="33"/>
      <c r="G99" s="332"/>
      <c r="H99" s="160"/>
      <c r="I99" s="159">
        <f>(I133-I130)/8</f>
        <v>43528.080004151394</v>
      </c>
      <c r="J99" s="111"/>
      <c r="K99" s="151"/>
    </row>
    <row r="100" spans="1:11">
      <c r="A100" s="302">
        <f t="shared" si="2"/>
        <v>32</v>
      </c>
      <c r="B100" s="27" t="s">
        <v>168</v>
      </c>
      <c r="C100" s="158" t="s">
        <v>571</v>
      </c>
      <c r="D100" s="159">
        <f>+'4- Rate Base'!G23</f>
        <v>0</v>
      </c>
      <c r="E100" s="25"/>
      <c r="F100" s="25" t="s">
        <v>15</v>
      </c>
      <c r="G100" s="168">
        <f>$I$188</f>
        <v>1</v>
      </c>
      <c r="H100" s="40"/>
      <c r="I100" s="15">
        <f>+G100*D100</f>
        <v>0</v>
      </c>
      <c r="J100" s="25" t="s">
        <v>2</v>
      </c>
      <c r="K100" s="151"/>
    </row>
    <row r="101" spans="1:11" ht="13.5" thickBot="1">
      <c r="A101" s="106">
        <f t="shared" si="2"/>
        <v>33</v>
      </c>
      <c r="B101" s="27" t="s">
        <v>93</v>
      </c>
      <c r="C101" s="40" t="s">
        <v>273</v>
      </c>
      <c r="D101" s="171">
        <f>+'4- Rate Base'!H23</f>
        <v>80604.251538461554</v>
      </c>
      <c r="E101" s="25"/>
      <c r="F101" s="25" t="s">
        <v>28</v>
      </c>
      <c r="G101" s="332">
        <f>+$G$68</f>
        <v>1</v>
      </c>
      <c r="H101" s="40"/>
      <c r="I101" s="149">
        <f>+G101*D101</f>
        <v>80604.251538461554</v>
      </c>
      <c r="J101" s="25"/>
      <c r="K101" s="151"/>
    </row>
    <row r="102" spans="1:11">
      <c r="A102" s="106">
        <f t="shared" si="2"/>
        <v>34</v>
      </c>
      <c r="B102" s="27" t="s">
        <v>225</v>
      </c>
      <c r="C102" s="25" t="str">
        <f>"( Sum of line "&amp;A99&amp;" - line "&amp;A101&amp;")"</f>
        <v>( Sum of line 31 - line 33)</v>
      </c>
      <c r="D102" s="15">
        <f>SUM(D99:D101)</f>
        <v>124132.33154261296</v>
      </c>
      <c r="E102" s="111"/>
      <c r="F102" s="111"/>
      <c r="G102" s="157"/>
      <c r="H102" s="161"/>
      <c r="I102" s="15">
        <f>I99+I100+I101</f>
        <v>124132.33154261296</v>
      </c>
      <c r="J102" s="111"/>
      <c r="K102" s="111"/>
    </row>
    <row r="103" spans="1:11" ht="13.5" thickBot="1">
      <c r="A103" s="106"/>
      <c r="B103" s="32"/>
      <c r="C103" s="25"/>
      <c r="D103" s="149"/>
      <c r="E103" s="25"/>
      <c r="F103" s="25"/>
      <c r="G103" s="25"/>
      <c r="H103" s="25"/>
      <c r="I103" s="149"/>
      <c r="J103" s="25"/>
      <c r="K103" s="25"/>
    </row>
    <row r="104" spans="1:11" ht="13.5" thickBot="1">
      <c r="A104" s="106">
        <f>+A102+1</f>
        <v>35</v>
      </c>
      <c r="B104" s="27" t="s">
        <v>226</v>
      </c>
      <c r="C104" s="25" t="str">
        <f>"( Sum of line "&amp;A82&amp;", "&amp;A94&amp;", "&amp;A96&amp;", "&amp;A102&amp;")"</f>
        <v>( Sum of line 17, 28, 29, 34)</v>
      </c>
      <c r="D104" s="162">
        <f>+D102+D96+D94+D82</f>
        <v>73147175.715004146</v>
      </c>
      <c r="E104" s="40"/>
      <c r="F104" s="40"/>
      <c r="G104" s="163"/>
      <c r="H104" s="40"/>
      <c r="I104" s="162">
        <f>+I102+I96+I94+I82</f>
        <v>73147175.715004146</v>
      </c>
      <c r="J104" s="25"/>
      <c r="K104" s="151"/>
    </row>
    <row r="105" spans="1:11" ht="13.5" thickTop="1">
      <c r="A105" s="106"/>
      <c r="B105" s="27"/>
      <c r="C105" s="25"/>
      <c r="D105" s="164"/>
      <c r="E105" s="40"/>
      <c r="F105" s="40"/>
      <c r="G105" s="163"/>
      <c r="H105" s="40"/>
      <c r="I105" s="164"/>
      <c r="J105" s="25"/>
      <c r="K105" s="151"/>
    </row>
    <row r="106" spans="1:11">
      <c r="A106" s="106"/>
      <c r="B106" s="27"/>
      <c r="C106" s="25"/>
      <c r="D106" s="164"/>
      <c r="E106" s="40"/>
      <c r="F106" s="40"/>
      <c r="G106" s="163"/>
      <c r="H106" s="40"/>
      <c r="I106" s="164"/>
      <c r="J106" s="25"/>
      <c r="K106" s="151"/>
    </row>
    <row r="107" spans="1:11">
      <c r="A107" s="106"/>
      <c r="B107" s="27"/>
      <c r="C107" s="25"/>
      <c r="D107" s="25"/>
      <c r="E107" s="25"/>
      <c r="F107" s="25"/>
      <c r="G107" s="25"/>
      <c r="H107" s="25"/>
      <c r="I107" s="25"/>
      <c r="J107" s="25"/>
      <c r="K107" s="165" t="s">
        <v>710</v>
      </c>
    </row>
    <row r="108" spans="1:11">
      <c r="A108" s="106"/>
      <c r="B108" s="27"/>
      <c r="C108" s="25"/>
      <c r="D108" s="25"/>
      <c r="E108" s="25"/>
      <c r="F108" s="25"/>
      <c r="G108" s="25"/>
      <c r="H108" s="25"/>
      <c r="I108" s="25"/>
      <c r="J108" s="25"/>
      <c r="K108" s="165"/>
    </row>
    <row r="109" spans="1:11">
      <c r="A109" s="106"/>
      <c r="B109" s="27" t="s">
        <v>1</v>
      </c>
      <c r="C109" s="25"/>
      <c r="D109" s="106" t="s">
        <v>816</v>
      </c>
      <c r="E109" s="25"/>
      <c r="F109" s="25"/>
      <c r="G109" s="25"/>
      <c r="H109" s="25"/>
      <c r="I109" s="104"/>
      <c r="J109" s="165" t="str">
        <f>J3</f>
        <v xml:space="preserve">For the 12 months ended </v>
      </c>
      <c r="K109" s="893">
        <f>K3</f>
        <v>43830</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900"/>
      <c r="B112" s="900"/>
      <c r="C112" s="900"/>
      <c r="D112" s="900"/>
      <c r="E112" s="900"/>
      <c r="F112" s="900"/>
      <c r="G112" s="900"/>
      <c r="H112" s="900"/>
      <c r="I112" s="900"/>
      <c r="J112" s="900"/>
      <c r="K112" s="900"/>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5"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25"/>
      <c r="F116" s="25"/>
      <c r="G116" s="25"/>
      <c r="H116" s="25"/>
      <c r="I116" s="25"/>
      <c r="J116" s="25"/>
      <c r="K116" s="25"/>
    </row>
    <row r="117" spans="1:11">
      <c r="A117" s="106">
        <v>1</v>
      </c>
      <c r="B117" s="27" t="s">
        <v>29</v>
      </c>
      <c r="C117" s="25" t="s">
        <v>469</v>
      </c>
      <c r="D117" s="328">
        <v>335254.92999999993</v>
      </c>
      <c r="E117" s="25"/>
      <c r="F117" s="25" t="s">
        <v>15</v>
      </c>
      <c r="G117" s="168">
        <f>$I$188</f>
        <v>1</v>
      </c>
      <c r="H117" s="40"/>
      <c r="I117" s="15">
        <f t="shared" ref="I117:I128" si="3">+G117*D117</f>
        <v>335254.92999999993</v>
      </c>
      <c r="J117" s="111"/>
      <c r="K117" s="25"/>
    </row>
    <row r="118" spans="1:11">
      <c r="A118" s="125">
        <f>+A117+1</f>
        <v>2</v>
      </c>
      <c r="B118" s="166" t="s">
        <v>98</v>
      </c>
      <c r="C118" s="25" t="s">
        <v>471</v>
      </c>
      <c r="D118" s="328">
        <v>213440.59</v>
      </c>
      <c r="E118" s="156"/>
      <c r="F118" s="156" t="str">
        <f>+F117</f>
        <v>TP</v>
      </c>
      <c r="G118" s="168">
        <f>$I$188</f>
        <v>1</v>
      </c>
      <c r="H118" s="156"/>
      <c r="I118" s="159">
        <f>+G118*D118</f>
        <v>213440.59</v>
      </c>
      <c r="K118" s="25"/>
    </row>
    <row r="119" spans="1:11">
      <c r="A119" s="125">
        <f t="shared" ref="A119:A165" si="4">+A118+1</f>
        <v>3</v>
      </c>
      <c r="B119" s="36" t="s">
        <v>30</v>
      </c>
      <c r="C119" s="25" t="s">
        <v>472</v>
      </c>
      <c r="D119" s="328">
        <v>0</v>
      </c>
      <c r="E119" s="25"/>
      <c r="F119" s="25" t="str">
        <f>+F118</f>
        <v>TP</v>
      </c>
      <c r="G119" s="168">
        <f>$I$188</f>
        <v>1</v>
      </c>
      <c r="H119" s="40"/>
      <c r="I119" s="15">
        <f t="shared" si="3"/>
        <v>0</v>
      </c>
      <c r="J119" s="111"/>
      <c r="K119" s="25"/>
    </row>
    <row r="120" spans="1:11">
      <c r="A120" s="329">
        <f t="shared" si="4"/>
        <v>4</v>
      </c>
      <c r="B120" s="27" t="s">
        <v>31</v>
      </c>
      <c r="C120" s="25" t="s">
        <v>473</v>
      </c>
      <c r="D120" s="328">
        <v>87103.563000000009</v>
      </c>
      <c r="E120" s="25"/>
      <c r="F120" s="25" t="s">
        <v>23</v>
      </c>
      <c r="G120" s="168">
        <f t="shared" ref="G120:G125" si="5">$I$196</f>
        <v>1</v>
      </c>
      <c r="H120" s="40"/>
      <c r="I120" s="15">
        <f t="shared" si="3"/>
        <v>87103.563000000009</v>
      </c>
      <c r="J120" s="25"/>
      <c r="K120" s="25" t="s">
        <v>2</v>
      </c>
    </row>
    <row r="121" spans="1:11">
      <c r="A121" s="329">
        <f t="shared" si="4"/>
        <v>5</v>
      </c>
      <c r="B121" s="27" t="s">
        <v>111</v>
      </c>
      <c r="C121" s="25" t="s">
        <v>575</v>
      </c>
      <c r="D121" s="328">
        <v>0</v>
      </c>
      <c r="E121" s="25"/>
      <c r="F121" s="25" t="s">
        <v>23</v>
      </c>
      <c r="G121" s="168">
        <f t="shared" si="5"/>
        <v>1</v>
      </c>
      <c r="H121" s="40"/>
      <c r="I121" s="15">
        <f t="shared" si="3"/>
        <v>0</v>
      </c>
      <c r="J121" s="25"/>
      <c r="K121" s="25"/>
    </row>
    <row r="122" spans="1:11">
      <c r="A122" s="329">
        <f t="shared" si="4"/>
        <v>6</v>
      </c>
      <c r="B122" s="36" t="s">
        <v>621</v>
      </c>
      <c r="C122" s="25" t="s">
        <v>572</v>
      </c>
      <c r="D122" s="328">
        <v>117</v>
      </c>
      <c r="E122" s="25"/>
      <c r="F122" s="25" t="s">
        <v>23</v>
      </c>
      <c r="G122" s="168">
        <f t="shared" si="5"/>
        <v>1</v>
      </c>
      <c r="H122" s="40"/>
      <c r="I122" s="15">
        <f t="shared" si="3"/>
        <v>117</v>
      </c>
      <c r="J122" s="25"/>
      <c r="K122" s="25"/>
    </row>
    <row r="123" spans="1:11" s="324" customFormat="1">
      <c r="A123" s="329">
        <f t="shared" si="4"/>
        <v>7</v>
      </c>
      <c r="B123" s="36" t="s">
        <v>623</v>
      </c>
      <c r="C123" s="25" t="s">
        <v>572</v>
      </c>
      <c r="D123" s="328">
        <v>9281.6600000000017</v>
      </c>
      <c r="E123" s="25"/>
      <c r="F123" s="25" t="s">
        <v>23</v>
      </c>
      <c r="G123" s="168">
        <f t="shared" si="5"/>
        <v>1</v>
      </c>
      <c r="H123" s="40"/>
      <c r="I123" s="409">
        <f t="shared" ref="I123:I124" si="6">+G123*D123</f>
        <v>9281.6600000000017</v>
      </c>
      <c r="J123" s="25"/>
      <c r="K123" s="25"/>
    </row>
    <row r="124" spans="1:11" s="324" customFormat="1">
      <c r="A124" s="329">
        <f t="shared" si="4"/>
        <v>8</v>
      </c>
      <c r="B124" s="36" t="s">
        <v>622</v>
      </c>
      <c r="C124" s="25" t="s">
        <v>572</v>
      </c>
      <c r="D124" s="328">
        <v>15.23</v>
      </c>
      <c r="E124" s="25"/>
      <c r="F124" s="25" t="s">
        <v>23</v>
      </c>
      <c r="G124" s="168">
        <f t="shared" si="5"/>
        <v>1</v>
      </c>
      <c r="H124" s="40"/>
      <c r="I124" s="409">
        <f t="shared" si="6"/>
        <v>15.23</v>
      </c>
      <c r="J124" s="25"/>
      <c r="K124" s="25"/>
    </row>
    <row r="125" spans="1:11" s="12" customFormat="1">
      <c r="A125" s="329">
        <f t="shared" si="4"/>
        <v>9</v>
      </c>
      <c r="B125" s="36" t="s">
        <v>470</v>
      </c>
      <c r="C125" s="33" t="s">
        <v>580</v>
      </c>
      <c r="D125" s="174">
        <f>+'7 - PBOP'!F18</f>
        <v>0</v>
      </c>
      <c r="E125" s="100"/>
      <c r="F125" s="25" t="s">
        <v>23</v>
      </c>
      <c r="G125" s="168">
        <f t="shared" si="5"/>
        <v>1</v>
      </c>
      <c r="H125" s="40"/>
      <c r="I125" s="15">
        <f>+G125*D125</f>
        <v>0</v>
      </c>
      <c r="J125" s="100"/>
      <c r="K125" s="100"/>
    </row>
    <row r="126" spans="1:11">
      <c r="A126" s="329">
        <f t="shared" si="4"/>
        <v>10</v>
      </c>
      <c r="B126" s="36" t="s">
        <v>217</v>
      </c>
      <c r="C126" s="25" t="s">
        <v>573</v>
      </c>
      <c r="D126" s="328">
        <v>9274.2100000000009</v>
      </c>
      <c r="E126" s="25"/>
      <c r="F126" s="167" t="s">
        <v>15</v>
      </c>
      <c r="G126" s="168">
        <f>$I$188</f>
        <v>1</v>
      </c>
      <c r="H126" s="40"/>
      <c r="I126" s="15">
        <f t="shared" si="3"/>
        <v>9274.2100000000009</v>
      </c>
      <c r="J126" s="25"/>
      <c r="K126" s="25"/>
    </row>
    <row r="127" spans="1:11" s="12" customFormat="1">
      <c r="A127" s="329">
        <f t="shared" si="4"/>
        <v>11</v>
      </c>
      <c r="B127" s="36" t="s">
        <v>213</v>
      </c>
      <c r="C127" s="33" t="s">
        <v>360</v>
      </c>
      <c r="D127" s="174">
        <f>+'7 - PBOP'!F15</f>
        <v>-5605.6729667887666</v>
      </c>
      <c r="E127" s="100"/>
      <c r="F127" s="25" t="s">
        <v>23</v>
      </c>
      <c r="G127" s="168">
        <f>$I$196</f>
        <v>1</v>
      </c>
      <c r="H127" s="40"/>
      <c r="I127" s="15">
        <f>+G127*D127</f>
        <v>-5605.6729667887666</v>
      </c>
      <c r="J127" s="100"/>
      <c r="K127" s="100"/>
    </row>
    <row r="128" spans="1:11" s="516" customFormat="1">
      <c r="A128" s="517">
        <f t="shared" si="4"/>
        <v>12</v>
      </c>
      <c r="B128" s="512" t="s">
        <v>629</v>
      </c>
      <c r="C128" s="511" t="s">
        <v>643</v>
      </c>
      <c r="D128" s="513">
        <v>0</v>
      </c>
      <c r="E128" s="511"/>
      <c r="F128" s="511" t="str">
        <f>+F130</f>
        <v>DA</v>
      </c>
      <c r="G128" s="515">
        <v>1</v>
      </c>
      <c r="H128" s="514"/>
      <c r="I128" s="513">
        <f t="shared" si="3"/>
        <v>0</v>
      </c>
      <c r="J128" s="511"/>
      <c r="K128" s="511"/>
    </row>
    <row r="129" spans="1:11">
      <c r="A129" s="329">
        <f t="shared" si="4"/>
        <v>13</v>
      </c>
      <c r="B129" s="166" t="s">
        <v>99</v>
      </c>
      <c r="C129" s="156"/>
      <c r="D129" s="45"/>
      <c r="E129" s="156"/>
      <c r="F129" s="156"/>
      <c r="G129" s="169"/>
      <c r="H129" s="156"/>
      <c r="I129" s="45"/>
      <c r="K129" s="25"/>
    </row>
    <row r="130" spans="1:11">
      <c r="A130" s="329">
        <f t="shared" si="4"/>
        <v>14</v>
      </c>
      <c r="B130" s="166" t="s">
        <v>582</v>
      </c>
      <c r="C130" s="156" t="s">
        <v>581</v>
      </c>
      <c r="D130" s="328">
        <v>68388.5</v>
      </c>
      <c r="E130" s="154"/>
      <c r="F130" s="154" t="s">
        <v>77</v>
      </c>
      <c r="G130" s="170">
        <v>1</v>
      </c>
      <c r="H130" s="154"/>
      <c r="I130" s="45">
        <f>+G130*D130</f>
        <v>68388.5</v>
      </c>
      <c r="K130" s="25"/>
    </row>
    <row r="131" spans="1:11">
      <c r="A131" s="329">
        <f t="shared" si="4"/>
        <v>15</v>
      </c>
      <c r="B131" s="509" t="s">
        <v>626</v>
      </c>
      <c r="C131" s="25"/>
      <c r="D131" s="328">
        <v>145052.09</v>
      </c>
      <c r="E131" s="154"/>
      <c r="F131" s="154" t="s">
        <v>15</v>
      </c>
      <c r="G131" s="168">
        <f>$I$188</f>
        <v>1</v>
      </c>
      <c r="H131" s="154"/>
      <c r="I131" s="45">
        <f>+G131*D131</f>
        <v>145052.09</v>
      </c>
      <c r="K131" s="25"/>
    </row>
    <row r="132" spans="1:11" ht="13.5" thickBot="1">
      <c r="A132" s="329">
        <f t="shared" si="4"/>
        <v>16</v>
      </c>
      <c r="B132" s="166" t="s">
        <v>100</v>
      </c>
      <c r="C132" s="156" t="str">
        <f>"( Sum of line "&amp;A130&amp;" - line "&amp;A131&amp;")"" Ties to 321.97b"</f>
        <v>( Sum of line 14 - line 15)" Ties to 321.97b</v>
      </c>
      <c r="D132" s="171">
        <f>SUM(D130:D131)</f>
        <v>213440.59</v>
      </c>
      <c r="E132" s="154"/>
      <c r="F132" s="154"/>
      <c r="G132" s="170"/>
      <c r="H132" s="154"/>
      <c r="I132" s="171">
        <f>SUM(I130:I131)</f>
        <v>213440.59</v>
      </c>
      <c r="K132" s="25"/>
    </row>
    <row r="133" spans="1:11">
      <c r="A133" s="329">
        <f t="shared" si="4"/>
        <v>17</v>
      </c>
      <c r="B133" s="172" t="s">
        <v>227</v>
      </c>
      <c r="C133" s="101" t="s">
        <v>625</v>
      </c>
      <c r="D133" s="15">
        <f>+D117-D118-D119+D120-D121-D122-D123-D124-D125+D126+D127+D128+D132</f>
        <v>416613.14003321115</v>
      </c>
      <c r="E133" s="15"/>
      <c r="F133" s="15"/>
      <c r="G133" s="15"/>
      <c r="H133" s="15"/>
      <c r="I133" s="409">
        <f>+I117-I118-I119+I120-I121-I122-I123-I124-I125+I126+I127+I128+I132</f>
        <v>416613.14003321115</v>
      </c>
      <c r="J133" s="25"/>
      <c r="K133" s="25"/>
    </row>
    <row r="134" spans="1:11">
      <c r="A134" s="329"/>
      <c r="B134" s="32"/>
      <c r="C134" s="25"/>
      <c r="D134" s="15"/>
      <c r="E134" s="15"/>
      <c r="F134" s="15"/>
      <c r="G134" s="15"/>
      <c r="H134" s="15"/>
      <c r="I134" s="15"/>
      <c r="J134" s="25"/>
      <c r="K134" s="25"/>
    </row>
    <row r="135" spans="1:11">
      <c r="A135" s="329">
        <f>+A133+1</f>
        <v>18</v>
      </c>
      <c r="B135" s="27" t="s">
        <v>589</v>
      </c>
      <c r="C135" s="25" t="s">
        <v>405</v>
      </c>
      <c r="D135" s="15"/>
      <c r="E135" s="15"/>
      <c r="F135" s="15"/>
      <c r="G135" s="15"/>
      <c r="H135" s="15"/>
      <c r="I135" s="15"/>
      <c r="J135" s="25"/>
      <c r="K135" s="25"/>
    </row>
    <row r="136" spans="1:11">
      <c r="A136" s="329">
        <f t="shared" si="4"/>
        <v>19</v>
      </c>
      <c r="B136" s="27" t="s">
        <v>29</v>
      </c>
      <c r="C136" s="158" t="s">
        <v>474</v>
      </c>
      <c r="D136" s="841">
        <v>506329.04000000004</v>
      </c>
      <c r="E136" s="15"/>
      <c r="F136" s="15" t="s">
        <v>15</v>
      </c>
      <c r="G136" s="168">
        <f>$I$188</f>
        <v>1</v>
      </c>
      <c r="H136" s="15"/>
      <c r="I136" s="15">
        <f>+G136*D136</f>
        <v>506329.04000000004</v>
      </c>
      <c r="J136" s="25"/>
      <c r="K136" s="151"/>
    </row>
    <row r="137" spans="1:11">
      <c r="A137" s="329">
        <f t="shared" si="4"/>
        <v>20</v>
      </c>
      <c r="B137" s="173" t="s">
        <v>88</v>
      </c>
      <c r="C137" s="158" t="s">
        <v>475</v>
      </c>
      <c r="D137" s="841">
        <v>31007.32</v>
      </c>
      <c r="E137" s="15"/>
      <c r="F137" s="15" t="s">
        <v>23</v>
      </c>
      <c r="G137" s="168">
        <f>$I$196</f>
        <v>1</v>
      </c>
      <c r="H137" s="15"/>
      <c r="I137" s="15">
        <f>+G137*D137</f>
        <v>31007.32</v>
      </c>
      <c r="J137" s="25"/>
      <c r="K137" s="151"/>
    </row>
    <row r="138" spans="1:11" ht="13.5" thickBot="1">
      <c r="A138" s="329">
        <f t="shared" si="4"/>
        <v>21</v>
      </c>
      <c r="B138" s="166" t="s">
        <v>94</v>
      </c>
      <c r="C138" s="33" t="s">
        <v>583</v>
      </c>
      <c r="D138" s="884">
        <v>0</v>
      </c>
      <c r="E138" s="15"/>
      <c r="F138" s="15" t="s">
        <v>77</v>
      </c>
      <c r="G138" s="168">
        <v>1</v>
      </c>
      <c r="H138" s="15"/>
      <c r="I138" s="149">
        <f>+G138*D138</f>
        <v>0</v>
      </c>
      <c r="J138" s="25"/>
      <c r="K138" s="151"/>
    </row>
    <row r="139" spans="1:11">
      <c r="A139" s="329">
        <f t="shared" si="4"/>
        <v>22</v>
      </c>
      <c r="B139" s="27" t="s">
        <v>218</v>
      </c>
      <c r="C139" s="25" t="str">
        <f>"( Sum of line "&amp;A136&amp;" - line "&amp;A138&amp;")"</f>
        <v>( Sum of line 19 - line 21)</v>
      </c>
      <c r="D139" s="409">
        <f>SUM(D136:D138)</f>
        <v>537336.36</v>
      </c>
      <c r="E139" s="15"/>
      <c r="F139" s="15"/>
      <c r="G139" s="168"/>
      <c r="H139" s="15"/>
      <c r="I139" s="15">
        <f>SUM(I136:I138)</f>
        <v>537336.36</v>
      </c>
      <c r="J139" s="25"/>
      <c r="K139" s="25"/>
    </row>
    <row r="140" spans="1:11">
      <c r="A140" s="329"/>
      <c r="B140" s="27"/>
      <c r="C140" s="25"/>
      <c r="D140" s="15"/>
      <c r="E140" s="15"/>
      <c r="F140" s="15"/>
      <c r="G140" s="168"/>
      <c r="H140" s="15"/>
      <c r="I140" s="15"/>
      <c r="J140" s="25"/>
      <c r="K140" s="25"/>
    </row>
    <row r="141" spans="1:11">
      <c r="A141" s="329">
        <f>+A139+1</f>
        <v>23</v>
      </c>
      <c r="B141" s="27" t="s">
        <v>585</v>
      </c>
      <c r="C141" s="30"/>
      <c r="D141" s="15"/>
      <c r="E141" s="15"/>
      <c r="F141" s="15"/>
      <c r="G141" s="168"/>
      <c r="H141" s="15"/>
      <c r="I141" s="15"/>
      <c r="J141" s="25"/>
      <c r="K141" s="25"/>
    </row>
    <row r="142" spans="1:11">
      <c r="A142" s="329">
        <f t="shared" si="4"/>
        <v>24</v>
      </c>
      <c r="B142" s="27" t="s">
        <v>32</v>
      </c>
      <c r="C142" s="32"/>
      <c r="D142" s="15"/>
      <c r="E142" s="15"/>
      <c r="F142" s="15"/>
      <c r="G142" s="168"/>
      <c r="H142" s="15"/>
      <c r="I142" s="15"/>
      <c r="J142" s="25"/>
      <c r="K142" s="151"/>
    </row>
    <row r="143" spans="1:11">
      <c r="A143" s="329">
        <f t="shared" si="4"/>
        <v>25</v>
      </c>
      <c r="B143" s="27" t="s">
        <v>33</v>
      </c>
      <c r="C143" s="158" t="s">
        <v>647</v>
      </c>
      <c r="D143" s="841">
        <v>0</v>
      </c>
      <c r="E143" s="15"/>
      <c r="F143" s="15" t="s">
        <v>23</v>
      </c>
      <c r="G143" s="168">
        <f>$I$196</f>
        <v>1</v>
      </c>
      <c r="H143" s="15"/>
      <c r="I143" s="15">
        <f>+G143*D143</f>
        <v>0</v>
      </c>
      <c r="J143" s="25"/>
      <c r="K143" s="151"/>
    </row>
    <row r="144" spans="1:11">
      <c r="A144" s="329">
        <f t="shared" si="4"/>
        <v>26</v>
      </c>
      <c r="B144" s="27" t="s">
        <v>34</v>
      </c>
      <c r="C144" s="158" t="s">
        <v>647</v>
      </c>
      <c r="D144" s="841">
        <v>0</v>
      </c>
      <c r="E144" s="15"/>
      <c r="F144" s="15" t="s">
        <v>23</v>
      </c>
      <c r="G144" s="168">
        <f>$I$196</f>
        <v>1</v>
      </c>
      <c r="H144" s="15"/>
      <c r="I144" s="15">
        <f>+G144*D144</f>
        <v>0</v>
      </c>
      <c r="J144" s="25"/>
      <c r="K144" s="151"/>
    </row>
    <row r="145" spans="1:11">
      <c r="A145" s="329">
        <f t="shared" si="4"/>
        <v>27</v>
      </c>
      <c r="B145" s="27" t="s">
        <v>35</v>
      </c>
      <c r="C145" s="158" t="s">
        <v>2</v>
      </c>
      <c r="D145" s="159"/>
      <c r="E145" s="15"/>
      <c r="F145" s="15"/>
      <c r="G145" s="168"/>
      <c r="H145" s="15"/>
      <c r="I145" s="15"/>
      <c r="J145" s="25"/>
      <c r="K145" s="151"/>
    </row>
    <row r="146" spans="1:11">
      <c r="A146" s="329">
        <f t="shared" si="4"/>
        <v>28</v>
      </c>
      <c r="B146" s="27" t="s">
        <v>36</v>
      </c>
      <c r="C146" s="158" t="s">
        <v>861</v>
      </c>
      <c r="D146" s="841">
        <v>0</v>
      </c>
      <c r="E146" s="15"/>
      <c r="F146" s="15" t="s">
        <v>28</v>
      </c>
      <c r="G146" s="332">
        <f>+$G$68</f>
        <v>1</v>
      </c>
      <c r="H146" s="15"/>
      <c r="I146" s="15">
        <f>+G146*D146</f>
        <v>0</v>
      </c>
      <c r="J146" s="25"/>
      <c r="K146" s="151"/>
    </row>
    <row r="147" spans="1:11">
      <c r="A147" s="329">
        <f t="shared" si="4"/>
        <v>29</v>
      </c>
      <c r="B147" s="27" t="s">
        <v>37</v>
      </c>
      <c r="C147" s="158" t="s">
        <v>647</v>
      </c>
      <c r="D147" s="841">
        <v>0</v>
      </c>
      <c r="E147" s="15"/>
      <c r="F147" s="159" t="s">
        <v>21</v>
      </c>
      <c r="G147" s="186" t="s">
        <v>110</v>
      </c>
      <c r="H147" s="15"/>
      <c r="I147" s="328">
        <v>0</v>
      </c>
      <c r="J147" s="25"/>
      <c r="K147" s="151"/>
    </row>
    <row r="148" spans="1:11">
      <c r="A148" s="329">
        <f t="shared" si="4"/>
        <v>30</v>
      </c>
      <c r="B148" s="27" t="s">
        <v>38</v>
      </c>
      <c r="C148" s="158" t="s">
        <v>647</v>
      </c>
      <c r="D148" s="841">
        <v>0</v>
      </c>
      <c r="E148" s="15"/>
      <c r="F148" s="15" t="s">
        <v>28</v>
      </c>
      <c r="G148" s="332">
        <f>+$G$68</f>
        <v>1</v>
      </c>
      <c r="H148" s="15"/>
      <c r="I148" s="15">
        <f>+G148*D148</f>
        <v>0</v>
      </c>
      <c r="J148" s="25"/>
      <c r="K148" s="151"/>
    </row>
    <row r="149" spans="1:11" ht="13.5" thickBot="1">
      <c r="A149" s="329">
        <f t="shared" si="4"/>
        <v>31</v>
      </c>
      <c r="B149" s="27" t="s">
        <v>39</v>
      </c>
      <c r="C149" s="158" t="s">
        <v>647</v>
      </c>
      <c r="D149" s="841">
        <v>0</v>
      </c>
      <c r="E149" s="15"/>
      <c r="F149" s="15" t="s">
        <v>28</v>
      </c>
      <c r="G149" s="332">
        <f>+$G$68</f>
        <v>1</v>
      </c>
      <c r="H149" s="15"/>
      <c r="I149" s="149">
        <f>+G149*D149</f>
        <v>0</v>
      </c>
      <c r="J149" s="25"/>
      <c r="K149" s="151"/>
    </row>
    <row r="150" spans="1:11" ht="13.5" thickTop="1">
      <c r="A150" s="329">
        <f t="shared" si="4"/>
        <v>32</v>
      </c>
      <c r="B150" s="27" t="s">
        <v>219</v>
      </c>
      <c r="C150" s="25" t="str">
        <f>"( Sum of line "&amp;A143&amp;" - line "&amp;A149&amp;")"</f>
        <v>( Sum of line 25 - line 31)</v>
      </c>
      <c r="D150" s="371">
        <f>SUM(D143:D149)</f>
        <v>0</v>
      </c>
      <c r="E150" s="15"/>
      <c r="F150" s="15"/>
      <c r="G150" s="15"/>
      <c r="H150" s="15"/>
      <c r="I150" s="15">
        <f>SUM(I143:I149)</f>
        <v>0</v>
      </c>
      <c r="J150" s="25"/>
      <c r="K150" s="25"/>
    </row>
    <row r="151" spans="1:11">
      <c r="A151" s="329"/>
      <c r="B151" s="27"/>
      <c r="C151" s="25"/>
      <c r="D151" s="25"/>
      <c r="E151" s="25"/>
      <c r="F151" s="25"/>
      <c r="G151" s="123"/>
      <c r="H151" s="25"/>
      <c r="I151" s="25"/>
      <c r="J151" s="25"/>
      <c r="K151" s="25"/>
    </row>
    <row r="152" spans="1:11">
      <c r="A152" s="329">
        <f>+A150+1</f>
        <v>33</v>
      </c>
      <c r="B152" s="27" t="s">
        <v>587</v>
      </c>
      <c r="C152" s="33" t="s">
        <v>588</v>
      </c>
      <c r="D152" s="25"/>
      <c r="E152" s="25"/>
      <c r="F152" s="32"/>
      <c r="G152" s="34"/>
      <c r="H152" s="25"/>
      <c r="I152" s="32"/>
      <c r="J152" s="25"/>
      <c r="K152" s="32"/>
    </row>
    <row r="153" spans="1:11">
      <c r="A153" s="329">
        <f t="shared" si="4"/>
        <v>34</v>
      </c>
      <c r="B153" s="35" t="s">
        <v>245</v>
      </c>
      <c r="C153" s="25"/>
      <c r="D153" s="391">
        <f>IF(D236&gt;0,1-(((1-D237)*(1-D236))/(1-D237*D236*D238)),0)</f>
        <v>0.26134999999999997</v>
      </c>
      <c r="E153" s="25"/>
      <c r="F153" s="32"/>
      <c r="G153" s="34"/>
      <c r="H153" s="25"/>
      <c r="I153" s="32"/>
      <c r="J153" s="25"/>
      <c r="K153" s="32"/>
    </row>
    <row r="154" spans="1:11">
      <c r="A154" s="329">
        <f t="shared" si="4"/>
        <v>35</v>
      </c>
      <c r="B154" s="32" t="s">
        <v>41</v>
      </c>
      <c r="C154" s="25" t="s">
        <v>556</v>
      </c>
      <c r="D154" s="391">
        <f>IF(I202&gt;0,(D153/(1-D153))*(1-I202/I205),0)</f>
        <v>0.29310084420980642</v>
      </c>
      <c r="E154" s="25"/>
      <c r="F154" s="32"/>
      <c r="G154" s="34"/>
      <c r="H154" s="25"/>
      <c r="I154" s="32"/>
      <c r="J154" s="25"/>
      <c r="K154" s="32"/>
    </row>
    <row r="155" spans="1:11">
      <c r="A155" s="329">
        <f t="shared" si="4"/>
        <v>36</v>
      </c>
      <c r="B155" s="36" t="s">
        <v>243</v>
      </c>
      <c r="C155" s="33"/>
      <c r="D155" s="25"/>
      <c r="E155" s="25"/>
      <c r="F155" s="32"/>
      <c r="G155" s="34"/>
      <c r="H155" s="25"/>
      <c r="I155" s="32"/>
      <c r="J155" s="25"/>
      <c r="K155" s="32"/>
    </row>
    <row r="156" spans="1:11">
      <c r="A156" s="329">
        <f t="shared" si="4"/>
        <v>37</v>
      </c>
      <c r="B156" s="36"/>
      <c r="D156" s="25"/>
      <c r="E156" s="25"/>
      <c r="F156" s="32"/>
      <c r="G156" s="34"/>
      <c r="H156" s="25"/>
      <c r="I156" s="32"/>
      <c r="J156" s="25"/>
      <c r="K156" s="32"/>
    </row>
    <row r="157" spans="1:11">
      <c r="A157" s="329">
        <f>+A156+1</f>
        <v>38</v>
      </c>
      <c r="B157" s="37" t="str">
        <f>"      1 / (1 - T)  =  (from line "&amp;A153&amp;")"</f>
        <v xml:space="preserve">      1 / (1 - T)  =  (from line 34)</v>
      </c>
      <c r="C157" s="33" t="s">
        <v>630</v>
      </c>
      <c r="D157" s="391">
        <f>IF(D153=0,0,1/(1-D153))</f>
        <v>1.3538211602247343</v>
      </c>
      <c r="E157" s="25"/>
      <c r="F157" s="32"/>
      <c r="G157" s="34"/>
      <c r="H157" s="25"/>
      <c r="I157" s="15"/>
      <c r="J157" s="25"/>
      <c r="K157" s="32"/>
    </row>
    <row r="158" spans="1:11">
      <c r="A158" s="329">
        <f t="shared" si="4"/>
        <v>39</v>
      </c>
      <c r="B158" s="36" t="s">
        <v>237</v>
      </c>
      <c r="C158" s="33" t="s">
        <v>477</v>
      </c>
      <c r="D158" s="841">
        <v>0</v>
      </c>
      <c r="E158" s="25"/>
      <c r="F158" s="32"/>
      <c r="G158" s="34"/>
      <c r="H158" s="25"/>
      <c r="I158" s="15"/>
      <c r="J158" s="25"/>
      <c r="K158" s="32"/>
    </row>
    <row r="159" spans="1:11">
      <c r="A159" s="329">
        <f t="shared" si="4"/>
        <v>40</v>
      </c>
      <c r="B159" s="36" t="s">
        <v>238</v>
      </c>
      <c r="C159" s="33" t="s">
        <v>476</v>
      </c>
      <c r="D159" s="841">
        <v>0</v>
      </c>
      <c r="E159" s="25"/>
      <c r="F159" s="32"/>
      <c r="G159" s="38"/>
      <c r="H159" s="25"/>
      <c r="I159" s="15"/>
      <c r="J159" s="25"/>
      <c r="K159" s="32"/>
    </row>
    <row r="160" spans="1:11">
      <c r="A160" s="329">
        <f t="shared" si="4"/>
        <v>41</v>
      </c>
      <c r="B160" s="36" t="s">
        <v>280</v>
      </c>
      <c r="C160" s="33" t="s">
        <v>594</v>
      </c>
      <c r="D160" s="895">
        <v>0</v>
      </c>
      <c r="E160" s="25"/>
      <c r="F160" s="32"/>
      <c r="G160" s="34"/>
      <c r="H160" s="25"/>
      <c r="I160" s="15"/>
      <c r="J160" s="25"/>
      <c r="K160" s="32"/>
    </row>
    <row r="161" spans="1:11">
      <c r="A161" s="329">
        <f t="shared" si="4"/>
        <v>42</v>
      </c>
      <c r="B161" s="37" t="s">
        <v>239</v>
      </c>
      <c r="C161" s="39" t="str">
        <f>"(Line "&amp;A154&amp;" times Line "&amp;A168&amp;")"</f>
        <v>(Line 35 times Line 48)</v>
      </c>
      <c r="D161" s="264">
        <f>+D154*D168</f>
        <v>1642189.6662015966</v>
      </c>
      <c r="E161" s="40"/>
      <c r="F161" s="40" t="s">
        <v>21</v>
      </c>
      <c r="G161" s="41"/>
      <c r="H161" s="40"/>
      <c r="I161" s="264">
        <f>+D154*I168</f>
        <v>1642189.6662015966</v>
      </c>
      <c r="J161" s="25"/>
      <c r="K161" s="122" t="s">
        <v>2</v>
      </c>
    </row>
    <row r="162" spans="1:11">
      <c r="A162" s="125">
        <f t="shared" si="4"/>
        <v>43</v>
      </c>
      <c r="B162" s="30" t="s">
        <v>240</v>
      </c>
      <c r="C162" s="39" t="str">
        <f>"(Line "&amp;A157&amp;" times Line "&amp;A158&amp;")"</f>
        <v>(Line 38 times Line 39)</v>
      </c>
      <c r="D162" s="264">
        <f>+D$157*D158</f>
        <v>0</v>
      </c>
      <c r="E162" s="40"/>
      <c r="F162" s="42" t="s">
        <v>27</v>
      </c>
      <c r="G162" s="152">
        <f>+$G$82</f>
        <v>1</v>
      </c>
      <c r="H162" s="40"/>
      <c r="I162" s="264">
        <f>+G162*D162</f>
        <v>0</v>
      </c>
      <c r="J162" s="25"/>
      <c r="K162" s="122"/>
    </row>
    <row r="163" spans="1:11">
      <c r="A163" s="125">
        <f t="shared" si="4"/>
        <v>44</v>
      </c>
      <c r="B163" s="30" t="s">
        <v>241</v>
      </c>
      <c r="C163" s="39" t="str">
        <f>"(Line "&amp;A157&amp;" times Line "&amp;A159&amp;")"</f>
        <v>(Line 38 times Line 40)</v>
      </c>
      <c r="D163" s="264">
        <f>+D$157*D159</f>
        <v>0</v>
      </c>
      <c r="E163" s="40"/>
      <c r="F163" s="42" t="s">
        <v>27</v>
      </c>
      <c r="G163" s="152">
        <f>+$G$82</f>
        <v>1</v>
      </c>
      <c r="H163" s="40"/>
      <c r="I163" s="264">
        <f>+G163*D163</f>
        <v>0</v>
      </c>
      <c r="J163" s="25"/>
      <c r="K163" s="122"/>
    </row>
    <row r="164" spans="1:11" ht="13.5" thickBot="1">
      <c r="A164" s="125">
        <f t="shared" si="4"/>
        <v>45</v>
      </c>
      <c r="B164" s="30" t="s">
        <v>112</v>
      </c>
      <c r="C164" s="39" t="str">
        <f>"(Line "&amp;A157&amp;" times Line "&amp;A160&amp;")"</f>
        <v>(Line 38 times Line 41)</v>
      </c>
      <c r="D164" s="265">
        <f>+D$157*D160</f>
        <v>0</v>
      </c>
      <c r="E164" s="40"/>
      <c r="F164" s="42" t="s">
        <v>27</v>
      </c>
      <c r="G164" s="152">
        <f>+$G$82</f>
        <v>1</v>
      </c>
      <c r="H164" s="40"/>
      <c r="I164" s="265">
        <f>+G164*D164</f>
        <v>0</v>
      </c>
      <c r="J164" s="25"/>
      <c r="K164" s="122"/>
    </row>
    <row r="165" spans="1:11">
      <c r="A165" s="125">
        <f t="shared" si="4"/>
        <v>46</v>
      </c>
      <c r="B165" s="43" t="s">
        <v>242</v>
      </c>
      <c r="C165" s="25" t="str">
        <f>"( Sum of line "&amp;A161&amp;" - line "&amp;A164&amp;")"</f>
        <v>( Sum of line 42 - line 45)</v>
      </c>
      <c r="D165" s="174">
        <f>SUM(D161:D164)</f>
        <v>1642189.6662015966</v>
      </c>
      <c r="E165" s="40"/>
      <c r="F165" s="40" t="s">
        <v>2</v>
      </c>
      <c r="G165" s="41" t="s">
        <v>2</v>
      </c>
      <c r="H165" s="40"/>
      <c r="I165" s="174">
        <f>SUM(I161:I164)</f>
        <v>1642189.6662015966</v>
      </c>
      <c r="J165" s="25"/>
      <c r="K165" s="25"/>
    </row>
    <row r="166" spans="1:11">
      <c r="A166" s="125"/>
      <c r="B166" s="32"/>
      <c r="C166" s="175"/>
      <c r="D166" s="15"/>
      <c r="E166" s="25"/>
      <c r="F166" s="25"/>
      <c r="G166" s="123"/>
      <c r="H166" s="25"/>
      <c r="I166" s="15"/>
      <c r="J166" s="25"/>
      <c r="K166" s="25"/>
    </row>
    <row r="167" spans="1:11">
      <c r="A167" s="125">
        <f>+A165+1</f>
        <v>47</v>
      </c>
      <c r="B167" s="27" t="s">
        <v>43</v>
      </c>
      <c r="J167" s="25"/>
      <c r="K167" s="32"/>
    </row>
    <row r="168" spans="1:11">
      <c r="A168" s="125">
        <f>A167+1</f>
        <v>48</v>
      </c>
      <c r="B168" s="177" t="s">
        <v>286</v>
      </c>
      <c r="C168" s="35" t="str">
        <f>"(Page 2, line " &amp;A104&amp;" times Page 4, Line 18)"</f>
        <v>(Page 2, line 35 times Page 4, Line 18)</v>
      </c>
      <c r="D168" s="409">
        <f>+$I205*D104</f>
        <v>5602814.5214965334</v>
      </c>
      <c r="E168" s="40"/>
      <c r="F168" s="40" t="s">
        <v>21</v>
      </c>
      <c r="G168" s="176"/>
      <c r="H168" s="40"/>
      <c r="I168" s="409">
        <f>+$I205*I104</f>
        <v>5602814.5214965334</v>
      </c>
      <c r="K168" s="151"/>
    </row>
    <row r="169" spans="1:11">
      <c r="A169" s="125"/>
      <c r="B169" s="27"/>
      <c r="C169" s="32"/>
      <c r="D169" s="38"/>
      <c r="E169" s="40"/>
      <c r="F169" s="40"/>
      <c r="G169" s="176"/>
      <c r="H169" s="40"/>
      <c r="I169" s="38"/>
      <c r="J169" s="25"/>
      <c r="K169" s="151"/>
    </row>
    <row r="170" spans="1:11" ht="13.5" thickBot="1">
      <c r="A170" s="125">
        <f>A168+1</f>
        <v>49</v>
      </c>
      <c r="B170" s="27" t="s">
        <v>216</v>
      </c>
      <c r="C170" s="25" t="str">
        <f>"( Sum of line  "&amp;A133&amp;","&amp;A139&amp;", "&amp;A150&amp;", "&amp;A165&amp;", "&amp;A168&amp;")"</f>
        <v>( Sum of line  17,22, 32, 46, 48)</v>
      </c>
      <c r="D170" s="178">
        <f>+D168+D165+D150+D139+D133</f>
        <v>8198953.6877313415</v>
      </c>
      <c r="E170" s="40"/>
      <c r="F170" s="40"/>
      <c r="G170" s="164"/>
      <c r="H170" s="40"/>
      <c r="I170" s="178">
        <f>+I168+I165+I150+I139+I133</f>
        <v>8198953.6877313415</v>
      </c>
      <c r="J170" s="111"/>
      <c r="K170" s="111"/>
    </row>
    <row r="171" spans="1:11" ht="13.5" thickTop="1">
      <c r="A171" s="125"/>
      <c r="B171" s="27"/>
      <c r="C171" s="25"/>
      <c r="D171" s="164"/>
      <c r="E171" s="40"/>
      <c r="F171" s="40"/>
      <c r="G171" s="164"/>
      <c r="H171" s="40"/>
      <c r="I171" s="38"/>
      <c r="J171" s="111"/>
      <c r="K171" s="111"/>
    </row>
    <row r="172" spans="1:11">
      <c r="A172" s="106"/>
      <c r="B172" s="32"/>
      <c r="C172" s="32"/>
      <c r="D172" s="32"/>
      <c r="E172" s="32"/>
      <c r="F172" s="32"/>
      <c r="G172" s="32"/>
      <c r="H172" s="32"/>
      <c r="I172" s="32"/>
      <c r="J172" s="25"/>
      <c r="K172" s="165" t="s">
        <v>713</v>
      </c>
    </row>
    <row r="173" spans="1:11">
      <c r="A173" s="106"/>
      <c r="B173" s="32"/>
      <c r="C173" s="32"/>
      <c r="D173" s="32"/>
      <c r="E173" s="32"/>
      <c r="F173" s="32"/>
      <c r="G173" s="32"/>
      <c r="H173" s="32"/>
      <c r="I173" s="32"/>
      <c r="J173" s="25"/>
      <c r="K173" s="25"/>
    </row>
    <row r="174" spans="1:11">
      <c r="A174" s="106"/>
      <c r="B174" s="27" t="s">
        <v>1</v>
      </c>
      <c r="C174" s="32"/>
      <c r="D174" s="106" t="s">
        <v>816</v>
      </c>
      <c r="E174" s="32"/>
      <c r="F174" s="32"/>
      <c r="G174" s="32"/>
      <c r="H174" s="32"/>
      <c r="I174" s="104"/>
      <c r="J174" s="165" t="str">
        <f>J3</f>
        <v xml:space="preserve">For the 12 months ended </v>
      </c>
      <c r="K174" s="893">
        <f>K3</f>
        <v>43830</v>
      </c>
    </row>
    <row r="175" spans="1:11">
      <c r="A175" s="106"/>
      <c r="B175" s="27"/>
      <c r="C175" s="32"/>
      <c r="D175" s="212" t="s">
        <v>101</v>
      </c>
      <c r="E175" s="32"/>
      <c r="F175" s="32"/>
      <c r="G175" s="32"/>
      <c r="H175" s="32"/>
      <c r="I175" s="32"/>
      <c r="J175" s="25"/>
      <c r="K175" s="25"/>
    </row>
    <row r="176" spans="1:11">
      <c r="A176" s="106"/>
      <c r="B176" s="32"/>
      <c r="C176" s="32"/>
      <c r="D176" s="212" t="str">
        <f>+D111</f>
        <v>Transource West Virginia, LLC</v>
      </c>
      <c r="E176" s="32"/>
      <c r="F176" s="32"/>
      <c r="G176" s="32"/>
      <c r="H176" s="32"/>
      <c r="I176" s="32"/>
      <c r="J176" s="25"/>
      <c r="K176" s="25"/>
    </row>
    <row r="177" spans="1:11">
      <c r="A177" s="900"/>
      <c r="B177" s="900"/>
      <c r="C177" s="900"/>
      <c r="D177" s="900"/>
      <c r="E177" s="900"/>
      <c r="F177" s="900"/>
      <c r="G177" s="900"/>
      <c r="H177" s="900"/>
      <c r="I177" s="900"/>
      <c r="J177" s="900"/>
      <c r="K177" s="900"/>
    </row>
    <row r="178" spans="1:11" s="12" customFormat="1">
      <c r="A178" s="179"/>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5" thickBot="1">
      <c r="A182" s="29" t="s">
        <v>10</v>
      </c>
      <c r="B182" s="107" t="s">
        <v>45</v>
      </c>
      <c r="C182" s="119"/>
      <c r="D182" s="119"/>
      <c r="E182" s="119"/>
      <c r="F182" s="119"/>
      <c r="G182" s="119"/>
      <c r="H182" s="30"/>
      <c r="I182" s="30"/>
      <c r="J182" s="33"/>
      <c r="K182" s="25"/>
    </row>
    <row r="183" spans="1:11">
      <c r="A183" s="106">
        <v>1</v>
      </c>
      <c r="B183" s="108" t="s">
        <v>230</v>
      </c>
      <c r="C183" s="119" t="s">
        <v>291</v>
      </c>
      <c r="D183" s="33"/>
      <c r="E183" s="33"/>
      <c r="F183" s="33"/>
      <c r="G183" s="33"/>
      <c r="H183" s="33"/>
      <c r="I183" s="159">
        <f>D65</f>
        <v>35991551.483076923</v>
      </c>
      <c r="J183" s="33"/>
      <c r="K183" s="25"/>
    </row>
    <row r="184" spans="1:11">
      <c r="A184" s="302">
        <f>+A183+1</f>
        <v>2</v>
      </c>
      <c r="B184" s="108" t="s">
        <v>231</v>
      </c>
      <c r="C184" s="30" t="s">
        <v>596</v>
      </c>
      <c r="D184" s="30"/>
      <c r="E184" s="30"/>
      <c r="F184" s="30"/>
      <c r="G184" s="30"/>
      <c r="H184" s="30"/>
      <c r="I184" s="147">
        <v>0</v>
      </c>
      <c r="J184" s="33"/>
      <c r="K184" s="25"/>
    </row>
    <row r="185" spans="1:11" ht="13.5" thickBot="1">
      <c r="A185" s="302">
        <f>+A184+1</f>
        <v>3</v>
      </c>
      <c r="B185" s="180" t="s">
        <v>597</v>
      </c>
      <c r="C185" s="181" t="s">
        <v>599</v>
      </c>
      <c r="D185" s="104"/>
      <c r="E185" s="33"/>
      <c r="F185" s="33"/>
      <c r="G185" s="182"/>
      <c r="H185" s="33"/>
      <c r="I185" s="148">
        <v>0</v>
      </c>
      <c r="J185" s="33"/>
      <c r="K185" s="25"/>
    </row>
    <row r="186" spans="1:11">
      <c r="A186" s="302">
        <f t="shared" ref="A186:A205" si="7">+A185+1</f>
        <v>4</v>
      </c>
      <c r="B186" s="108" t="s">
        <v>233</v>
      </c>
      <c r="C186" s="119" t="s">
        <v>232</v>
      </c>
      <c r="D186" s="33"/>
      <c r="E186" s="33"/>
      <c r="F186" s="33"/>
      <c r="G186" s="182"/>
      <c r="H186" s="33"/>
      <c r="I186" s="159">
        <f>I183-I184-I185</f>
        <v>35991551.483076923</v>
      </c>
      <c r="J186" s="33"/>
      <c r="K186" s="25"/>
    </row>
    <row r="187" spans="1:11">
      <c r="A187" s="302"/>
      <c r="B187" s="30"/>
      <c r="C187" s="119"/>
      <c r="D187" s="33"/>
      <c r="E187" s="33"/>
      <c r="F187" s="33"/>
      <c r="G187" s="182"/>
      <c r="H187" s="33"/>
      <c r="I187" s="159"/>
      <c r="J187" s="33"/>
      <c r="K187" s="25"/>
    </row>
    <row r="188" spans="1:11">
      <c r="A188" s="302">
        <f>+A186+1</f>
        <v>5</v>
      </c>
      <c r="B188" s="108" t="s">
        <v>234</v>
      </c>
      <c r="C188" s="183" t="s">
        <v>417</v>
      </c>
      <c r="D188" s="184"/>
      <c r="E188" s="184"/>
      <c r="F188" s="184"/>
      <c r="G188" s="185"/>
      <c r="H188" s="33" t="s">
        <v>46</v>
      </c>
      <c r="I188" s="186">
        <f>IF(I183&gt;0,I186/I183,1)</f>
        <v>1</v>
      </c>
      <c r="J188" s="33"/>
      <c r="K188" s="25"/>
    </row>
    <row r="189" spans="1:11">
      <c r="A189" s="302"/>
      <c r="B189" s="32"/>
      <c r="C189" s="32"/>
      <c r="D189" s="32"/>
      <c r="E189" s="32"/>
      <c r="F189" s="32"/>
      <c r="G189" s="32"/>
      <c r="H189" s="32"/>
      <c r="I189" s="32"/>
      <c r="J189" s="32"/>
      <c r="K189" s="32"/>
    </row>
    <row r="190" spans="1:11">
      <c r="A190" s="302">
        <f>+A188+1</f>
        <v>6</v>
      </c>
      <c r="B190" s="27" t="s">
        <v>113</v>
      </c>
      <c r="C190" s="25"/>
      <c r="D190" s="25"/>
      <c r="E190" s="25"/>
      <c r="F190" s="25"/>
      <c r="G190" s="25"/>
      <c r="H190" s="25"/>
      <c r="I190" s="25"/>
      <c r="J190" s="25"/>
      <c r="K190" s="25"/>
    </row>
    <row r="191" spans="1:11" ht="13.5" thickBot="1">
      <c r="A191" s="302"/>
      <c r="B191" s="27"/>
      <c r="C191" s="187" t="s">
        <v>47</v>
      </c>
      <c r="D191" s="26" t="s">
        <v>48</v>
      </c>
      <c r="E191" s="26" t="s">
        <v>15</v>
      </c>
      <c r="F191" s="25"/>
      <c r="G191" s="26" t="s">
        <v>49</v>
      </c>
      <c r="H191" s="25"/>
      <c r="I191" s="25"/>
      <c r="J191" s="25"/>
      <c r="K191" s="25"/>
    </row>
    <row r="192" spans="1:11">
      <c r="A192" s="302">
        <f>+A190+1</f>
        <v>7</v>
      </c>
      <c r="B192" s="27" t="s">
        <v>262</v>
      </c>
      <c r="C192" s="25" t="s">
        <v>50</v>
      </c>
      <c r="D192" s="147">
        <v>0</v>
      </c>
      <c r="E192" s="188">
        <v>0</v>
      </c>
      <c r="F192" s="189"/>
      <c r="G192" s="15">
        <f>D192*E192</f>
        <v>0</v>
      </c>
      <c r="H192" s="40"/>
      <c r="I192" s="40"/>
      <c r="J192" s="25"/>
      <c r="K192" s="25"/>
    </row>
    <row r="193" spans="1:11">
      <c r="A193" s="302">
        <f t="shared" si="7"/>
        <v>8</v>
      </c>
      <c r="B193" s="27" t="s">
        <v>22</v>
      </c>
      <c r="C193" s="25" t="s">
        <v>274</v>
      </c>
      <c r="D193" s="147">
        <v>0</v>
      </c>
      <c r="E193" s="168">
        <f>+I188</f>
        <v>1</v>
      </c>
      <c r="F193" s="189"/>
      <c r="G193" s="15">
        <f>D193*E193</f>
        <v>0</v>
      </c>
      <c r="H193" s="40"/>
      <c r="I193" s="40"/>
      <c r="J193" s="25"/>
      <c r="K193" s="25"/>
    </row>
    <row r="194" spans="1:11">
      <c r="A194" s="302">
        <f t="shared" si="7"/>
        <v>9</v>
      </c>
      <c r="B194" s="27" t="s">
        <v>263</v>
      </c>
      <c r="C194" s="25" t="s">
        <v>97</v>
      </c>
      <c r="D194" s="147">
        <v>0</v>
      </c>
      <c r="E194" s="188">
        <v>0</v>
      </c>
      <c r="F194" s="189"/>
      <c r="G194" s="15">
        <f>D194*E194</f>
        <v>0</v>
      </c>
      <c r="H194" s="40"/>
      <c r="I194" s="190" t="s">
        <v>51</v>
      </c>
      <c r="J194" s="25"/>
      <c r="K194" s="25"/>
    </row>
    <row r="195" spans="1:11" ht="13.5" thickBot="1">
      <c r="A195" s="302">
        <f t="shared" si="7"/>
        <v>10</v>
      </c>
      <c r="B195" s="27" t="s">
        <v>52</v>
      </c>
      <c r="C195" s="25" t="s">
        <v>275</v>
      </c>
      <c r="D195" s="148">
        <v>0</v>
      </c>
      <c r="E195" s="188">
        <v>0</v>
      </c>
      <c r="F195" s="189"/>
      <c r="G195" s="149">
        <f>D195*E195</f>
        <v>0</v>
      </c>
      <c r="H195" s="40"/>
      <c r="I195" s="191" t="s">
        <v>53</v>
      </c>
      <c r="J195" s="25"/>
      <c r="K195" s="25"/>
    </row>
    <row r="196" spans="1:11">
      <c r="A196" s="302">
        <f t="shared" si="7"/>
        <v>11</v>
      </c>
      <c r="B196" s="36" t="s">
        <v>353</v>
      </c>
      <c r="C196" s="25" t="str">
        <f>"( Sum of line "&amp;A192&amp;" - line "&amp;A195&amp;")"</f>
        <v>( Sum of line 7 - line 10)</v>
      </c>
      <c r="D196" s="15">
        <f>SUM(D192:D195)</f>
        <v>0</v>
      </c>
      <c r="E196" s="25"/>
      <c r="F196" s="25"/>
      <c r="G196" s="15">
        <f>SUM(G192:G195)</f>
        <v>0</v>
      </c>
      <c r="H196" s="192" t="s">
        <v>54</v>
      </c>
      <c r="I196" s="152">
        <f>IF(D196=0,1,G196/D196)</f>
        <v>1</v>
      </c>
      <c r="J196" s="28" t="s">
        <v>54</v>
      </c>
      <c r="K196" s="25" t="s">
        <v>55</v>
      </c>
    </row>
    <row r="197" spans="1:11">
      <c r="A197" s="302"/>
      <c r="B197" s="27" t="s">
        <v>2</v>
      </c>
      <c r="C197" s="25" t="s">
        <v>2</v>
      </c>
      <c r="D197" s="32"/>
      <c r="E197" s="25"/>
      <c r="F197" s="25"/>
      <c r="G197" s="32"/>
      <c r="H197" s="32"/>
      <c r="I197" s="32"/>
      <c r="J197" s="32"/>
      <c r="K197" s="25"/>
    </row>
    <row r="198" spans="1:11">
      <c r="A198" s="302"/>
      <c r="B198" s="27"/>
      <c r="C198" s="25"/>
      <c r="D198" s="32"/>
      <c r="E198" s="25"/>
      <c r="F198" s="25"/>
      <c r="G198" s="25"/>
      <c r="H198" s="25"/>
      <c r="I198" s="25"/>
      <c r="J198" s="25"/>
      <c r="K198" s="25"/>
    </row>
    <row r="199" spans="1:11" ht="13.5" thickBot="1">
      <c r="A199" s="302">
        <f>+A196+1</f>
        <v>12</v>
      </c>
      <c r="B199" s="24" t="s">
        <v>56</v>
      </c>
      <c r="C199" s="25"/>
      <c r="D199" s="25"/>
      <c r="E199" s="25"/>
      <c r="F199" s="25"/>
      <c r="G199" s="25"/>
      <c r="H199" s="25"/>
      <c r="I199" s="26" t="s">
        <v>48</v>
      </c>
      <c r="J199" s="25"/>
      <c r="K199" s="25"/>
    </row>
    <row r="200" spans="1:11">
      <c r="A200" s="302">
        <f>+A199+1</f>
        <v>13</v>
      </c>
      <c r="B200" s="27"/>
      <c r="C200" s="25"/>
      <c r="D200" s="25"/>
      <c r="E200" s="25"/>
      <c r="F200" s="25"/>
      <c r="H200" s="25"/>
      <c r="I200" s="25"/>
      <c r="J200" s="25"/>
      <c r="K200" s="25"/>
    </row>
    <row r="201" spans="1:11" ht="13.5" thickBot="1">
      <c r="A201" s="302">
        <f t="shared" si="7"/>
        <v>14</v>
      </c>
      <c r="B201" s="27"/>
      <c r="C201" s="25"/>
      <c r="D201" s="29" t="s">
        <v>48</v>
      </c>
      <c r="E201" s="29" t="s">
        <v>58</v>
      </c>
      <c r="F201" s="25"/>
      <c r="G201" s="28" t="s">
        <v>57</v>
      </c>
      <c r="H201" s="25"/>
      <c r="I201" s="29" t="s">
        <v>59</v>
      </c>
      <c r="J201" s="25"/>
      <c r="K201" s="25"/>
    </row>
    <row r="202" spans="1:11">
      <c r="A202" s="302">
        <f t="shared" si="7"/>
        <v>15</v>
      </c>
      <c r="B202" s="24" t="s">
        <v>236</v>
      </c>
      <c r="C202" s="30" t="s">
        <v>485</v>
      </c>
      <c r="D202" s="194">
        <f>+'5-Return'!F19</f>
        <v>25779101.923076924</v>
      </c>
      <c r="E202" s="837">
        <f>+'5-Return'!G19</f>
        <v>0.39569992056738423</v>
      </c>
      <c r="F202" s="23"/>
      <c r="G202" s="372">
        <f>+'5-Return'!H19</f>
        <v>3.3219488504888393E-2</v>
      </c>
      <c r="H202" s="23"/>
      <c r="I202" s="215">
        <f>E202*G202</f>
        <v>1.3144948962673471E-2</v>
      </c>
      <c r="J202" s="193" t="s">
        <v>60</v>
      </c>
      <c r="K202" s="32"/>
    </row>
    <row r="203" spans="1:11">
      <c r="A203" s="302">
        <f t="shared" si="7"/>
        <v>16</v>
      </c>
      <c r="B203" s="24" t="s">
        <v>114</v>
      </c>
      <c r="C203" s="30" t="s">
        <v>485</v>
      </c>
      <c r="D203" s="194">
        <f>+'5-Return'!F20</f>
        <v>0</v>
      </c>
      <c r="E203" s="837">
        <f>+'5-Return'!G20</f>
        <v>0</v>
      </c>
      <c r="F203" s="23"/>
      <c r="G203" s="372">
        <f>+'5-Return'!H20</f>
        <v>0</v>
      </c>
      <c r="H203" s="23"/>
      <c r="I203" s="215">
        <f>E203*G203</f>
        <v>0</v>
      </c>
      <c r="J203" s="25"/>
      <c r="K203" s="32"/>
    </row>
    <row r="204" spans="1:11" ht="13.5" thickBot="1">
      <c r="A204" s="302">
        <f t="shared" si="7"/>
        <v>17</v>
      </c>
      <c r="B204" s="24" t="s">
        <v>278</v>
      </c>
      <c r="C204" s="30" t="s">
        <v>601</v>
      </c>
      <c r="D204" s="194">
        <f>+'5-Return'!F21</f>
        <v>39369008.003538467</v>
      </c>
      <c r="E204" s="838">
        <f>+'5-Return'!G21</f>
        <v>0.60430007943261588</v>
      </c>
      <c r="F204" s="31"/>
      <c r="G204" s="372">
        <f>+'5-Return'!H21</f>
        <v>0.10500000000000001</v>
      </c>
      <c r="H204" s="32"/>
      <c r="I204" s="335">
        <f>E204*G204</f>
        <v>6.3451508340424678E-2</v>
      </c>
      <c r="J204" s="25"/>
      <c r="K204" s="32"/>
    </row>
    <row r="205" spans="1:11">
      <c r="A205" s="302">
        <f t="shared" si="7"/>
        <v>18</v>
      </c>
      <c r="B205" s="27" t="s">
        <v>228</v>
      </c>
      <c r="C205" s="25" t="str">
        <f>"( Sum of line "&amp;A202&amp;" - line "&amp;A204&amp;")"</f>
        <v>( Sum of line 15 - line 17)</v>
      </c>
      <c r="D205" s="723">
        <f>SUM(D202:D204)</f>
        <v>65148109.926615387</v>
      </c>
      <c r="E205" s="25" t="s">
        <v>2</v>
      </c>
      <c r="F205" s="25"/>
      <c r="G205" s="25"/>
      <c r="H205" s="25"/>
      <c r="I205" s="215">
        <f>SUM(I202:I204)</f>
        <v>7.659645730309815E-2</v>
      </c>
      <c r="J205" s="193" t="s">
        <v>61</v>
      </c>
      <c r="K205" s="32"/>
    </row>
    <row r="206" spans="1:11">
      <c r="A206" s="302"/>
      <c r="B206" s="32"/>
      <c r="C206" s="32"/>
      <c r="D206" s="32"/>
      <c r="E206" s="25"/>
      <c r="F206" s="25"/>
      <c r="G206" s="25"/>
      <c r="H206" s="25"/>
      <c r="I206" s="32"/>
      <c r="J206" s="32"/>
      <c r="K206" s="32"/>
    </row>
    <row r="207" spans="1:11">
      <c r="A207" s="302">
        <f>+A205+1</f>
        <v>19</v>
      </c>
      <c r="B207" s="24" t="s">
        <v>115</v>
      </c>
      <c r="C207" s="110"/>
      <c r="D207" s="110"/>
      <c r="E207" s="110"/>
      <c r="F207" s="110"/>
      <c r="G207" s="110"/>
      <c r="H207" s="110"/>
      <c r="I207" s="110"/>
      <c r="J207" s="110"/>
      <c r="K207" s="110"/>
    </row>
    <row r="208" spans="1:11" ht="13.5" thickBot="1">
      <c r="A208" s="302"/>
      <c r="B208" s="24"/>
      <c r="C208" s="24"/>
      <c r="D208" s="24"/>
      <c r="E208" s="24"/>
      <c r="F208" s="24"/>
      <c r="G208" s="24"/>
      <c r="H208" s="24"/>
      <c r="I208" s="29"/>
      <c r="J208" s="195"/>
      <c r="K208" s="32"/>
    </row>
    <row r="209" spans="1:11">
      <c r="A209" s="302">
        <f>+A207+1</f>
        <v>20</v>
      </c>
      <c r="B209" s="24" t="s">
        <v>214</v>
      </c>
      <c r="C209" s="119" t="s">
        <v>781</v>
      </c>
      <c r="D209" s="32"/>
      <c r="E209" s="110"/>
      <c r="F209" s="110"/>
      <c r="G209" s="198"/>
      <c r="H209" s="110"/>
      <c r="I209" s="159">
        <f>+'12 - Revenue Credits'!F14</f>
        <v>0</v>
      </c>
      <c r="J209" s="196"/>
      <c r="K209" s="199"/>
    </row>
    <row r="210" spans="1:11">
      <c r="A210" s="302"/>
      <c r="B210" s="32"/>
      <c r="C210" s="108"/>
      <c r="D210" s="110"/>
      <c r="E210" s="110"/>
      <c r="F210" s="110"/>
      <c r="G210" s="110"/>
      <c r="H210" s="110"/>
      <c r="I210" s="197"/>
      <c r="J210" s="196"/>
      <c r="K210" s="199"/>
    </row>
    <row r="211" spans="1:11">
      <c r="A211" s="302">
        <f>+A209+1</f>
        <v>21</v>
      </c>
      <c r="B211" s="24" t="s">
        <v>215</v>
      </c>
      <c r="C211" s="578" t="s">
        <v>789</v>
      </c>
      <c r="D211" s="110"/>
      <c r="E211" s="110"/>
      <c r="F211" s="110"/>
      <c r="G211" s="110"/>
      <c r="H211" s="110"/>
      <c r="I211" s="159">
        <f>+'12 - Revenue Credits'!F25</f>
        <v>0</v>
      </c>
      <c r="J211" s="32"/>
      <c r="K211" s="200"/>
    </row>
    <row r="212" spans="1:11">
      <c r="A212" s="106"/>
      <c r="B212" s="204"/>
      <c r="C212" s="106"/>
      <c r="D212" s="25"/>
      <c r="E212" s="25"/>
      <c r="F212" s="25"/>
      <c r="G212" s="25"/>
      <c r="H212" s="110"/>
      <c r="I212" s="205"/>
      <c r="J212" s="202"/>
      <c r="K212" s="203"/>
    </row>
    <row r="213" spans="1:11">
      <c r="A213" s="106"/>
      <c r="B213" s="27"/>
      <c r="C213" s="111"/>
      <c r="D213" s="25"/>
      <c r="E213" s="25"/>
      <c r="F213" s="25"/>
      <c r="G213" s="25"/>
      <c r="H213" s="111"/>
      <c r="I213" s="25"/>
      <c r="J213" s="111"/>
      <c r="K213" s="165" t="s">
        <v>714</v>
      </c>
    </row>
    <row r="214" spans="1:11">
      <c r="A214" s="106"/>
      <c r="B214" s="27"/>
      <c r="C214" s="111"/>
      <c r="D214" s="25"/>
      <c r="E214" s="25"/>
      <c r="F214" s="25"/>
      <c r="G214" s="25"/>
      <c r="H214" s="111"/>
      <c r="I214" s="25"/>
      <c r="J214" s="111"/>
      <c r="K214" s="25"/>
    </row>
    <row r="215" spans="1:11">
      <c r="A215" s="106"/>
      <c r="B215" s="204" t="s">
        <v>1</v>
      </c>
      <c r="C215" s="106"/>
      <c r="D215" s="106" t="s">
        <v>816</v>
      </c>
      <c r="E215" s="25"/>
      <c r="F215" s="25"/>
      <c r="G215" s="25"/>
      <c r="H215" s="110"/>
      <c r="I215" s="104"/>
      <c r="J215" s="165" t="str">
        <f>J3</f>
        <v xml:space="preserve">For the 12 months ended </v>
      </c>
      <c r="K215" s="893">
        <f>K3</f>
        <v>43830</v>
      </c>
    </row>
    <row r="216" spans="1:11">
      <c r="A216" s="106"/>
      <c r="B216" s="204"/>
      <c r="C216" s="106"/>
      <c r="D216" s="28" t="s">
        <v>101</v>
      </c>
      <c r="E216" s="25"/>
      <c r="F216" s="25"/>
      <c r="G216" s="25"/>
      <c r="H216" s="110"/>
      <c r="I216" s="206"/>
      <c r="J216" s="196"/>
      <c r="K216" s="203"/>
    </row>
    <row r="217" spans="1:11">
      <c r="A217" s="106"/>
      <c r="B217" s="204"/>
      <c r="C217" s="106"/>
      <c r="D217" s="28" t="str">
        <f>+D176</f>
        <v>Transource West Virginia, LLC</v>
      </c>
      <c r="E217" s="25"/>
      <c r="F217" s="25"/>
      <c r="G217" s="25"/>
      <c r="H217" s="110"/>
      <c r="I217" s="206"/>
      <c r="J217" s="196"/>
      <c r="K217" s="203"/>
    </row>
    <row r="218" spans="1:11">
      <c r="A218" s="900"/>
      <c r="B218" s="900"/>
      <c r="C218" s="900"/>
      <c r="D218" s="900"/>
      <c r="E218" s="900"/>
      <c r="F218" s="900"/>
      <c r="G218" s="900"/>
      <c r="H218" s="900"/>
      <c r="I218" s="900"/>
      <c r="J218" s="900"/>
      <c r="K218" s="900"/>
    </row>
    <row r="219" spans="1:11">
      <c r="A219" s="106"/>
      <c r="B219" s="24" t="s">
        <v>432</v>
      </c>
      <c r="C219" s="106"/>
      <c r="D219" s="25"/>
      <c r="E219" s="25"/>
      <c r="F219" s="25"/>
      <c r="G219" s="25"/>
      <c r="H219" s="110"/>
      <c r="I219" s="25"/>
      <c r="J219" s="110"/>
      <c r="K219" s="25"/>
    </row>
    <row r="220" spans="1:11">
      <c r="A220" s="106"/>
      <c r="B220" s="201"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5" thickBot="1">
      <c r="A222" s="29" t="s">
        <v>579</v>
      </c>
      <c r="B222" s="902"/>
      <c r="C222" s="902"/>
      <c r="D222" s="207"/>
      <c r="E222" s="207"/>
      <c r="F222" s="207"/>
      <c r="G222" s="207"/>
      <c r="H222" s="208"/>
      <c r="I222" s="207"/>
      <c r="J222" s="208"/>
      <c r="K222" s="207"/>
    </row>
    <row r="223" spans="1:11" ht="30" customHeight="1">
      <c r="A223" s="858" t="s">
        <v>183</v>
      </c>
      <c r="B223" s="904" t="s">
        <v>783</v>
      </c>
      <c r="C223" s="905"/>
      <c r="D223" s="905"/>
      <c r="E223" s="905"/>
      <c r="F223" s="905"/>
      <c r="G223" s="905"/>
      <c r="H223" s="905"/>
      <c r="I223" s="905"/>
      <c r="J223" s="905"/>
      <c r="K223" s="905"/>
    </row>
    <row r="224" spans="1:11">
      <c r="A224" s="858" t="s">
        <v>184</v>
      </c>
      <c r="B224" s="901" t="s">
        <v>287</v>
      </c>
      <c r="C224" s="901"/>
      <c r="D224" s="901"/>
      <c r="E224" s="901"/>
      <c r="F224" s="901"/>
      <c r="G224" s="901"/>
      <c r="H224" s="901"/>
      <c r="I224" s="901"/>
      <c r="J224" s="901"/>
      <c r="K224" s="901"/>
    </row>
    <row r="225" spans="1:11" s="12" customFormat="1">
      <c r="A225" s="859" t="s">
        <v>64</v>
      </c>
      <c r="B225" s="270" t="s">
        <v>584</v>
      </c>
      <c r="C225" s="255"/>
      <c r="D225" s="255"/>
      <c r="E225" s="255"/>
      <c r="F225" s="255"/>
      <c r="G225" s="255"/>
      <c r="H225" s="256"/>
      <c r="I225" s="257"/>
      <c r="J225" s="258"/>
      <c r="K225" s="259"/>
    </row>
    <row r="226" spans="1:11" ht="30.75" customHeight="1">
      <c r="A226" s="858" t="s">
        <v>560</v>
      </c>
      <c r="B226" s="901" t="s">
        <v>566</v>
      </c>
      <c r="C226" s="901"/>
      <c r="D226" s="901"/>
      <c r="E226" s="901"/>
      <c r="F226" s="901"/>
      <c r="G226" s="901"/>
      <c r="H226" s="901"/>
      <c r="I226" s="901"/>
      <c r="J226" s="901"/>
      <c r="K226" s="901"/>
    </row>
    <row r="227" spans="1:11" s="12" customFormat="1" ht="28.5" customHeight="1">
      <c r="A227" s="859" t="s">
        <v>66</v>
      </c>
      <c r="B227" s="903" t="s">
        <v>362</v>
      </c>
      <c r="C227" s="903"/>
      <c r="D227" s="903"/>
      <c r="E227" s="903"/>
      <c r="F227" s="903"/>
      <c r="G227" s="903"/>
      <c r="H227" s="903"/>
      <c r="I227" s="903"/>
      <c r="J227" s="903"/>
      <c r="K227" s="903"/>
    </row>
    <row r="228" spans="1:11" ht="19.5" customHeight="1">
      <c r="A228" s="859" t="s">
        <v>67</v>
      </c>
      <c r="B228" s="906" t="s">
        <v>715</v>
      </c>
      <c r="C228" s="906"/>
      <c r="D228" s="906"/>
      <c r="E228" s="906"/>
      <c r="F228" s="906"/>
      <c r="G228" s="906"/>
      <c r="H228" s="906"/>
      <c r="I228" s="906"/>
      <c r="J228" s="906"/>
      <c r="K228" s="906"/>
    </row>
    <row r="229" spans="1:11">
      <c r="A229" s="858" t="s">
        <v>68</v>
      </c>
      <c r="B229" s="901" t="s">
        <v>645</v>
      </c>
      <c r="C229" s="901"/>
      <c r="D229" s="901"/>
      <c r="E229" s="901"/>
      <c r="F229" s="901"/>
      <c r="G229" s="901"/>
      <c r="H229" s="901"/>
      <c r="I229" s="901"/>
      <c r="J229" s="901"/>
      <c r="K229" s="901"/>
    </row>
    <row r="230" spans="1:11" ht="29.25" customHeight="1">
      <c r="A230" s="858" t="s">
        <v>69</v>
      </c>
      <c r="B230" s="901" t="s">
        <v>570</v>
      </c>
      <c r="C230" s="901"/>
      <c r="D230" s="901"/>
      <c r="E230" s="901"/>
      <c r="F230" s="901"/>
      <c r="G230" s="901"/>
      <c r="H230" s="901"/>
      <c r="I230" s="901"/>
      <c r="J230" s="901"/>
      <c r="K230" s="901"/>
    </row>
    <row r="231" spans="1:11">
      <c r="A231" s="860" t="s">
        <v>70</v>
      </c>
      <c r="B231" s="901" t="s">
        <v>117</v>
      </c>
      <c r="C231" s="901"/>
      <c r="D231" s="901"/>
      <c r="E231" s="901"/>
      <c r="F231" s="901"/>
      <c r="G231" s="901"/>
      <c r="H231" s="901"/>
      <c r="I231" s="901"/>
      <c r="J231" s="901"/>
      <c r="K231" s="901"/>
    </row>
    <row r="232" spans="1:11" s="217" customFormat="1" ht="15.75" customHeight="1">
      <c r="A232" s="858" t="s">
        <v>71</v>
      </c>
      <c r="B232" s="901" t="s">
        <v>624</v>
      </c>
      <c r="C232" s="901"/>
      <c r="D232" s="901"/>
      <c r="E232" s="901"/>
      <c r="F232" s="901"/>
      <c r="G232" s="901"/>
      <c r="H232" s="901"/>
      <c r="I232" s="901"/>
      <c r="J232" s="901"/>
      <c r="K232" s="901"/>
    </row>
    <row r="233" spans="1:11" s="217" customFormat="1" ht="18.75" customHeight="1">
      <c r="A233" s="858" t="s">
        <v>103</v>
      </c>
      <c r="B233" s="254" t="s">
        <v>576</v>
      </c>
      <c r="C233" s="496"/>
      <c r="D233" s="496"/>
      <c r="E233" s="496"/>
      <c r="F233" s="496"/>
      <c r="G233" s="496"/>
      <c r="H233" s="496"/>
      <c r="I233" s="496"/>
      <c r="J233" s="496"/>
      <c r="K233" s="496"/>
    </row>
    <row r="234" spans="1:11" ht="30" customHeight="1">
      <c r="A234" s="860" t="s">
        <v>122</v>
      </c>
      <c r="B234" s="901" t="s">
        <v>646</v>
      </c>
      <c r="C234" s="901"/>
      <c r="D234" s="901"/>
      <c r="E234" s="901"/>
      <c r="F234" s="901"/>
      <c r="G234" s="901"/>
      <c r="H234" s="901"/>
      <c r="I234" s="901"/>
      <c r="J234" s="901"/>
      <c r="K234" s="901"/>
    </row>
    <row r="235" spans="1:11" ht="51" customHeight="1">
      <c r="A235" s="907" t="s">
        <v>586</v>
      </c>
      <c r="B235" s="901" t="s">
        <v>185</v>
      </c>
      <c r="C235" s="901"/>
      <c r="D235" s="901"/>
      <c r="E235" s="901"/>
      <c r="F235" s="901"/>
      <c r="G235" s="901"/>
      <c r="H235" s="901"/>
      <c r="I235" s="901"/>
      <c r="J235" s="901"/>
      <c r="K235" s="901"/>
    </row>
    <row r="236" spans="1:11">
      <c r="A236" s="907"/>
      <c r="B236" s="254" t="s">
        <v>72</v>
      </c>
      <c r="C236" s="254" t="s">
        <v>754</v>
      </c>
      <c r="D236" s="390">
        <v>0.21</v>
      </c>
      <c r="E236" s="254" t="s">
        <v>363</v>
      </c>
      <c r="F236" s="254"/>
      <c r="G236" s="254"/>
      <c r="H236" s="254"/>
      <c r="I236" s="254"/>
      <c r="J236" s="254"/>
      <c r="K236" s="254"/>
    </row>
    <row r="237" spans="1:11">
      <c r="A237" s="907"/>
      <c r="B237" s="254"/>
      <c r="C237" s="254" t="s">
        <v>73</v>
      </c>
      <c r="D237" s="390">
        <v>6.5000000000000002E-2</v>
      </c>
      <c r="E237" s="254" t="s">
        <v>118</v>
      </c>
      <c r="F237" s="254"/>
      <c r="G237" s="254"/>
      <c r="H237" s="254"/>
      <c r="I237" s="254"/>
      <c r="J237" s="254"/>
      <c r="K237" s="254"/>
    </row>
    <row r="238" spans="1:11">
      <c r="A238" s="907"/>
      <c r="B238" s="254"/>
      <c r="C238" s="254" t="s">
        <v>74</v>
      </c>
      <c r="D238" s="390">
        <v>0</v>
      </c>
      <c r="E238" s="254" t="s">
        <v>119</v>
      </c>
      <c r="F238" s="254"/>
      <c r="G238" s="254"/>
      <c r="H238" s="254"/>
      <c r="I238" s="254"/>
      <c r="J238" s="254"/>
      <c r="K238" s="254"/>
    </row>
    <row r="239" spans="1:11">
      <c r="A239" s="907"/>
      <c r="B239" s="254"/>
      <c r="C239" s="254" t="s">
        <v>120</v>
      </c>
      <c r="D239" s="390">
        <v>0</v>
      </c>
      <c r="E239" s="254" t="s">
        <v>121</v>
      </c>
      <c r="F239" s="254"/>
      <c r="G239" s="254"/>
      <c r="H239" s="254"/>
      <c r="I239" s="254"/>
      <c r="J239" s="254"/>
      <c r="K239" s="254"/>
    </row>
    <row r="240" spans="1:11">
      <c r="A240" s="585" t="s">
        <v>595</v>
      </c>
      <c r="B240" s="13" t="s">
        <v>815</v>
      </c>
    </row>
    <row r="241" spans="1:11" ht="19.5" customHeight="1">
      <c r="A241" s="858" t="s">
        <v>124</v>
      </c>
      <c r="B241" s="901" t="s">
        <v>123</v>
      </c>
      <c r="C241" s="901"/>
      <c r="D241" s="901"/>
      <c r="E241" s="901"/>
      <c r="F241" s="901"/>
      <c r="G241" s="901"/>
      <c r="H241" s="901"/>
      <c r="I241" s="901"/>
      <c r="J241" s="901"/>
      <c r="K241" s="901"/>
    </row>
    <row r="242" spans="1:11" s="583" customFormat="1" ht="81" customHeight="1">
      <c r="A242" s="858" t="s">
        <v>125</v>
      </c>
      <c r="B242" s="908" t="s">
        <v>790</v>
      </c>
      <c r="C242" s="908"/>
      <c r="D242" s="908"/>
      <c r="E242" s="908"/>
      <c r="F242" s="908"/>
      <c r="G242" s="908"/>
      <c r="H242" s="908"/>
      <c r="I242" s="908"/>
      <c r="J242" s="908"/>
      <c r="K242" s="908"/>
    </row>
    <row r="243" spans="1:11" s="217" customFormat="1" ht="15.75" customHeight="1">
      <c r="A243" s="859" t="s">
        <v>126</v>
      </c>
      <c r="B243" s="271" t="s">
        <v>716</v>
      </c>
      <c r="C243" s="270"/>
      <c r="D243" s="270"/>
      <c r="E243" s="270"/>
      <c r="F243" s="270"/>
      <c r="G243" s="270"/>
      <c r="H243" s="270"/>
      <c r="I243" s="270"/>
      <c r="J243" s="270"/>
      <c r="K243" s="270"/>
    </row>
    <row r="244" spans="1:11" s="217" customFormat="1" ht="31.5" customHeight="1">
      <c r="A244" s="859" t="s">
        <v>598</v>
      </c>
      <c r="B244" s="901" t="s">
        <v>604</v>
      </c>
      <c r="C244" s="901"/>
      <c r="D244" s="901"/>
      <c r="E244" s="901"/>
      <c r="F244" s="901"/>
      <c r="G244" s="901"/>
      <c r="H244" s="901"/>
      <c r="I244" s="901"/>
      <c r="J244" s="901"/>
      <c r="K244" s="901"/>
    </row>
    <row r="245" spans="1:11" ht="21" customHeight="1">
      <c r="A245" s="858" t="s">
        <v>600</v>
      </c>
      <c r="B245" s="901" t="s">
        <v>717</v>
      </c>
      <c r="C245" s="901"/>
      <c r="D245" s="901"/>
      <c r="E245" s="901"/>
      <c r="F245" s="901"/>
      <c r="G245" s="901"/>
      <c r="H245" s="901"/>
      <c r="I245" s="901"/>
      <c r="J245" s="901"/>
      <c r="K245" s="901"/>
    </row>
    <row r="246" spans="1:11">
      <c r="A246" s="858" t="s">
        <v>602</v>
      </c>
      <c r="B246" s="901" t="s">
        <v>603</v>
      </c>
      <c r="C246" s="901"/>
      <c r="D246" s="901"/>
      <c r="E246" s="901"/>
      <c r="F246" s="901"/>
      <c r="G246" s="901"/>
      <c r="H246" s="901"/>
      <c r="I246" s="901"/>
      <c r="J246" s="901"/>
      <c r="K246" s="901"/>
    </row>
    <row r="247" spans="1:11" s="324" customFormat="1">
      <c r="A247" s="861" t="s">
        <v>246</v>
      </c>
      <c r="B247" s="510" t="s">
        <v>644</v>
      </c>
      <c r="C247" s="500"/>
      <c r="D247" s="500"/>
      <c r="E247" s="500"/>
      <c r="F247" s="500"/>
      <c r="G247" s="500"/>
      <c r="H247" s="500"/>
      <c r="I247" s="500"/>
      <c r="J247" s="500"/>
      <c r="K247" s="500"/>
    </row>
    <row r="248" spans="1:11" s="324" customFormat="1">
      <c r="A248" s="504"/>
      <c r="B248" s="497"/>
      <c r="C248" s="498"/>
      <c r="D248" s="498"/>
      <c r="E248" s="498"/>
      <c r="F248" s="498"/>
      <c r="G248" s="498"/>
      <c r="H248" s="498"/>
      <c r="I248" s="498"/>
      <c r="J248" s="498"/>
      <c r="K248" s="498"/>
    </row>
  </sheetData>
  <customSheetViews>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1"/>
    </customSheetView>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2"/>
    </customSheetView>
  </customSheetViews>
  <mergeCells count="22">
    <mergeCell ref="B244:K244"/>
    <mergeCell ref="B245:K245"/>
    <mergeCell ref="B246:K246"/>
    <mergeCell ref="A235:A239"/>
    <mergeCell ref="B242:K242"/>
    <mergeCell ref="B235:K235"/>
    <mergeCell ref="B241:K241"/>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3"/>
  <sheetViews>
    <sheetView view="pageBreakPreview" zoomScale="80" zoomScaleNormal="90" zoomScaleSheetLayoutView="80" workbookViewId="0">
      <selection sqref="A1:G1"/>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11.6640625" style="351" customWidth="1"/>
    <col min="6" max="6" width="14.21875" style="351" customWidth="1"/>
    <col min="7" max="7" width="13" style="351" bestFit="1" customWidth="1"/>
    <col min="8" max="8" width="11.109375" style="351" bestFit="1" customWidth="1"/>
    <col min="9" max="9" width="11.77734375" style="351" customWidth="1"/>
    <col min="10" max="10" width="11.886718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15" customHeight="1">
      <c r="A1" s="936" t="s">
        <v>414</v>
      </c>
      <c r="B1" s="936"/>
      <c r="C1" s="936"/>
      <c r="D1" s="936"/>
      <c r="E1" s="936"/>
      <c r="F1" s="936"/>
      <c r="G1" s="936"/>
      <c r="H1" s="362"/>
      <c r="I1" s="362"/>
      <c r="J1" s="362"/>
      <c r="K1" s="362"/>
    </row>
    <row r="2" spans="1:12" s="336" customFormat="1">
      <c r="A2" s="936" t="s">
        <v>806</v>
      </c>
      <c r="B2" s="936"/>
      <c r="C2" s="936"/>
      <c r="D2" s="936"/>
      <c r="E2" s="936"/>
      <c r="F2" s="936"/>
      <c r="G2" s="936"/>
      <c r="H2" s="362"/>
      <c r="I2" s="362"/>
      <c r="J2" s="362"/>
      <c r="K2" s="362"/>
    </row>
    <row r="3" spans="1:12" s="336" customFormat="1" ht="15" customHeight="1">
      <c r="A3" s="928" t="str">
        <f>+'Attachment H-26'!D5</f>
        <v>Transource West Virginia, LLC</v>
      </c>
      <c r="B3" s="928"/>
      <c r="C3" s="928"/>
      <c r="D3" s="928"/>
      <c r="E3" s="928"/>
      <c r="F3" s="928"/>
      <c r="G3" s="928"/>
      <c r="H3" s="36"/>
      <c r="I3" s="36"/>
      <c r="J3" s="36"/>
      <c r="K3" s="36"/>
      <c r="L3" s="337"/>
    </row>
    <row r="4" spans="1:12" s="336" customFormat="1">
      <c r="A4" s="385"/>
      <c r="L4" s="337"/>
    </row>
    <row r="5" spans="1:12" s="336" customFormat="1" ht="35.25" customHeight="1">
      <c r="A5" s="338"/>
      <c r="B5" s="912" t="s">
        <v>837</v>
      </c>
      <c r="C5" s="912"/>
      <c r="D5" s="912"/>
      <c r="E5" s="912"/>
      <c r="F5" s="912"/>
      <c r="G5" s="912"/>
      <c r="H5" s="353"/>
      <c r="I5" s="353"/>
      <c r="J5" s="337"/>
      <c r="K5" s="337"/>
      <c r="L5" s="337"/>
    </row>
    <row r="6" spans="1:12" s="336" customFormat="1" ht="27" customHeight="1">
      <c r="A6" s="338"/>
      <c r="B6" s="912" t="s">
        <v>798</v>
      </c>
      <c r="C6" s="912"/>
      <c r="D6" s="912"/>
      <c r="E6" s="912"/>
      <c r="F6" s="912"/>
      <c r="G6" s="912"/>
      <c r="H6" s="353"/>
      <c r="I6" s="353"/>
      <c r="J6" s="337"/>
      <c r="K6" s="337"/>
      <c r="L6" s="337"/>
    </row>
    <row r="7" spans="1:12" s="336" customFormat="1" ht="31.5" customHeight="1">
      <c r="A7" s="338"/>
      <c r="B7" s="937" t="s">
        <v>799</v>
      </c>
      <c r="C7" s="937"/>
      <c r="D7" s="937"/>
      <c r="E7" s="937"/>
      <c r="F7" s="937"/>
      <c r="G7" s="937"/>
      <c r="H7" s="352"/>
      <c r="I7" s="352"/>
      <c r="J7" s="352"/>
      <c r="K7" s="352"/>
      <c r="L7" s="386"/>
    </row>
    <row r="8" spans="1:12" s="336" customFormat="1" ht="18.75" customHeight="1">
      <c r="A8" s="338"/>
      <c r="B8" s="912" t="s">
        <v>800</v>
      </c>
      <c r="C8" s="912"/>
      <c r="D8" s="912"/>
      <c r="E8" s="912"/>
      <c r="F8" s="912"/>
      <c r="G8" s="912"/>
      <c r="H8" s="386"/>
      <c r="I8" s="386"/>
      <c r="J8" s="352"/>
      <c r="K8" s="352"/>
      <c r="L8" s="386"/>
    </row>
    <row r="9" spans="1:12" s="336" customFormat="1" ht="31.5" customHeight="1">
      <c r="A9" s="338"/>
      <c r="B9" s="912" t="s">
        <v>852</v>
      </c>
      <c r="C9" s="912"/>
      <c r="D9" s="912"/>
      <c r="E9" s="912"/>
      <c r="F9" s="912"/>
      <c r="G9" s="912"/>
      <c r="H9" s="762"/>
      <c r="I9" s="762"/>
      <c r="J9" s="352"/>
      <c r="K9" s="352"/>
      <c r="L9" s="762"/>
    </row>
    <row r="10" spans="1:12" s="336" customFormat="1" ht="29.25" customHeight="1">
      <c r="A10" s="221" t="s">
        <v>195</v>
      </c>
      <c r="C10" s="337"/>
      <c r="D10" s="337"/>
      <c r="E10" s="337"/>
      <c r="F10" s="337"/>
      <c r="G10" s="339"/>
      <c r="H10" s="337"/>
      <c r="I10" s="337"/>
      <c r="J10" s="337"/>
      <c r="K10" s="337"/>
      <c r="L10" s="337"/>
    </row>
    <row r="11" spans="1:12" s="336" customFormat="1" ht="16.5" customHeight="1">
      <c r="A11" s="387">
        <v>1</v>
      </c>
      <c r="B11" s="336" t="s">
        <v>678</v>
      </c>
      <c r="C11" s="382"/>
      <c r="D11" s="354" t="e">
        <f>I33</f>
        <v>#DIV/0!</v>
      </c>
      <c r="E11" s="382"/>
      <c r="F11" s="382"/>
      <c r="H11" s="337"/>
      <c r="I11" s="337"/>
      <c r="J11" s="337"/>
      <c r="K11" s="337"/>
      <c r="L11" s="337"/>
    </row>
    <row r="12" spans="1:12" s="336" customFormat="1" ht="16.5" customHeight="1">
      <c r="A12" s="387">
        <f>+A11+1</f>
        <v>2</v>
      </c>
      <c r="B12" s="336" t="s">
        <v>510</v>
      </c>
      <c r="C12" s="382"/>
      <c r="D12" s="354" t="e">
        <f>+G53</f>
        <v>#DIV/0!</v>
      </c>
      <c r="E12" s="382"/>
      <c r="F12" s="382"/>
      <c r="H12" s="337"/>
      <c r="I12" s="337"/>
      <c r="J12" s="337"/>
      <c r="K12" s="337"/>
      <c r="L12" s="337"/>
    </row>
    <row r="13" spans="1:12" s="336" customFormat="1" ht="16.5" customHeight="1">
      <c r="A13" s="387">
        <f>+A12+1</f>
        <v>3</v>
      </c>
      <c r="B13" s="359" t="s">
        <v>430</v>
      </c>
      <c r="C13" s="382"/>
      <c r="D13" s="360" t="e">
        <f>+D11+D12</f>
        <v>#DIV/0!</v>
      </c>
      <c r="E13" s="382"/>
      <c r="F13" s="382"/>
      <c r="H13" s="337"/>
      <c r="I13" s="337"/>
      <c r="J13" s="337"/>
      <c r="K13" s="337"/>
      <c r="L13" s="337"/>
    </row>
    <row r="14" spans="1:12" s="336" customFormat="1" ht="6" customHeight="1">
      <c r="A14" s="387"/>
      <c r="B14" s="340"/>
      <c r="C14" s="382"/>
      <c r="D14" s="370"/>
      <c r="E14" s="382"/>
      <c r="F14" s="382"/>
      <c r="H14" s="337"/>
      <c r="I14" s="337"/>
      <c r="J14" s="337"/>
      <c r="K14" s="337"/>
      <c r="L14" s="337"/>
    </row>
    <row r="15" spans="1:12" s="336" customFormat="1" ht="16.5" customHeight="1">
      <c r="A15" s="387"/>
      <c r="B15" s="340" t="s">
        <v>499</v>
      </c>
      <c r="C15" s="382"/>
      <c r="D15" s="370"/>
      <c r="E15" s="382"/>
      <c r="F15" s="382"/>
      <c r="H15" s="337"/>
      <c r="I15" s="337"/>
      <c r="J15" s="337"/>
      <c r="K15" s="337"/>
      <c r="L15" s="337"/>
    </row>
    <row r="16" spans="1:12" s="336" customFormat="1" ht="16.5" customHeight="1">
      <c r="A16" s="387">
        <f>A13+1</f>
        <v>4</v>
      </c>
      <c r="B16" s="337" t="s">
        <v>500</v>
      </c>
      <c r="C16" s="382"/>
      <c r="D16" s="886"/>
      <c r="E16" s="382"/>
      <c r="F16" s="382"/>
      <c r="H16" s="337"/>
      <c r="I16" s="337"/>
      <c r="J16" s="337"/>
      <c r="K16" s="337"/>
      <c r="L16" s="337"/>
    </row>
    <row r="17" spans="1:13" s="336" customFormat="1" ht="16.5" customHeight="1">
      <c r="A17" s="387">
        <f>A16+1</f>
        <v>5</v>
      </c>
      <c r="B17" s="337" t="s">
        <v>507</v>
      </c>
      <c r="C17" s="382"/>
      <c r="D17" s="348">
        <f>+C60</f>
        <v>0</v>
      </c>
      <c r="E17" s="887"/>
      <c r="F17" s="382"/>
      <c r="H17" s="337"/>
      <c r="I17" s="337"/>
      <c r="J17" s="337"/>
      <c r="K17" s="337"/>
      <c r="L17" s="337"/>
    </row>
    <row r="18" spans="1:13" s="336" customFormat="1" ht="60.75" customHeight="1">
      <c r="A18" s="387"/>
      <c r="B18" s="3" t="s">
        <v>442</v>
      </c>
      <c r="C18" s="382"/>
      <c r="D18" s="368" t="s">
        <v>501</v>
      </c>
      <c r="E18" s="368" t="s">
        <v>502</v>
      </c>
      <c r="F18" s="400" t="s">
        <v>503</v>
      </c>
      <c r="G18" s="400" t="s">
        <v>504</v>
      </c>
      <c r="H18" s="400" t="s">
        <v>505</v>
      </c>
      <c r="I18" s="400" t="s">
        <v>506</v>
      </c>
      <c r="J18" s="337"/>
      <c r="K18" s="337"/>
      <c r="L18" s="337"/>
      <c r="M18" s="337"/>
    </row>
    <row r="19" spans="1:13" s="336" customFormat="1" ht="21" customHeight="1">
      <c r="A19" s="387"/>
      <c r="B19" s="383" t="s">
        <v>196</v>
      </c>
      <c r="C19" s="382"/>
      <c r="D19" s="369" t="s">
        <v>197</v>
      </c>
      <c r="E19" s="369" t="s">
        <v>198</v>
      </c>
      <c r="F19" s="369" t="s">
        <v>199</v>
      </c>
      <c r="G19" s="369" t="s">
        <v>201</v>
      </c>
      <c r="H19" s="369" t="s">
        <v>200</v>
      </c>
      <c r="I19" s="369" t="s">
        <v>202</v>
      </c>
      <c r="J19" s="337"/>
      <c r="K19" s="337"/>
      <c r="L19" s="337"/>
      <c r="M19" s="337"/>
    </row>
    <row r="20" spans="1:13" s="336" customFormat="1" ht="16.5" customHeight="1">
      <c r="A20" s="387">
        <f>A17+1</f>
        <v>6</v>
      </c>
      <c r="B20" s="5" t="s">
        <v>193</v>
      </c>
      <c r="C20" s="382"/>
      <c r="D20" s="889"/>
      <c r="E20" s="889"/>
      <c r="F20" s="298">
        <f>D20-E20</f>
        <v>0</v>
      </c>
      <c r="G20" s="874">
        <f>($D$16/12)*F20</f>
        <v>0</v>
      </c>
      <c r="H20" s="298">
        <f>($D$17/12)*E20</f>
        <v>0</v>
      </c>
      <c r="I20" s="337"/>
      <c r="J20" s="888"/>
      <c r="K20" s="337"/>
      <c r="L20" s="337"/>
      <c r="M20" s="337"/>
    </row>
    <row r="21" spans="1:13" s="336" customFormat="1" ht="16.5" customHeight="1">
      <c r="A21" s="387">
        <f>+A20+1</f>
        <v>7</v>
      </c>
      <c r="B21" s="5" t="s">
        <v>85</v>
      </c>
      <c r="C21" s="382"/>
      <c r="D21" s="889"/>
      <c r="E21" s="889"/>
      <c r="F21" s="298">
        <f t="shared" ref="F21:F32" si="0">D21-E21</f>
        <v>0</v>
      </c>
      <c r="G21" s="874">
        <f t="shared" ref="G21:G32" si="1">($D$16/12)*F21</f>
        <v>0</v>
      </c>
      <c r="H21" s="298">
        <f t="shared" ref="H21:H32" si="2">($D$17/12)*E21</f>
        <v>0</v>
      </c>
      <c r="I21" s="337"/>
      <c r="J21" s="888"/>
      <c r="K21" s="337"/>
      <c r="L21" s="337"/>
      <c r="M21" s="337"/>
    </row>
    <row r="22" spans="1:13" s="336" customFormat="1" ht="16.5" customHeight="1">
      <c r="A22" s="387">
        <f t="shared" ref="A22:A33" si="3">+A21+1</f>
        <v>8</v>
      </c>
      <c r="B22" s="1" t="s">
        <v>84</v>
      </c>
      <c r="C22" s="382"/>
      <c r="D22" s="889"/>
      <c r="E22" s="889"/>
      <c r="F22" s="298">
        <f t="shared" si="0"/>
        <v>0</v>
      </c>
      <c r="G22" s="874">
        <f t="shared" si="1"/>
        <v>0</v>
      </c>
      <c r="H22" s="298">
        <f>($D$17/12)*E22</f>
        <v>0</v>
      </c>
      <c r="I22" s="337"/>
      <c r="J22" s="888"/>
      <c r="K22" s="337"/>
      <c r="L22" s="337"/>
      <c r="M22" s="337"/>
    </row>
    <row r="23" spans="1:13" s="336" customFormat="1" ht="16.5" customHeight="1">
      <c r="A23" s="387">
        <f t="shared" si="3"/>
        <v>9</v>
      </c>
      <c r="B23" s="1" t="s">
        <v>170</v>
      </c>
      <c r="C23" s="382"/>
      <c r="D23" s="889"/>
      <c r="E23" s="889"/>
      <c r="F23" s="298">
        <f t="shared" si="0"/>
        <v>0</v>
      </c>
      <c r="G23" s="874">
        <f>($D$16/12)*F23</f>
        <v>0</v>
      </c>
      <c r="H23" s="298">
        <f>($D$17/12)*E23</f>
        <v>0</v>
      </c>
      <c r="I23" s="337"/>
      <c r="J23" s="888"/>
      <c r="K23" s="337"/>
      <c r="L23" s="337"/>
      <c r="M23" s="337"/>
    </row>
    <row r="24" spans="1:13" s="336" customFormat="1" ht="16.5" customHeight="1">
      <c r="A24" s="387">
        <f t="shared" si="3"/>
        <v>10</v>
      </c>
      <c r="B24" s="1" t="s">
        <v>76</v>
      </c>
      <c r="C24" s="382"/>
      <c r="D24" s="889"/>
      <c r="E24" s="889"/>
      <c r="F24" s="298">
        <f t="shared" si="0"/>
        <v>0</v>
      </c>
      <c r="G24" s="874">
        <f>($D$16/12)*F24</f>
        <v>0</v>
      </c>
      <c r="H24" s="298">
        <f>($D$17/12)*E24</f>
        <v>0</v>
      </c>
      <c r="I24" s="337"/>
      <c r="J24" s="888"/>
      <c r="K24" s="337"/>
      <c r="L24" s="337"/>
      <c r="M24" s="337"/>
    </row>
    <row r="25" spans="1:13" s="336" customFormat="1" ht="16.5" customHeight="1">
      <c r="A25" s="387">
        <f t="shared" si="3"/>
        <v>11</v>
      </c>
      <c r="B25" s="1" t="s">
        <v>75</v>
      </c>
      <c r="C25" s="382"/>
      <c r="D25" s="889"/>
      <c r="E25" s="889"/>
      <c r="F25" s="298">
        <f t="shared" si="0"/>
        <v>0</v>
      </c>
      <c r="G25" s="874">
        <f t="shared" si="1"/>
        <v>0</v>
      </c>
      <c r="H25" s="298">
        <f t="shared" si="2"/>
        <v>0</v>
      </c>
      <c r="I25" s="337"/>
      <c r="J25" s="888"/>
      <c r="K25" s="337"/>
      <c r="L25" s="337"/>
      <c r="M25" s="851"/>
    </row>
    <row r="26" spans="1:13" s="336" customFormat="1" ht="16.5" customHeight="1">
      <c r="A26" s="387">
        <f t="shared" si="3"/>
        <v>12</v>
      </c>
      <c r="B26" s="1" t="s">
        <v>95</v>
      </c>
      <c r="C26" s="382"/>
      <c r="D26" s="889"/>
      <c r="E26" s="889"/>
      <c r="F26" s="298">
        <f t="shared" si="0"/>
        <v>0</v>
      </c>
      <c r="G26" s="874">
        <f t="shared" si="1"/>
        <v>0</v>
      </c>
      <c r="H26" s="298">
        <f t="shared" si="2"/>
        <v>0</v>
      </c>
      <c r="I26" s="337"/>
      <c r="J26" s="888"/>
      <c r="K26" s="337"/>
      <c r="L26" s="337"/>
      <c r="M26" s="874"/>
    </row>
    <row r="27" spans="1:13" s="336" customFormat="1" ht="16.5" customHeight="1">
      <c r="A27" s="387">
        <f t="shared" si="3"/>
        <v>13</v>
      </c>
      <c r="B27" s="1" t="s">
        <v>82</v>
      </c>
      <c r="C27" s="382"/>
      <c r="D27" s="889"/>
      <c r="E27" s="889"/>
      <c r="F27" s="298">
        <f t="shared" si="0"/>
        <v>0</v>
      </c>
      <c r="G27" s="874">
        <f t="shared" si="1"/>
        <v>0</v>
      </c>
      <c r="H27" s="298">
        <f>($D$17/12)*E27</f>
        <v>0</v>
      </c>
      <c r="I27" s="337"/>
      <c r="J27" s="888"/>
      <c r="K27" s="337"/>
      <c r="L27" s="337"/>
      <c r="M27" s="337"/>
    </row>
    <row r="28" spans="1:13" s="336" customFormat="1" ht="16.5" customHeight="1">
      <c r="A28" s="387">
        <f t="shared" si="3"/>
        <v>14</v>
      </c>
      <c r="B28" s="1" t="s">
        <v>171</v>
      </c>
      <c r="C28" s="382"/>
      <c r="D28" s="889"/>
      <c r="E28" s="889"/>
      <c r="F28" s="298">
        <f t="shared" si="0"/>
        <v>0</v>
      </c>
      <c r="G28" s="874">
        <f>($D$16/12)*F28</f>
        <v>0</v>
      </c>
      <c r="H28" s="298">
        <f>($D$17/12)*E28</f>
        <v>0</v>
      </c>
      <c r="I28" s="337"/>
      <c r="J28" s="888"/>
      <c r="K28" s="337"/>
      <c r="L28" s="337"/>
      <c r="M28" s="337"/>
    </row>
    <row r="29" spans="1:13" s="336" customFormat="1" ht="16.5" customHeight="1">
      <c r="A29" s="387">
        <f t="shared" si="3"/>
        <v>15</v>
      </c>
      <c r="B29" s="1" t="s">
        <v>80</v>
      </c>
      <c r="C29" s="382"/>
      <c r="D29" s="889"/>
      <c r="E29" s="889"/>
      <c r="F29" s="298">
        <f t="shared" si="0"/>
        <v>0</v>
      </c>
      <c r="G29" s="874">
        <f t="shared" si="1"/>
        <v>0</v>
      </c>
      <c r="H29" s="298">
        <f>($D$17/12)*E29</f>
        <v>0</v>
      </c>
      <c r="I29" s="337"/>
      <c r="J29" s="888"/>
      <c r="K29" s="337"/>
      <c r="L29" s="337"/>
      <c r="M29" s="337"/>
    </row>
    <row r="30" spans="1:13" s="336" customFormat="1" ht="16.5" customHeight="1">
      <c r="A30" s="387">
        <f t="shared" si="3"/>
        <v>16</v>
      </c>
      <c r="B30" s="1" t="s">
        <v>86</v>
      </c>
      <c r="C30" s="382"/>
      <c r="D30" s="889"/>
      <c r="E30" s="889"/>
      <c r="F30" s="298">
        <f t="shared" si="0"/>
        <v>0</v>
      </c>
      <c r="G30" s="874">
        <f t="shared" si="1"/>
        <v>0</v>
      </c>
      <c r="H30" s="298">
        <f>($D$17/12)*E30</f>
        <v>0</v>
      </c>
      <c r="I30" s="337"/>
      <c r="J30" s="888"/>
      <c r="K30" s="337"/>
      <c r="L30" s="337"/>
      <c r="M30" s="337"/>
    </row>
    <row r="31" spans="1:13" s="336" customFormat="1" ht="16.5" customHeight="1">
      <c r="A31" s="387">
        <f t="shared" si="3"/>
        <v>17</v>
      </c>
      <c r="B31" s="1" t="s">
        <v>79</v>
      </c>
      <c r="C31" s="382"/>
      <c r="D31" s="889"/>
      <c r="E31" s="889"/>
      <c r="F31" s="298">
        <f t="shared" si="0"/>
        <v>0</v>
      </c>
      <c r="G31" s="874">
        <f>($D$16/12)*F31</f>
        <v>0</v>
      </c>
      <c r="H31" s="298">
        <f t="shared" si="2"/>
        <v>0</v>
      </c>
      <c r="I31" s="337"/>
      <c r="J31" s="888"/>
      <c r="K31" s="337"/>
      <c r="L31" s="337"/>
      <c r="M31" s="337"/>
    </row>
    <row r="32" spans="1:13" s="336" customFormat="1" ht="16.5" customHeight="1">
      <c r="A32" s="387">
        <f t="shared" si="3"/>
        <v>18</v>
      </c>
      <c r="B32" s="1" t="s">
        <v>194</v>
      </c>
      <c r="C32" s="382"/>
      <c r="D32" s="889"/>
      <c r="E32" s="889"/>
      <c r="F32" s="876">
        <f t="shared" si="0"/>
        <v>0</v>
      </c>
      <c r="G32" s="875">
        <f t="shared" si="1"/>
        <v>0</v>
      </c>
      <c r="H32" s="876">
        <f t="shared" si="2"/>
        <v>0</v>
      </c>
      <c r="I32" s="401"/>
      <c r="J32" s="888"/>
      <c r="K32" s="337"/>
      <c r="L32" s="337"/>
      <c r="M32" s="337"/>
    </row>
    <row r="33" spans="1:13" s="336" customFormat="1" ht="16.5" customHeight="1">
      <c r="A33" s="387">
        <f t="shared" si="3"/>
        <v>19</v>
      </c>
      <c r="B33" s="6" t="s">
        <v>258</v>
      </c>
      <c r="C33" s="382"/>
      <c r="D33" s="892"/>
      <c r="E33" s="402">
        <f>SUM(E20:E32)/13</f>
        <v>0</v>
      </c>
      <c r="F33" s="877"/>
      <c r="G33" s="874">
        <f>SUM(G20:G32)</f>
        <v>0</v>
      </c>
      <c r="H33" s="298">
        <f>SUM(H20:H32)</f>
        <v>0</v>
      </c>
      <c r="I33" s="354" t="e">
        <f>(G33+H33)/E33</f>
        <v>#DIV/0!</v>
      </c>
      <c r="J33" s="888"/>
      <c r="K33" s="337"/>
      <c r="L33" s="337"/>
      <c r="M33" s="337"/>
    </row>
    <row r="34" spans="1:13" s="336" customFormat="1" ht="21" customHeight="1">
      <c r="A34" s="387"/>
      <c r="B34" s="403"/>
      <c r="C34" s="337"/>
      <c r="D34" s="337"/>
      <c r="E34" s="343"/>
      <c r="F34" s="337"/>
      <c r="G34" s="339"/>
      <c r="H34" s="343"/>
      <c r="I34" s="888"/>
      <c r="J34" s="337"/>
      <c r="K34" s="337"/>
      <c r="L34" s="337"/>
    </row>
    <row r="35" spans="1:13" s="336" customFormat="1" ht="15.75" customHeight="1">
      <c r="A35" s="387"/>
      <c r="B35" s="912" t="s">
        <v>751</v>
      </c>
      <c r="C35" s="912"/>
      <c r="D35" s="912"/>
      <c r="E35" s="912"/>
      <c r="F35" s="912"/>
      <c r="G35" s="912"/>
      <c r="H35" s="912"/>
      <c r="I35" s="912"/>
      <c r="J35" s="337"/>
      <c r="K35" s="337"/>
      <c r="L35" s="337"/>
    </row>
    <row r="36" spans="1:13" s="336" customFormat="1">
      <c r="A36" s="387"/>
      <c r="B36" s="337"/>
      <c r="C36" s="216" t="s">
        <v>196</v>
      </c>
      <c r="D36" s="216" t="s">
        <v>197</v>
      </c>
      <c r="E36" s="366" t="s">
        <v>433</v>
      </c>
      <c r="F36" s="356" t="s">
        <v>199</v>
      </c>
      <c r="G36" s="356" t="s">
        <v>201</v>
      </c>
      <c r="H36" s="356" t="s">
        <v>200</v>
      </c>
      <c r="I36" s="356" t="s">
        <v>202</v>
      </c>
      <c r="J36" s="337"/>
      <c r="K36" s="337"/>
      <c r="L36" s="337"/>
    </row>
    <row r="37" spans="1:13" s="336" customFormat="1" ht="55.5" customHeight="1">
      <c r="A37" s="387"/>
      <c r="B37" s="340" t="s">
        <v>418</v>
      </c>
      <c r="C37" s="361" t="s">
        <v>419</v>
      </c>
      <c r="D37" s="297" t="s">
        <v>859</v>
      </c>
      <c r="E37" s="363" t="s">
        <v>437</v>
      </c>
      <c r="F37" s="363" t="s">
        <v>434</v>
      </c>
      <c r="G37" s="363" t="s">
        <v>443</v>
      </c>
      <c r="H37" s="363" t="s">
        <v>438</v>
      </c>
      <c r="I37" s="363" t="s">
        <v>439</v>
      </c>
      <c r="J37" s="337"/>
      <c r="K37" s="337"/>
      <c r="L37" s="337"/>
    </row>
    <row r="38" spans="1:13" s="336" customFormat="1">
      <c r="A38" s="387">
        <f>+A33+1</f>
        <v>20</v>
      </c>
      <c r="B38" s="337" t="s">
        <v>420</v>
      </c>
      <c r="C38" s="889"/>
      <c r="D38" s="889"/>
      <c r="E38" s="889"/>
      <c r="F38" s="889"/>
      <c r="G38" s="367" t="e">
        <f t="shared" ref="G38:G43" si="4">+D38/F38</f>
        <v>#DIV/0!</v>
      </c>
      <c r="H38" s="889">
        <v>0</v>
      </c>
      <c r="I38" s="367" t="e">
        <f t="shared" ref="I38:I43" si="5">MAX(+D38-G38-H38,0)</f>
        <v>#DIV/0!</v>
      </c>
      <c r="J38" s="357"/>
      <c r="K38" s="343"/>
      <c r="L38" s="337"/>
    </row>
    <row r="39" spans="1:13" s="336" customFormat="1">
      <c r="A39" s="387">
        <f>+A38+1</f>
        <v>21</v>
      </c>
      <c r="B39" s="337" t="s">
        <v>421</v>
      </c>
      <c r="C39" s="889"/>
      <c r="D39" s="889"/>
      <c r="E39" s="889"/>
      <c r="F39" s="889"/>
      <c r="G39" s="367" t="e">
        <f>+D39/F39</f>
        <v>#DIV/0!</v>
      </c>
      <c r="H39" s="889">
        <v>0</v>
      </c>
      <c r="I39" s="367" t="e">
        <f t="shared" si="5"/>
        <v>#DIV/0!</v>
      </c>
      <c r="J39" s="344"/>
      <c r="K39" s="337"/>
      <c r="L39" s="337"/>
      <c r="M39" s="345"/>
    </row>
    <row r="40" spans="1:13" s="336" customFormat="1">
      <c r="A40" s="387">
        <f t="shared" ref="A40:A53" si="6">+A39+1</f>
        <v>22</v>
      </c>
      <c r="B40" s="337" t="s">
        <v>422</v>
      </c>
      <c r="C40" s="889"/>
      <c r="D40" s="889"/>
      <c r="E40" s="889"/>
      <c r="F40" s="889"/>
      <c r="G40" s="367" t="e">
        <f t="shared" si="4"/>
        <v>#DIV/0!</v>
      </c>
      <c r="H40" s="889">
        <v>0</v>
      </c>
      <c r="I40" s="367" t="e">
        <f t="shared" si="5"/>
        <v>#DIV/0!</v>
      </c>
      <c r="J40" s="344"/>
      <c r="K40" s="346"/>
      <c r="L40" s="337"/>
    </row>
    <row r="41" spans="1:13" s="336" customFormat="1">
      <c r="A41" s="387">
        <f t="shared" si="6"/>
        <v>23</v>
      </c>
      <c r="B41" s="337" t="s">
        <v>423</v>
      </c>
      <c r="C41" s="889"/>
      <c r="D41" s="889"/>
      <c r="E41" s="889"/>
      <c r="F41" s="889"/>
      <c r="G41" s="367" t="e">
        <f>+D41/F41</f>
        <v>#DIV/0!</v>
      </c>
      <c r="H41" s="889">
        <v>0</v>
      </c>
      <c r="I41" s="367" t="e">
        <f t="shared" si="5"/>
        <v>#DIV/0!</v>
      </c>
      <c r="J41" s="337"/>
      <c r="K41" s="337"/>
      <c r="L41" s="337"/>
    </row>
    <row r="42" spans="1:13" s="336" customFormat="1">
      <c r="A42" s="387">
        <f t="shared" si="6"/>
        <v>24</v>
      </c>
      <c r="B42" s="337" t="s">
        <v>424</v>
      </c>
      <c r="C42" s="889"/>
      <c r="D42" s="889"/>
      <c r="E42" s="889"/>
      <c r="F42" s="889"/>
      <c r="G42" s="367" t="e">
        <f t="shared" si="4"/>
        <v>#DIV/0!</v>
      </c>
      <c r="H42" s="889">
        <v>0</v>
      </c>
      <c r="I42" s="367" t="e">
        <f t="shared" si="5"/>
        <v>#DIV/0!</v>
      </c>
      <c r="J42" s="344"/>
      <c r="K42" s="337"/>
      <c r="L42" s="337"/>
    </row>
    <row r="43" spans="1:13" s="336" customFormat="1">
      <c r="A43" s="387">
        <f t="shared" si="6"/>
        <v>25</v>
      </c>
      <c r="B43" s="337" t="s">
        <v>435</v>
      </c>
      <c r="C43" s="889"/>
      <c r="D43" s="889"/>
      <c r="E43" s="889"/>
      <c r="F43" s="889"/>
      <c r="G43" s="367" t="e">
        <f t="shared" si="4"/>
        <v>#DIV/0!</v>
      </c>
      <c r="H43" s="889">
        <v>0</v>
      </c>
      <c r="I43" s="367" t="e">
        <f t="shared" si="5"/>
        <v>#DIV/0!</v>
      </c>
      <c r="J43" s="344"/>
      <c r="K43" s="337"/>
      <c r="L43" s="337"/>
    </row>
    <row r="44" spans="1:13" s="336" customFormat="1">
      <c r="A44" s="387">
        <f t="shared" si="6"/>
        <v>26</v>
      </c>
      <c r="B44" s="355" t="s">
        <v>444</v>
      </c>
      <c r="C44" s="358"/>
      <c r="D44" s="605">
        <f>SUM(D38:D43)</f>
        <v>0</v>
      </c>
      <c r="E44" s="364"/>
      <c r="F44" s="355"/>
      <c r="G44" s="605" t="e">
        <f>SUM(G38:G43)</f>
        <v>#DIV/0!</v>
      </c>
      <c r="H44" s="871">
        <f>SUM(H38:H43)</f>
        <v>0</v>
      </c>
      <c r="I44" s="605" t="e">
        <f>SUM(I38:I43)</f>
        <v>#DIV/0!</v>
      </c>
      <c r="J44" s="337"/>
      <c r="K44" s="337"/>
      <c r="L44" s="337"/>
    </row>
    <row r="45" spans="1:13" s="336" customFormat="1">
      <c r="A45" s="387">
        <f t="shared" si="6"/>
        <v>27</v>
      </c>
      <c r="B45" s="337"/>
      <c r="C45" s="344"/>
      <c r="D45" s="298"/>
      <c r="E45" s="298"/>
      <c r="G45" s="367"/>
      <c r="H45" s="872"/>
      <c r="I45" s="367"/>
      <c r="J45" s="337"/>
      <c r="K45" s="343"/>
      <c r="L45" s="337"/>
    </row>
    <row r="46" spans="1:13" s="336" customFormat="1">
      <c r="A46" s="387">
        <f t="shared" si="6"/>
        <v>28</v>
      </c>
      <c r="B46" s="340" t="s">
        <v>440</v>
      </c>
      <c r="C46" s="344"/>
      <c r="D46" s="298"/>
      <c r="E46" s="298"/>
      <c r="G46" s="367"/>
      <c r="H46" s="873"/>
      <c r="I46" s="174"/>
      <c r="J46" s="337"/>
      <c r="K46" s="347"/>
      <c r="L46" s="337"/>
    </row>
    <row r="47" spans="1:13" s="336" customFormat="1">
      <c r="A47" s="387">
        <f t="shared" si="6"/>
        <v>29</v>
      </c>
      <c r="B47" s="337" t="s">
        <v>425</v>
      </c>
      <c r="C47" s="889"/>
      <c r="D47" s="889"/>
      <c r="E47" s="889"/>
      <c r="F47" s="174" t="s">
        <v>441</v>
      </c>
      <c r="G47" s="367">
        <f>D47</f>
        <v>0</v>
      </c>
      <c r="H47" s="873" t="s">
        <v>441</v>
      </c>
      <c r="I47" s="174" t="s">
        <v>441</v>
      </c>
      <c r="J47" s="337"/>
      <c r="K47" s="347"/>
      <c r="L47" s="337"/>
    </row>
    <row r="48" spans="1:13" s="336" customFormat="1">
      <c r="A48" s="387">
        <f t="shared" si="6"/>
        <v>30</v>
      </c>
      <c r="B48" s="337" t="s">
        <v>426</v>
      </c>
      <c r="C48" s="889"/>
      <c r="D48" s="889"/>
      <c r="E48" s="889"/>
      <c r="F48" s="174" t="s">
        <v>441</v>
      </c>
      <c r="G48" s="367">
        <f>D48</f>
        <v>0</v>
      </c>
      <c r="H48" s="873" t="s">
        <v>441</v>
      </c>
      <c r="I48" s="174" t="s">
        <v>441</v>
      </c>
      <c r="J48" s="337"/>
      <c r="K48" s="347"/>
      <c r="L48" s="337"/>
    </row>
    <row r="49" spans="1:12" s="336" customFormat="1">
      <c r="A49" s="387">
        <f t="shared" si="6"/>
        <v>31</v>
      </c>
      <c r="B49" s="337" t="s">
        <v>427</v>
      </c>
      <c r="C49" s="889"/>
      <c r="D49" s="889"/>
      <c r="E49" s="889"/>
      <c r="F49" s="174" t="s">
        <v>441</v>
      </c>
      <c r="G49" s="367">
        <f>D49</f>
        <v>0</v>
      </c>
      <c r="H49" s="873" t="s">
        <v>441</v>
      </c>
      <c r="I49" s="174" t="s">
        <v>441</v>
      </c>
      <c r="J49" s="344"/>
      <c r="L49" s="337"/>
    </row>
    <row r="50" spans="1:12" s="336" customFormat="1">
      <c r="A50" s="387">
        <f t="shared" si="6"/>
        <v>32</v>
      </c>
      <c r="B50" s="337" t="s">
        <v>429</v>
      </c>
      <c r="C50" s="889"/>
      <c r="D50" s="889"/>
      <c r="E50" s="889"/>
      <c r="F50" s="174" t="s">
        <v>441</v>
      </c>
      <c r="G50" s="367">
        <f>D50</f>
        <v>0</v>
      </c>
      <c r="H50" s="873" t="s">
        <v>441</v>
      </c>
      <c r="I50" s="174" t="s">
        <v>441</v>
      </c>
      <c r="J50" s="337"/>
      <c r="K50" s="337"/>
      <c r="L50" s="337"/>
    </row>
    <row r="51" spans="1:12" s="336" customFormat="1">
      <c r="A51" s="387">
        <f t="shared" si="6"/>
        <v>33</v>
      </c>
      <c r="B51" s="355" t="s">
        <v>428</v>
      </c>
      <c r="C51" s="365"/>
      <c r="D51" s="605">
        <f>+SUM(D44:D50)</f>
        <v>0</v>
      </c>
      <c r="E51" s="364"/>
      <c r="F51" s="355"/>
      <c r="G51" s="605" t="e">
        <f>+SUM(G44:G50)</f>
        <v>#DIV/0!</v>
      </c>
      <c r="H51" s="871">
        <f>+SUM(H44:H50)</f>
        <v>0</v>
      </c>
      <c r="I51" s="605" t="e">
        <f>+SUM(I44:I50)</f>
        <v>#DIV/0!</v>
      </c>
      <c r="J51" s="337"/>
      <c r="K51" s="337"/>
      <c r="L51" s="337"/>
    </row>
    <row r="52" spans="1:12" s="336" customFormat="1">
      <c r="A52" s="387">
        <f t="shared" si="6"/>
        <v>34</v>
      </c>
      <c r="B52" s="337" t="s">
        <v>679</v>
      </c>
      <c r="C52" s="349"/>
      <c r="G52" s="298">
        <f>+E33</f>
        <v>0</v>
      </c>
      <c r="H52" s="384"/>
      <c r="I52" s="337"/>
      <c r="J52" s="337"/>
      <c r="K52" s="337"/>
      <c r="L52" s="337"/>
    </row>
    <row r="53" spans="1:12" s="336" customFormat="1">
      <c r="A53" s="387">
        <f t="shared" si="6"/>
        <v>35</v>
      </c>
      <c r="B53" s="337" t="s">
        <v>436</v>
      </c>
      <c r="C53" s="349"/>
      <c r="G53" s="354" t="e">
        <f>G51/G52</f>
        <v>#DIV/0!</v>
      </c>
      <c r="H53" s="384"/>
      <c r="I53" s="337"/>
      <c r="J53" s="337"/>
      <c r="K53" s="337"/>
      <c r="L53" s="337"/>
    </row>
    <row r="54" spans="1:12" s="336" customFormat="1">
      <c r="A54" s="216">
        <f>+A53+1</f>
        <v>36</v>
      </c>
      <c r="B54" s="337" t="s">
        <v>801</v>
      </c>
      <c r="C54" s="349"/>
      <c r="E54" s="851">
        <v>3.7199999999999997E-2</v>
      </c>
      <c r="H54" s="653"/>
      <c r="I54" s="337"/>
      <c r="J54" s="337"/>
      <c r="K54" s="337"/>
      <c r="L54" s="337"/>
    </row>
    <row r="55" spans="1:12" s="336" customFormat="1">
      <c r="A55" s="216"/>
      <c r="B55" s="340"/>
      <c r="C55" s="349"/>
      <c r="D55" s="339"/>
      <c r="E55" s="339"/>
      <c r="H55" s="653"/>
      <c r="I55" s="337"/>
      <c r="J55" s="337"/>
      <c r="K55" s="337"/>
      <c r="L55" s="337"/>
    </row>
    <row r="56" spans="1:12" s="336" customFormat="1">
      <c r="A56" s="361" t="s">
        <v>579</v>
      </c>
      <c r="B56" s="340"/>
      <c r="C56" s="349"/>
      <c r="D56" s="339"/>
      <c r="E56" s="339"/>
      <c r="H56" s="653"/>
      <c r="I56" s="337"/>
      <c r="J56" s="337"/>
      <c r="K56" s="337"/>
      <c r="L56" s="337"/>
    </row>
    <row r="57" spans="1:12" s="336" customFormat="1" ht="30" customHeight="1">
      <c r="A57" s="856" t="s">
        <v>62</v>
      </c>
      <c r="B57" s="935" t="s">
        <v>804</v>
      </c>
      <c r="C57" s="935"/>
      <c r="D57" s="935"/>
      <c r="E57" s="935"/>
      <c r="F57" s="935"/>
      <c r="G57" s="935"/>
      <c r="H57" s="935"/>
      <c r="I57" s="935"/>
    </row>
    <row r="58" spans="1:12" s="336" customFormat="1">
      <c r="A58" s="350"/>
      <c r="B58" s="336" t="s">
        <v>802</v>
      </c>
      <c r="C58" s="348">
        <v>0</v>
      </c>
      <c r="D58" s="890"/>
      <c r="J58" s="351"/>
      <c r="K58" s="351"/>
    </row>
    <row r="59" spans="1:12" s="336" customFormat="1">
      <c r="A59" s="350"/>
      <c r="B59" s="336" t="s">
        <v>803</v>
      </c>
      <c r="C59" s="842">
        <v>0</v>
      </c>
      <c r="D59" s="890"/>
      <c r="J59" s="351"/>
      <c r="K59" s="351"/>
    </row>
    <row r="60" spans="1:12" s="336" customFormat="1">
      <c r="A60" s="350"/>
      <c r="B60" s="336" t="s">
        <v>13</v>
      </c>
      <c r="C60" s="842">
        <f>+C58+C59</f>
        <v>0</v>
      </c>
      <c r="J60" s="351"/>
      <c r="K60" s="351"/>
    </row>
    <row r="133" spans="2:3">
      <c r="B133" s="336"/>
      <c r="C133" s="336"/>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4"/>
  <sheetViews>
    <sheetView view="pageBreakPreview" zoomScale="80" zoomScaleNormal="90" zoomScaleSheetLayoutView="80" workbookViewId="0">
      <selection sqref="A1:G1"/>
    </sheetView>
  </sheetViews>
  <sheetFormatPr defaultColWidth="8.88671875" defaultRowHeight="12.75"/>
  <cols>
    <col min="1" max="1" width="5.21875" style="350" bestFit="1" customWidth="1"/>
    <col min="2" max="2" width="41.88671875" style="351" customWidth="1"/>
    <col min="3" max="3" width="14.6640625" style="351" customWidth="1"/>
    <col min="4" max="4" width="14.33203125" style="351" customWidth="1"/>
    <col min="5" max="5" width="9.88671875" style="351" customWidth="1"/>
    <col min="6" max="6" width="15.6640625" style="351" customWidth="1"/>
    <col min="7" max="9" width="13.5546875" style="351" customWidth="1"/>
    <col min="10" max="10" width="14.77734375" style="351" customWidth="1"/>
    <col min="11" max="11" width="13.5546875" style="351" customWidth="1"/>
    <col min="12" max="12" width="7.21875" style="351" customWidth="1"/>
    <col min="13" max="13" width="12.21875" style="351" customWidth="1"/>
    <col min="14" max="14" width="8.109375" style="351" customWidth="1"/>
    <col min="15" max="15" width="7.6640625" style="351" bestFit="1" customWidth="1"/>
    <col min="16" max="16" width="11.6640625" style="351" bestFit="1" customWidth="1"/>
    <col min="17" max="17" width="10.88671875" style="351" bestFit="1" customWidth="1"/>
    <col min="18" max="16384" width="8.88671875" style="351"/>
  </cols>
  <sheetData>
    <row r="1" spans="1:12" s="336" customFormat="1" ht="25.5" customHeight="1">
      <c r="A1" s="936" t="s">
        <v>415</v>
      </c>
      <c r="B1" s="936"/>
      <c r="C1" s="936"/>
      <c r="D1" s="936"/>
      <c r="E1" s="936"/>
      <c r="F1" s="936"/>
      <c r="G1" s="936"/>
      <c r="H1" s="362"/>
      <c r="I1" s="362"/>
      <c r="J1" s="362"/>
      <c r="K1" s="362"/>
    </row>
    <row r="2" spans="1:12" s="336" customFormat="1">
      <c r="A2" s="936" t="s">
        <v>805</v>
      </c>
      <c r="B2" s="936"/>
      <c r="C2" s="936"/>
      <c r="D2" s="936"/>
      <c r="E2" s="936"/>
      <c r="F2" s="936"/>
      <c r="G2" s="936"/>
      <c r="H2" s="362"/>
      <c r="I2" s="362"/>
      <c r="J2" s="362"/>
      <c r="K2" s="362"/>
    </row>
    <row r="3" spans="1:12" s="336" customFormat="1" ht="15" customHeight="1">
      <c r="A3" s="928" t="str">
        <f>+'Attachment H-26'!D5</f>
        <v>Transource West Virginia, LLC</v>
      </c>
      <c r="B3" s="928"/>
      <c r="C3" s="928"/>
      <c r="D3" s="928"/>
      <c r="E3" s="928"/>
      <c r="F3" s="928"/>
      <c r="G3" s="928"/>
      <c r="H3" s="36"/>
      <c r="I3" s="36"/>
      <c r="J3" s="36"/>
      <c r="K3" s="36"/>
      <c r="L3" s="337"/>
    </row>
    <row r="4" spans="1:12" s="336" customFormat="1">
      <c r="A4" s="385"/>
      <c r="L4" s="337"/>
    </row>
    <row r="5" spans="1:12" s="336" customFormat="1">
      <c r="A5" s="338"/>
      <c r="B5" s="337"/>
      <c r="C5" s="337"/>
      <c r="D5" s="337"/>
      <c r="E5" s="337"/>
      <c r="F5" s="938"/>
      <c r="G5" s="938"/>
      <c r="H5" s="938"/>
      <c r="I5" s="337"/>
      <c r="J5" s="337"/>
      <c r="K5" s="337"/>
      <c r="L5" s="337"/>
    </row>
    <row r="6" spans="1:12" s="336" customFormat="1" ht="54" customHeight="1">
      <c r="A6" s="338"/>
      <c r="B6" s="912" t="s">
        <v>838</v>
      </c>
      <c r="C6" s="912"/>
      <c r="D6" s="912"/>
      <c r="E6" s="912"/>
      <c r="F6" s="912"/>
      <c r="G6" s="353"/>
      <c r="H6" s="353"/>
      <c r="I6" s="353"/>
      <c r="J6" s="337"/>
      <c r="K6" s="337"/>
      <c r="L6" s="337"/>
    </row>
    <row r="7" spans="1:12" s="336" customFormat="1" ht="18.75" customHeight="1">
      <c r="A7" s="338"/>
      <c r="B7" s="939" t="s">
        <v>755</v>
      </c>
      <c r="C7" s="939"/>
      <c r="D7" s="939"/>
      <c r="E7" s="939"/>
      <c r="F7" s="939"/>
      <c r="G7" s="290"/>
      <c r="H7" s="386"/>
      <c r="I7" s="386"/>
      <c r="J7" s="352"/>
      <c r="K7" s="352"/>
      <c r="L7" s="386"/>
    </row>
    <row r="8" spans="1:12" s="336" customFormat="1" ht="33.75" customHeight="1">
      <c r="A8" s="338"/>
      <c r="B8" s="912" t="s">
        <v>852</v>
      </c>
      <c r="C8" s="912"/>
      <c r="D8" s="912"/>
      <c r="E8" s="912"/>
      <c r="F8" s="912"/>
      <c r="G8" s="353"/>
      <c r="H8" s="386"/>
      <c r="I8" s="386"/>
      <c r="J8" s="352"/>
      <c r="K8" s="352"/>
      <c r="L8" s="386"/>
    </row>
    <row r="9" spans="1:12" s="336" customFormat="1">
      <c r="A9" s="338"/>
      <c r="B9" s="384"/>
      <c r="C9" s="384"/>
      <c r="D9" s="384"/>
      <c r="E9" s="384"/>
      <c r="F9" s="384"/>
      <c r="G9" s="384"/>
      <c r="H9" s="386"/>
      <c r="I9" s="386"/>
      <c r="J9" s="352"/>
      <c r="K9" s="352"/>
      <c r="L9" s="386"/>
    </row>
    <row r="10" spans="1:12" s="336" customFormat="1" ht="25.5">
      <c r="A10" s="221" t="s">
        <v>154</v>
      </c>
      <c r="B10" s="384"/>
      <c r="C10" s="384"/>
      <c r="D10" s="384"/>
      <c r="E10" s="384"/>
      <c r="F10" s="384"/>
      <c r="G10" s="384"/>
      <c r="H10" s="386"/>
      <c r="I10" s="386"/>
      <c r="J10" s="352"/>
      <c r="K10" s="352"/>
      <c r="L10" s="386"/>
    </row>
    <row r="11" spans="1:12" s="336" customFormat="1" ht="18.75" customHeight="1" thickBot="1">
      <c r="C11" s="337"/>
      <c r="D11" s="388" t="s">
        <v>48</v>
      </c>
      <c r="E11" s="337"/>
      <c r="F11" s="337"/>
      <c r="G11" s="339"/>
      <c r="H11" s="337"/>
      <c r="I11" s="337"/>
      <c r="J11" s="337"/>
      <c r="K11" s="337"/>
      <c r="L11" s="337"/>
    </row>
    <row r="12" spans="1:12" s="336" customFormat="1" ht="16.5" customHeight="1">
      <c r="A12" s="261">
        <v>1</v>
      </c>
      <c r="B12" s="24" t="s">
        <v>488</v>
      </c>
      <c r="D12" s="295">
        <v>839385.10000000009</v>
      </c>
      <c r="E12" s="337"/>
      <c r="F12" s="337"/>
      <c r="G12" s="339"/>
      <c r="H12" s="337"/>
      <c r="I12" s="337"/>
      <c r="J12" s="337"/>
      <c r="K12" s="337"/>
      <c r="L12" s="337"/>
    </row>
    <row r="13" spans="1:12" s="336" customFormat="1" ht="16.5" customHeight="1">
      <c r="A13" s="398">
        <f>+A12+1</f>
        <v>2</v>
      </c>
      <c r="B13" s="399" t="s">
        <v>497</v>
      </c>
      <c r="C13" s="337"/>
      <c r="D13" s="296">
        <v>16983.48</v>
      </c>
      <c r="E13" s="337"/>
      <c r="F13" s="337"/>
      <c r="G13" s="339"/>
      <c r="H13" s="337"/>
      <c r="I13" s="337"/>
      <c r="J13" s="337"/>
      <c r="K13" s="337"/>
      <c r="L13" s="337"/>
    </row>
    <row r="14" spans="1:12" s="336" customFormat="1" ht="16.5" customHeight="1">
      <c r="A14" s="261">
        <f>+A13+1</f>
        <v>3</v>
      </c>
      <c r="B14" s="24" t="s">
        <v>498</v>
      </c>
      <c r="D14" s="298">
        <f>SUM(D12:D13)</f>
        <v>856368.58000000007</v>
      </c>
      <c r="E14" s="337"/>
      <c r="F14" s="337"/>
      <c r="G14" s="339"/>
      <c r="H14" s="337"/>
      <c r="I14" s="337"/>
      <c r="J14" s="337"/>
      <c r="K14" s="337"/>
      <c r="L14" s="337"/>
    </row>
    <row r="15" spans="1:12" s="336" customFormat="1" ht="16.5" customHeight="1">
      <c r="A15" s="387"/>
      <c r="B15" s="340"/>
      <c r="C15" s="382"/>
      <c r="D15" s="878"/>
      <c r="E15" s="382"/>
      <c r="F15" s="382"/>
      <c r="H15" s="337"/>
      <c r="I15" s="337"/>
      <c r="J15" s="337"/>
      <c r="K15" s="337"/>
      <c r="L15" s="337"/>
    </row>
    <row r="16" spans="1:12" s="336" customFormat="1" ht="16.5" customHeight="1">
      <c r="A16" s="387"/>
      <c r="B16" s="340"/>
      <c r="C16" s="382"/>
      <c r="D16" s="878"/>
      <c r="E16" s="382"/>
      <c r="F16" s="382"/>
      <c r="H16" s="337"/>
      <c r="I16" s="337"/>
      <c r="J16" s="337"/>
      <c r="K16" s="337"/>
      <c r="L16" s="337"/>
    </row>
    <row r="17" spans="1:12" s="336" customFormat="1" ht="16.5" customHeight="1">
      <c r="A17" s="387"/>
      <c r="B17" s="337" t="s">
        <v>511</v>
      </c>
      <c r="C17" s="382"/>
      <c r="D17" s="878"/>
      <c r="E17" s="382"/>
      <c r="F17" s="382"/>
      <c r="H17" s="337"/>
      <c r="I17" s="337"/>
      <c r="J17" s="337"/>
      <c r="K17" s="337"/>
      <c r="L17" s="337"/>
    </row>
    <row r="18" spans="1:12" s="336" customFormat="1" ht="26.25" customHeight="1">
      <c r="A18" s="387"/>
      <c r="B18" s="404" t="s">
        <v>442</v>
      </c>
      <c r="C18" s="382"/>
      <c r="D18" s="879" t="s">
        <v>512</v>
      </c>
      <c r="E18" s="382"/>
      <c r="F18" s="382"/>
      <c r="H18" s="337"/>
      <c r="I18" s="337"/>
      <c r="J18" s="337"/>
      <c r="K18" s="337"/>
      <c r="L18" s="337"/>
    </row>
    <row r="19" spans="1:12" s="336" customFormat="1" ht="21" customHeight="1">
      <c r="A19" s="387"/>
      <c r="B19" s="383" t="s">
        <v>196</v>
      </c>
      <c r="C19" s="382"/>
      <c r="D19" s="880" t="s">
        <v>199</v>
      </c>
      <c r="E19" s="382"/>
      <c r="F19" s="382"/>
      <c r="H19" s="337"/>
      <c r="I19" s="337"/>
      <c r="J19" s="337"/>
      <c r="K19" s="337"/>
      <c r="L19" s="337"/>
    </row>
    <row r="20" spans="1:12" s="336" customFormat="1" ht="16.5" customHeight="1">
      <c r="A20" s="389">
        <f>+A14+1</f>
        <v>4</v>
      </c>
      <c r="B20" s="5" t="s">
        <v>193</v>
      </c>
      <c r="C20" s="382"/>
      <c r="D20" s="295">
        <v>16956025</v>
      </c>
      <c r="E20" s="382"/>
      <c r="F20" s="382"/>
      <c r="H20" s="337"/>
      <c r="I20" s="337"/>
      <c r="J20" s="337"/>
      <c r="K20" s="337"/>
      <c r="L20" s="337"/>
    </row>
    <row r="21" spans="1:12" s="336" customFormat="1" ht="16.5" customHeight="1">
      <c r="A21" s="387">
        <f>+A20+1</f>
        <v>5</v>
      </c>
      <c r="B21" s="5" t="s">
        <v>85</v>
      </c>
      <c r="C21" s="382"/>
      <c r="D21" s="295">
        <v>18356025</v>
      </c>
      <c r="E21" s="382"/>
      <c r="F21" s="382"/>
      <c r="H21" s="337"/>
      <c r="I21" s="337"/>
      <c r="J21" s="337"/>
      <c r="K21" s="337"/>
      <c r="L21" s="337"/>
    </row>
    <row r="22" spans="1:12" s="336" customFormat="1" ht="16.5" customHeight="1">
      <c r="A22" s="387">
        <f t="shared" ref="A22:A33" si="0">+A21+1</f>
        <v>6</v>
      </c>
      <c r="B22" s="1" t="s">
        <v>84</v>
      </c>
      <c r="C22" s="382"/>
      <c r="D22" s="295">
        <v>21556025</v>
      </c>
      <c r="E22" s="382"/>
      <c r="F22" s="382"/>
      <c r="H22" s="337"/>
      <c r="I22" s="337"/>
      <c r="J22" s="337"/>
      <c r="K22" s="337"/>
      <c r="L22" s="337"/>
    </row>
    <row r="23" spans="1:12" s="336" customFormat="1" ht="16.5" customHeight="1">
      <c r="A23" s="387">
        <f t="shared" si="0"/>
        <v>7</v>
      </c>
      <c r="B23" s="1" t="s">
        <v>170</v>
      </c>
      <c r="C23" s="382"/>
      <c r="D23" s="295">
        <v>21556025</v>
      </c>
      <c r="E23" s="382"/>
      <c r="F23" s="382"/>
      <c r="H23" s="337"/>
      <c r="I23" s="337"/>
      <c r="J23" s="337"/>
      <c r="K23" s="337"/>
      <c r="L23" s="337"/>
    </row>
    <row r="24" spans="1:12" s="336" customFormat="1" ht="16.5" customHeight="1">
      <c r="A24" s="387">
        <f t="shared" si="0"/>
        <v>8</v>
      </c>
      <c r="B24" s="1" t="s">
        <v>76</v>
      </c>
      <c r="C24" s="382"/>
      <c r="D24" s="295">
        <v>24056025</v>
      </c>
      <c r="E24" s="382"/>
      <c r="F24" s="382"/>
      <c r="H24" s="337"/>
      <c r="I24" s="337"/>
      <c r="J24" s="337"/>
      <c r="K24" s="337"/>
      <c r="L24" s="337"/>
    </row>
    <row r="25" spans="1:12" s="336" customFormat="1" ht="16.5" customHeight="1">
      <c r="A25" s="387">
        <f t="shared" si="0"/>
        <v>9</v>
      </c>
      <c r="B25" s="1" t="s">
        <v>75</v>
      </c>
      <c r="C25" s="382"/>
      <c r="D25" s="295">
        <v>25356025</v>
      </c>
      <c r="E25" s="382"/>
      <c r="F25" s="382"/>
      <c r="H25" s="337"/>
      <c r="I25" s="337"/>
      <c r="J25" s="337"/>
      <c r="K25" s="337"/>
      <c r="L25" s="337"/>
    </row>
    <row r="26" spans="1:12" s="336" customFormat="1" ht="16.5" customHeight="1">
      <c r="A26" s="387">
        <f t="shared" si="0"/>
        <v>10</v>
      </c>
      <c r="B26" s="1" t="s">
        <v>95</v>
      </c>
      <c r="C26" s="382"/>
      <c r="D26" s="295">
        <v>27656025</v>
      </c>
      <c r="E26" s="382"/>
      <c r="F26" s="382"/>
      <c r="H26" s="337"/>
      <c r="I26" s="337"/>
      <c r="J26" s="337"/>
      <c r="K26" s="337"/>
      <c r="L26" s="337"/>
    </row>
    <row r="27" spans="1:12" s="336" customFormat="1" ht="16.5" customHeight="1">
      <c r="A27" s="387">
        <f t="shared" si="0"/>
        <v>11</v>
      </c>
      <c r="B27" s="1" t="s">
        <v>82</v>
      </c>
      <c r="C27" s="382"/>
      <c r="D27" s="295">
        <v>29556025</v>
      </c>
      <c r="E27" s="382"/>
      <c r="F27" s="382"/>
      <c r="H27" s="337"/>
      <c r="I27" s="337"/>
      <c r="J27" s="337"/>
      <c r="K27" s="337"/>
      <c r="L27" s="337"/>
    </row>
    <row r="28" spans="1:12" s="336" customFormat="1" ht="16.5" customHeight="1">
      <c r="A28" s="387">
        <f t="shared" si="0"/>
        <v>12</v>
      </c>
      <c r="B28" s="1" t="s">
        <v>171</v>
      </c>
      <c r="C28" s="382"/>
      <c r="D28" s="295">
        <v>29556025</v>
      </c>
      <c r="E28" s="382"/>
      <c r="F28" s="382"/>
      <c r="H28" s="337"/>
      <c r="I28" s="337"/>
      <c r="J28" s="337"/>
      <c r="K28" s="337"/>
      <c r="L28" s="337"/>
    </row>
    <row r="29" spans="1:12" s="336" customFormat="1" ht="16.5" customHeight="1">
      <c r="A29" s="387">
        <f t="shared" si="0"/>
        <v>13</v>
      </c>
      <c r="B29" s="1" t="s">
        <v>80</v>
      </c>
      <c r="C29" s="382"/>
      <c r="D29" s="295">
        <v>29556025</v>
      </c>
      <c r="E29" s="382"/>
      <c r="F29" s="382"/>
      <c r="H29" s="337"/>
      <c r="I29" s="337"/>
      <c r="J29" s="337"/>
      <c r="K29" s="337"/>
      <c r="L29" s="337"/>
    </row>
    <row r="30" spans="1:12" s="336" customFormat="1" ht="16.5" customHeight="1">
      <c r="A30" s="387">
        <f t="shared" si="0"/>
        <v>14</v>
      </c>
      <c r="B30" s="1" t="s">
        <v>86</v>
      </c>
      <c r="C30" s="382"/>
      <c r="D30" s="295">
        <v>29556025</v>
      </c>
      <c r="E30" s="382"/>
      <c r="F30" s="382"/>
      <c r="H30" s="337"/>
      <c r="I30" s="337"/>
      <c r="J30" s="337"/>
      <c r="K30" s="337"/>
      <c r="L30" s="337"/>
    </row>
    <row r="31" spans="1:12" s="336" customFormat="1" ht="16.5" customHeight="1">
      <c r="A31" s="387">
        <f t="shared" si="0"/>
        <v>15</v>
      </c>
      <c r="B31" s="1" t="s">
        <v>79</v>
      </c>
      <c r="C31" s="382"/>
      <c r="D31" s="295">
        <v>30256025</v>
      </c>
      <c r="E31" s="382"/>
      <c r="F31" s="382"/>
      <c r="H31" s="337"/>
      <c r="I31" s="337"/>
      <c r="J31" s="337"/>
      <c r="K31" s="337"/>
      <c r="L31" s="337"/>
    </row>
    <row r="32" spans="1:12" s="336" customFormat="1" ht="16.5" customHeight="1">
      <c r="A32" s="387">
        <f t="shared" si="0"/>
        <v>16</v>
      </c>
      <c r="B32" s="1" t="s">
        <v>194</v>
      </c>
      <c r="C32" s="382"/>
      <c r="D32" s="295">
        <v>31156025</v>
      </c>
      <c r="E32" s="382"/>
      <c r="F32" s="382"/>
      <c r="H32" s="337"/>
      <c r="I32" s="337"/>
      <c r="J32" s="337"/>
      <c r="K32" s="337"/>
      <c r="L32" s="337"/>
    </row>
    <row r="33" spans="1:12" s="336" customFormat="1" ht="16.5" customHeight="1">
      <c r="A33" s="387">
        <f t="shared" si="0"/>
        <v>17</v>
      </c>
      <c r="B33" s="6" t="s">
        <v>258</v>
      </c>
      <c r="C33" s="382"/>
      <c r="D33" s="604">
        <f>SUM(D20:D32)/13</f>
        <v>25779101.923076924</v>
      </c>
      <c r="E33" s="382"/>
      <c r="F33" s="382"/>
      <c r="H33" s="337"/>
      <c r="I33" s="337"/>
      <c r="J33" s="337"/>
      <c r="K33" s="337"/>
      <c r="L33" s="337"/>
    </row>
    <row r="34" spans="1:12" s="336" customFormat="1" ht="21" customHeight="1">
      <c r="A34" s="387"/>
      <c r="C34" s="337"/>
      <c r="D34" s="337"/>
      <c r="E34" s="337"/>
      <c r="F34" s="337"/>
      <c r="G34" s="339"/>
      <c r="H34" s="337"/>
      <c r="I34" s="337"/>
      <c r="J34" s="337"/>
      <c r="K34" s="337"/>
      <c r="L34" s="337"/>
    </row>
    <row r="35" spans="1:12" s="336" customFormat="1" ht="16.5" customHeight="1">
      <c r="A35" s="387">
        <f>+A33+1</f>
        <v>18</v>
      </c>
      <c r="B35" s="336" t="s">
        <v>677</v>
      </c>
      <c r="C35" s="382"/>
      <c r="D35" s="354">
        <f>D14/D33</f>
        <v>3.3219488504888393E-2</v>
      </c>
      <c r="E35" s="382"/>
      <c r="F35" s="382"/>
      <c r="H35" s="337"/>
      <c r="I35" s="337"/>
      <c r="J35" s="337"/>
      <c r="K35" s="337"/>
      <c r="L35" s="337"/>
    </row>
    <row r="36" spans="1:12" s="336" customFormat="1" ht="16.5" customHeight="1">
      <c r="A36" s="387"/>
      <c r="B36" s="340"/>
      <c r="C36" s="382"/>
      <c r="D36" s="370"/>
      <c r="E36" s="382"/>
      <c r="F36" s="382"/>
      <c r="H36" s="337"/>
      <c r="I36" s="337"/>
      <c r="J36" s="337"/>
      <c r="K36" s="337"/>
      <c r="L36" s="337"/>
    </row>
    <row r="37" spans="1:12" s="336" customFormat="1" ht="16.5" customHeight="1">
      <c r="A37" s="719" t="s">
        <v>579</v>
      </c>
      <c r="B37" s="340"/>
      <c r="C37" s="549"/>
      <c r="D37" s="370"/>
      <c r="E37" s="549"/>
      <c r="F37" s="549"/>
      <c r="H37" s="337"/>
      <c r="I37" s="337"/>
      <c r="J37" s="337"/>
      <c r="K37" s="337"/>
      <c r="L37" s="337"/>
    </row>
    <row r="38" spans="1:12" s="336" customFormat="1" ht="32.25" customHeight="1">
      <c r="A38" s="755" t="s">
        <v>62</v>
      </c>
      <c r="B38" s="903" t="s">
        <v>491</v>
      </c>
      <c r="C38" s="903"/>
      <c r="D38" s="903"/>
      <c r="E38" s="903"/>
      <c r="F38" s="903"/>
      <c r="G38" s="405"/>
      <c r="H38" s="337"/>
      <c r="I38" s="341"/>
      <c r="J38" s="342"/>
      <c r="K38" s="337"/>
      <c r="L38" s="337"/>
    </row>
    <row r="39" spans="1:12" s="336" customFormat="1">
      <c r="A39" s="350"/>
      <c r="J39" s="351"/>
      <c r="K39" s="351"/>
    </row>
    <row r="40" spans="1:12" s="336" customFormat="1">
      <c r="A40" s="350"/>
      <c r="J40" s="351"/>
      <c r="K40" s="351"/>
    </row>
    <row r="41" spans="1:12" s="336" customFormat="1">
      <c r="A41" s="350"/>
      <c r="J41" s="351"/>
      <c r="K41" s="351"/>
    </row>
    <row r="114" spans="2:3">
      <c r="B114" s="336"/>
      <c r="C114" s="336"/>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1"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361950</xdr:colOff>
                <xdr:row>3</xdr:row>
                <xdr:rowOff>152400</xdr:rowOff>
              </from>
              <to>
                <xdr:col>2</xdr:col>
                <xdr:colOff>1000125</xdr:colOff>
                <xdr:row>3</xdr:row>
                <xdr:rowOff>152400</xdr:rowOff>
              </to>
            </anchor>
          </objectPr>
        </oleObject>
      </mc:Choice>
      <mc:Fallback>
        <oleObject progId="Equation.3" shapeId="96257" r:id="rId5"/>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F18" sqref="F18"/>
      <selection pane="bottomLeft" activeCell="A13" sqref="A13"/>
    </sheetView>
  </sheetViews>
  <sheetFormatPr defaultColWidth="9.6640625" defaultRowHeight="12.75"/>
  <cols>
    <col min="1" max="1" width="7.6640625" style="779" customWidth="1"/>
    <col min="2" max="2" width="32.88671875" style="779" customWidth="1"/>
    <col min="3" max="7" width="12.109375" style="779" customWidth="1"/>
    <col min="8" max="8" width="13.44140625" style="779" customWidth="1"/>
    <col min="9" max="9" width="12.6640625" style="779" customWidth="1"/>
    <col min="10" max="10" width="13.6640625" style="779" customWidth="1"/>
    <col min="11" max="256" width="9.6640625" style="779"/>
    <col min="257" max="257" width="7.6640625" style="779" customWidth="1"/>
    <col min="258" max="258" width="32.88671875" style="779" customWidth="1"/>
    <col min="259" max="259" width="9.21875" style="779" customWidth="1"/>
    <col min="260" max="260" width="6.5546875" style="779" customWidth="1"/>
    <col min="261" max="261" width="7.88671875" style="779" customWidth="1"/>
    <col min="262" max="262" width="8.109375" style="779" customWidth="1"/>
    <col min="263" max="263" width="9" style="779" customWidth="1"/>
    <col min="264" max="264" width="11.5546875" style="779" customWidth="1"/>
    <col min="265" max="265" width="12.6640625" style="779" customWidth="1"/>
    <col min="266" max="266" width="13.6640625" style="779" customWidth="1"/>
    <col min="267" max="512" width="9.6640625" style="779"/>
    <col min="513" max="513" width="7.6640625" style="779" customWidth="1"/>
    <col min="514" max="514" width="32.88671875" style="779" customWidth="1"/>
    <col min="515" max="515" width="9.21875" style="779" customWidth="1"/>
    <col min="516" max="516" width="6.5546875" style="779" customWidth="1"/>
    <col min="517" max="517" width="7.88671875" style="779" customWidth="1"/>
    <col min="518" max="518" width="8.109375" style="779" customWidth="1"/>
    <col min="519" max="519" width="9" style="779" customWidth="1"/>
    <col min="520" max="520" width="11.5546875" style="779" customWidth="1"/>
    <col min="521" max="521" width="12.6640625" style="779" customWidth="1"/>
    <col min="522" max="522" width="13.6640625" style="779" customWidth="1"/>
    <col min="523" max="768" width="9.6640625" style="779"/>
    <col min="769" max="769" width="7.6640625" style="779" customWidth="1"/>
    <col min="770" max="770" width="32.88671875" style="779" customWidth="1"/>
    <col min="771" max="771" width="9.21875" style="779" customWidth="1"/>
    <col min="772" max="772" width="6.5546875" style="779" customWidth="1"/>
    <col min="773" max="773" width="7.88671875" style="779" customWidth="1"/>
    <col min="774" max="774" width="8.109375" style="779" customWidth="1"/>
    <col min="775" max="775" width="9" style="779" customWidth="1"/>
    <col min="776" max="776" width="11.5546875" style="779" customWidth="1"/>
    <col min="777" max="777" width="12.6640625" style="779" customWidth="1"/>
    <col min="778" max="778" width="13.6640625" style="779" customWidth="1"/>
    <col min="779" max="1024" width="9.6640625" style="779"/>
    <col min="1025" max="1025" width="7.6640625" style="779" customWidth="1"/>
    <col min="1026" max="1026" width="32.88671875" style="779" customWidth="1"/>
    <col min="1027" max="1027" width="9.21875" style="779" customWidth="1"/>
    <col min="1028" max="1028" width="6.5546875" style="779" customWidth="1"/>
    <col min="1029" max="1029" width="7.88671875" style="779" customWidth="1"/>
    <col min="1030" max="1030" width="8.109375" style="779" customWidth="1"/>
    <col min="1031" max="1031" width="9" style="779" customWidth="1"/>
    <col min="1032" max="1032" width="11.5546875" style="779" customWidth="1"/>
    <col min="1033" max="1033" width="12.6640625" style="779" customWidth="1"/>
    <col min="1034" max="1034" width="13.6640625" style="779" customWidth="1"/>
    <col min="1035" max="1280" width="9.6640625" style="779"/>
    <col min="1281" max="1281" width="7.6640625" style="779" customWidth="1"/>
    <col min="1282" max="1282" width="32.88671875" style="779" customWidth="1"/>
    <col min="1283" max="1283" width="9.21875" style="779" customWidth="1"/>
    <col min="1284" max="1284" width="6.5546875" style="779" customWidth="1"/>
    <col min="1285" max="1285" width="7.88671875" style="779" customWidth="1"/>
    <col min="1286" max="1286" width="8.109375" style="779" customWidth="1"/>
    <col min="1287" max="1287" width="9" style="779" customWidth="1"/>
    <col min="1288" max="1288" width="11.5546875" style="779" customWidth="1"/>
    <col min="1289" max="1289" width="12.6640625" style="779" customWidth="1"/>
    <col min="1290" max="1290" width="13.6640625" style="779" customWidth="1"/>
    <col min="1291" max="1536" width="9.6640625" style="779"/>
    <col min="1537" max="1537" width="7.6640625" style="779" customWidth="1"/>
    <col min="1538" max="1538" width="32.88671875" style="779" customWidth="1"/>
    <col min="1539" max="1539" width="9.21875" style="779" customWidth="1"/>
    <col min="1540" max="1540" width="6.5546875" style="779" customWidth="1"/>
    <col min="1541" max="1541" width="7.88671875" style="779" customWidth="1"/>
    <col min="1542" max="1542" width="8.109375" style="779" customWidth="1"/>
    <col min="1543" max="1543" width="9" style="779" customWidth="1"/>
    <col min="1544" max="1544" width="11.5546875" style="779" customWidth="1"/>
    <col min="1545" max="1545" width="12.6640625" style="779" customWidth="1"/>
    <col min="1546" max="1546" width="13.6640625" style="779" customWidth="1"/>
    <col min="1547" max="1792" width="9.6640625" style="779"/>
    <col min="1793" max="1793" width="7.6640625" style="779" customWidth="1"/>
    <col min="1794" max="1794" width="32.88671875" style="779" customWidth="1"/>
    <col min="1795" max="1795" width="9.21875" style="779" customWidth="1"/>
    <col min="1796" max="1796" width="6.5546875" style="779" customWidth="1"/>
    <col min="1797" max="1797" width="7.88671875" style="779" customWidth="1"/>
    <col min="1798" max="1798" width="8.109375" style="779" customWidth="1"/>
    <col min="1799" max="1799" width="9" style="779" customWidth="1"/>
    <col min="1800" max="1800" width="11.5546875" style="779" customWidth="1"/>
    <col min="1801" max="1801" width="12.6640625" style="779" customWidth="1"/>
    <col min="1802" max="1802" width="13.6640625" style="779" customWidth="1"/>
    <col min="1803" max="2048" width="9.6640625" style="779"/>
    <col min="2049" max="2049" width="7.6640625" style="779" customWidth="1"/>
    <col min="2050" max="2050" width="32.88671875" style="779" customWidth="1"/>
    <col min="2051" max="2051" width="9.21875" style="779" customWidth="1"/>
    <col min="2052" max="2052" width="6.5546875" style="779" customWidth="1"/>
    <col min="2053" max="2053" width="7.88671875" style="779" customWidth="1"/>
    <col min="2054" max="2054" width="8.109375" style="779" customWidth="1"/>
    <col min="2055" max="2055" width="9" style="779" customWidth="1"/>
    <col min="2056" max="2056" width="11.5546875" style="779" customWidth="1"/>
    <col min="2057" max="2057" width="12.6640625" style="779" customWidth="1"/>
    <col min="2058" max="2058" width="13.6640625" style="779" customWidth="1"/>
    <col min="2059" max="2304" width="9.6640625" style="779"/>
    <col min="2305" max="2305" width="7.6640625" style="779" customWidth="1"/>
    <col min="2306" max="2306" width="32.88671875" style="779" customWidth="1"/>
    <col min="2307" max="2307" width="9.21875" style="779" customWidth="1"/>
    <col min="2308" max="2308" width="6.5546875" style="779" customWidth="1"/>
    <col min="2309" max="2309" width="7.88671875" style="779" customWidth="1"/>
    <col min="2310" max="2310" width="8.109375" style="779" customWidth="1"/>
    <col min="2311" max="2311" width="9" style="779" customWidth="1"/>
    <col min="2312" max="2312" width="11.5546875" style="779" customWidth="1"/>
    <col min="2313" max="2313" width="12.6640625" style="779" customWidth="1"/>
    <col min="2314" max="2314" width="13.6640625" style="779" customWidth="1"/>
    <col min="2315" max="2560" width="9.6640625" style="779"/>
    <col min="2561" max="2561" width="7.6640625" style="779" customWidth="1"/>
    <col min="2562" max="2562" width="32.88671875" style="779" customWidth="1"/>
    <col min="2563" max="2563" width="9.21875" style="779" customWidth="1"/>
    <col min="2564" max="2564" width="6.5546875" style="779" customWidth="1"/>
    <col min="2565" max="2565" width="7.88671875" style="779" customWidth="1"/>
    <col min="2566" max="2566" width="8.109375" style="779" customWidth="1"/>
    <col min="2567" max="2567" width="9" style="779" customWidth="1"/>
    <col min="2568" max="2568" width="11.5546875" style="779" customWidth="1"/>
    <col min="2569" max="2569" width="12.6640625" style="779" customWidth="1"/>
    <col min="2570" max="2570" width="13.6640625" style="779" customWidth="1"/>
    <col min="2571" max="2816" width="9.6640625" style="779"/>
    <col min="2817" max="2817" width="7.6640625" style="779" customWidth="1"/>
    <col min="2818" max="2818" width="32.88671875" style="779" customWidth="1"/>
    <col min="2819" max="2819" width="9.21875" style="779" customWidth="1"/>
    <col min="2820" max="2820" width="6.5546875" style="779" customWidth="1"/>
    <col min="2821" max="2821" width="7.88671875" style="779" customWidth="1"/>
    <col min="2822" max="2822" width="8.109375" style="779" customWidth="1"/>
    <col min="2823" max="2823" width="9" style="779" customWidth="1"/>
    <col min="2824" max="2824" width="11.5546875" style="779" customWidth="1"/>
    <col min="2825" max="2825" width="12.6640625" style="779" customWidth="1"/>
    <col min="2826" max="2826" width="13.6640625" style="779" customWidth="1"/>
    <col min="2827" max="3072" width="9.6640625" style="779"/>
    <col min="3073" max="3073" width="7.6640625" style="779" customWidth="1"/>
    <col min="3074" max="3074" width="32.88671875" style="779" customWidth="1"/>
    <col min="3075" max="3075" width="9.21875" style="779" customWidth="1"/>
    <col min="3076" max="3076" width="6.5546875" style="779" customWidth="1"/>
    <col min="3077" max="3077" width="7.88671875" style="779" customWidth="1"/>
    <col min="3078" max="3078" width="8.109375" style="779" customWidth="1"/>
    <col min="3079" max="3079" width="9" style="779" customWidth="1"/>
    <col min="3080" max="3080" width="11.5546875" style="779" customWidth="1"/>
    <col min="3081" max="3081" width="12.6640625" style="779" customWidth="1"/>
    <col min="3082" max="3082" width="13.6640625" style="779" customWidth="1"/>
    <col min="3083" max="3328" width="9.6640625" style="779"/>
    <col min="3329" max="3329" width="7.6640625" style="779" customWidth="1"/>
    <col min="3330" max="3330" width="32.88671875" style="779" customWidth="1"/>
    <col min="3331" max="3331" width="9.21875" style="779" customWidth="1"/>
    <col min="3332" max="3332" width="6.5546875" style="779" customWidth="1"/>
    <col min="3333" max="3333" width="7.88671875" style="779" customWidth="1"/>
    <col min="3334" max="3334" width="8.109375" style="779" customWidth="1"/>
    <col min="3335" max="3335" width="9" style="779" customWidth="1"/>
    <col min="3336" max="3336" width="11.5546875" style="779" customWidth="1"/>
    <col min="3337" max="3337" width="12.6640625" style="779" customWidth="1"/>
    <col min="3338" max="3338" width="13.6640625" style="779" customWidth="1"/>
    <col min="3339" max="3584" width="9.6640625" style="779"/>
    <col min="3585" max="3585" width="7.6640625" style="779" customWidth="1"/>
    <col min="3586" max="3586" width="32.88671875" style="779" customWidth="1"/>
    <col min="3587" max="3587" width="9.21875" style="779" customWidth="1"/>
    <col min="3588" max="3588" width="6.5546875" style="779" customWidth="1"/>
    <col min="3589" max="3589" width="7.88671875" style="779" customWidth="1"/>
    <col min="3590" max="3590" width="8.109375" style="779" customWidth="1"/>
    <col min="3591" max="3591" width="9" style="779" customWidth="1"/>
    <col min="3592" max="3592" width="11.5546875" style="779" customWidth="1"/>
    <col min="3593" max="3593" width="12.6640625" style="779" customWidth="1"/>
    <col min="3594" max="3594" width="13.6640625" style="779" customWidth="1"/>
    <col min="3595" max="3840" width="9.6640625" style="779"/>
    <col min="3841" max="3841" width="7.6640625" style="779" customWidth="1"/>
    <col min="3842" max="3842" width="32.88671875" style="779" customWidth="1"/>
    <col min="3843" max="3843" width="9.21875" style="779" customWidth="1"/>
    <col min="3844" max="3844" width="6.5546875" style="779" customWidth="1"/>
    <col min="3845" max="3845" width="7.88671875" style="779" customWidth="1"/>
    <col min="3846" max="3846" width="8.109375" style="779" customWidth="1"/>
    <col min="3847" max="3847" width="9" style="779" customWidth="1"/>
    <col min="3848" max="3848" width="11.5546875" style="779" customWidth="1"/>
    <col min="3849" max="3849" width="12.6640625" style="779" customWidth="1"/>
    <col min="3850" max="3850" width="13.6640625" style="779" customWidth="1"/>
    <col min="3851" max="4096" width="9.6640625" style="779"/>
    <col min="4097" max="4097" width="7.6640625" style="779" customWidth="1"/>
    <col min="4098" max="4098" width="32.88671875" style="779" customWidth="1"/>
    <col min="4099" max="4099" width="9.21875" style="779" customWidth="1"/>
    <col min="4100" max="4100" width="6.5546875" style="779" customWidth="1"/>
    <col min="4101" max="4101" width="7.88671875" style="779" customWidth="1"/>
    <col min="4102" max="4102" width="8.109375" style="779" customWidth="1"/>
    <col min="4103" max="4103" width="9" style="779" customWidth="1"/>
    <col min="4104" max="4104" width="11.5546875" style="779" customWidth="1"/>
    <col min="4105" max="4105" width="12.6640625" style="779" customWidth="1"/>
    <col min="4106" max="4106" width="13.6640625" style="779" customWidth="1"/>
    <col min="4107" max="4352" width="9.6640625" style="779"/>
    <col min="4353" max="4353" width="7.6640625" style="779" customWidth="1"/>
    <col min="4354" max="4354" width="32.88671875" style="779" customWidth="1"/>
    <col min="4355" max="4355" width="9.21875" style="779" customWidth="1"/>
    <col min="4356" max="4356" width="6.5546875" style="779" customWidth="1"/>
    <col min="4357" max="4357" width="7.88671875" style="779" customWidth="1"/>
    <col min="4358" max="4358" width="8.109375" style="779" customWidth="1"/>
    <col min="4359" max="4359" width="9" style="779" customWidth="1"/>
    <col min="4360" max="4360" width="11.5546875" style="779" customWidth="1"/>
    <col min="4361" max="4361" width="12.6640625" style="779" customWidth="1"/>
    <col min="4362" max="4362" width="13.6640625" style="779" customWidth="1"/>
    <col min="4363" max="4608" width="9.6640625" style="779"/>
    <col min="4609" max="4609" width="7.6640625" style="779" customWidth="1"/>
    <col min="4610" max="4610" width="32.88671875" style="779" customWidth="1"/>
    <col min="4611" max="4611" width="9.21875" style="779" customWidth="1"/>
    <col min="4612" max="4612" width="6.5546875" style="779" customWidth="1"/>
    <col min="4613" max="4613" width="7.88671875" style="779" customWidth="1"/>
    <col min="4614" max="4614" width="8.109375" style="779" customWidth="1"/>
    <col min="4615" max="4615" width="9" style="779" customWidth="1"/>
    <col min="4616" max="4616" width="11.5546875" style="779" customWidth="1"/>
    <col min="4617" max="4617" width="12.6640625" style="779" customWidth="1"/>
    <col min="4618" max="4618" width="13.6640625" style="779" customWidth="1"/>
    <col min="4619" max="4864" width="9.6640625" style="779"/>
    <col min="4865" max="4865" width="7.6640625" style="779" customWidth="1"/>
    <col min="4866" max="4866" width="32.88671875" style="779" customWidth="1"/>
    <col min="4867" max="4867" width="9.21875" style="779" customWidth="1"/>
    <col min="4868" max="4868" width="6.5546875" style="779" customWidth="1"/>
    <col min="4869" max="4869" width="7.88671875" style="779" customWidth="1"/>
    <col min="4870" max="4870" width="8.109375" style="779" customWidth="1"/>
    <col min="4871" max="4871" width="9" style="779" customWidth="1"/>
    <col min="4872" max="4872" width="11.5546875" style="779" customWidth="1"/>
    <col min="4873" max="4873" width="12.6640625" style="779" customWidth="1"/>
    <col min="4874" max="4874" width="13.6640625" style="779" customWidth="1"/>
    <col min="4875" max="5120" width="9.6640625" style="779"/>
    <col min="5121" max="5121" width="7.6640625" style="779" customWidth="1"/>
    <col min="5122" max="5122" width="32.88671875" style="779" customWidth="1"/>
    <col min="5123" max="5123" width="9.21875" style="779" customWidth="1"/>
    <col min="5124" max="5124" width="6.5546875" style="779" customWidth="1"/>
    <col min="5125" max="5125" width="7.88671875" style="779" customWidth="1"/>
    <col min="5126" max="5126" width="8.109375" style="779" customWidth="1"/>
    <col min="5127" max="5127" width="9" style="779" customWidth="1"/>
    <col min="5128" max="5128" width="11.5546875" style="779" customWidth="1"/>
    <col min="5129" max="5129" width="12.6640625" style="779" customWidth="1"/>
    <col min="5130" max="5130" width="13.6640625" style="779" customWidth="1"/>
    <col min="5131" max="5376" width="9.6640625" style="779"/>
    <col min="5377" max="5377" width="7.6640625" style="779" customWidth="1"/>
    <col min="5378" max="5378" width="32.88671875" style="779" customWidth="1"/>
    <col min="5379" max="5379" width="9.21875" style="779" customWidth="1"/>
    <col min="5380" max="5380" width="6.5546875" style="779" customWidth="1"/>
    <col min="5381" max="5381" width="7.88671875" style="779" customWidth="1"/>
    <col min="5382" max="5382" width="8.109375" style="779" customWidth="1"/>
    <col min="5383" max="5383" width="9" style="779" customWidth="1"/>
    <col min="5384" max="5384" width="11.5546875" style="779" customWidth="1"/>
    <col min="5385" max="5385" width="12.6640625" style="779" customWidth="1"/>
    <col min="5386" max="5386" width="13.6640625" style="779" customWidth="1"/>
    <col min="5387" max="5632" width="9.6640625" style="779"/>
    <col min="5633" max="5633" width="7.6640625" style="779" customWidth="1"/>
    <col min="5634" max="5634" width="32.88671875" style="779" customWidth="1"/>
    <col min="5635" max="5635" width="9.21875" style="779" customWidth="1"/>
    <col min="5636" max="5636" width="6.5546875" style="779" customWidth="1"/>
    <col min="5637" max="5637" width="7.88671875" style="779" customWidth="1"/>
    <col min="5638" max="5638" width="8.109375" style="779" customWidth="1"/>
    <col min="5639" max="5639" width="9" style="779" customWidth="1"/>
    <col min="5640" max="5640" width="11.5546875" style="779" customWidth="1"/>
    <col min="5641" max="5641" width="12.6640625" style="779" customWidth="1"/>
    <col min="5642" max="5642" width="13.6640625" style="779" customWidth="1"/>
    <col min="5643" max="5888" width="9.6640625" style="779"/>
    <col min="5889" max="5889" width="7.6640625" style="779" customWidth="1"/>
    <col min="5890" max="5890" width="32.88671875" style="779" customWidth="1"/>
    <col min="5891" max="5891" width="9.21875" style="779" customWidth="1"/>
    <col min="5892" max="5892" width="6.5546875" style="779" customWidth="1"/>
    <col min="5893" max="5893" width="7.88671875" style="779" customWidth="1"/>
    <col min="5894" max="5894" width="8.109375" style="779" customWidth="1"/>
    <col min="5895" max="5895" width="9" style="779" customWidth="1"/>
    <col min="5896" max="5896" width="11.5546875" style="779" customWidth="1"/>
    <col min="5897" max="5897" width="12.6640625" style="779" customWidth="1"/>
    <col min="5898" max="5898" width="13.6640625" style="779" customWidth="1"/>
    <col min="5899" max="6144" width="9.6640625" style="779"/>
    <col min="6145" max="6145" width="7.6640625" style="779" customWidth="1"/>
    <col min="6146" max="6146" width="32.88671875" style="779" customWidth="1"/>
    <col min="6147" max="6147" width="9.21875" style="779" customWidth="1"/>
    <col min="6148" max="6148" width="6.5546875" style="779" customWidth="1"/>
    <col min="6149" max="6149" width="7.88671875" style="779" customWidth="1"/>
    <col min="6150" max="6150" width="8.109375" style="779" customWidth="1"/>
    <col min="6151" max="6151" width="9" style="779" customWidth="1"/>
    <col min="6152" max="6152" width="11.5546875" style="779" customWidth="1"/>
    <col min="6153" max="6153" width="12.6640625" style="779" customWidth="1"/>
    <col min="6154" max="6154" width="13.6640625" style="779" customWidth="1"/>
    <col min="6155" max="6400" width="9.6640625" style="779"/>
    <col min="6401" max="6401" width="7.6640625" style="779" customWidth="1"/>
    <col min="6402" max="6402" width="32.88671875" style="779" customWidth="1"/>
    <col min="6403" max="6403" width="9.21875" style="779" customWidth="1"/>
    <col min="6404" max="6404" width="6.5546875" style="779" customWidth="1"/>
    <col min="6405" max="6405" width="7.88671875" style="779" customWidth="1"/>
    <col min="6406" max="6406" width="8.109375" style="779" customWidth="1"/>
    <col min="6407" max="6407" width="9" style="779" customWidth="1"/>
    <col min="6408" max="6408" width="11.5546875" style="779" customWidth="1"/>
    <col min="6409" max="6409" width="12.6640625" style="779" customWidth="1"/>
    <col min="6410" max="6410" width="13.6640625" style="779" customWidth="1"/>
    <col min="6411" max="6656" width="9.6640625" style="779"/>
    <col min="6657" max="6657" width="7.6640625" style="779" customWidth="1"/>
    <col min="6658" max="6658" width="32.88671875" style="779" customWidth="1"/>
    <col min="6659" max="6659" width="9.21875" style="779" customWidth="1"/>
    <col min="6660" max="6660" width="6.5546875" style="779" customWidth="1"/>
    <col min="6661" max="6661" width="7.88671875" style="779" customWidth="1"/>
    <col min="6662" max="6662" width="8.109375" style="779" customWidth="1"/>
    <col min="6663" max="6663" width="9" style="779" customWidth="1"/>
    <col min="6664" max="6664" width="11.5546875" style="779" customWidth="1"/>
    <col min="6665" max="6665" width="12.6640625" style="779" customWidth="1"/>
    <col min="6666" max="6666" width="13.6640625" style="779" customWidth="1"/>
    <col min="6667" max="6912" width="9.6640625" style="779"/>
    <col min="6913" max="6913" width="7.6640625" style="779" customWidth="1"/>
    <col min="6914" max="6914" width="32.88671875" style="779" customWidth="1"/>
    <col min="6915" max="6915" width="9.21875" style="779" customWidth="1"/>
    <col min="6916" max="6916" width="6.5546875" style="779" customWidth="1"/>
    <col min="6917" max="6917" width="7.88671875" style="779" customWidth="1"/>
    <col min="6918" max="6918" width="8.109375" style="779" customWidth="1"/>
    <col min="6919" max="6919" width="9" style="779" customWidth="1"/>
    <col min="6920" max="6920" width="11.5546875" style="779" customWidth="1"/>
    <col min="6921" max="6921" width="12.6640625" style="779" customWidth="1"/>
    <col min="6922" max="6922" width="13.6640625" style="779" customWidth="1"/>
    <col min="6923" max="7168" width="9.6640625" style="779"/>
    <col min="7169" max="7169" width="7.6640625" style="779" customWidth="1"/>
    <col min="7170" max="7170" width="32.88671875" style="779" customWidth="1"/>
    <col min="7171" max="7171" width="9.21875" style="779" customWidth="1"/>
    <col min="7172" max="7172" width="6.5546875" style="779" customWidth="1"/>
    <col min="7173" max="7173" width="7.88671875" style="779" customWidth="1"/>
    <col min="7174" max="7174" width="8.109375" style="779" customWidth="1"/>
    <col min="7175" max="7175" width="9" style="779" customWidth="1"/>
    <col min="7176" max="7176" width="11.5546875" style="779" customWidth="1"/>
    <col min="7177" max="7177" width="12.6640625" style="779" customWidth="1"/>
    <col min="7178" max="7178" width="13.6640625" style="779" customWidth="1"/>
    <col min="7179" max="7424" width="9.6640625" style="779"/>
    <col min="7425" max="7425" width="7.6640625" style="779" customWidth="1"/>
    <col min="7426" max="7426" width="32.88671875" style="779" customWidth="1"/>
    <col min="7427" max="7427" width="9.21875" style="779" customWidth="1"/>
    <col min="7428" max="7428" width="6.5546875" style="779" customWidth="1"/>
    <col min="7429" max="7429" width="7.88671875" style="779" customWidth="1"/>
    <col min="7430" max="7430" width="8.109375" style="779" customWidth="1"/>
    <col min="7431" max="7431" width="9" style="779" customWidth="1"/>
    <col min="7432" max="7432" width="11.5546875" style="779" customWidth="1"/>
    <col min="7433" max="7433" width="12.6640625" style="779" customWidth="1"/>
    <col min="7434" max="7434" width="13.6640625" style="779" customWidth="1"/>
    <col min="7435" max="7680" width="9.6640625" style="779"/>
    <col min="7681" max="7681" width="7.6640625" style="779" customWidth="1"/>
    <col min="7682" max="7682" width="32.88671875" style="779" customWidth="1"/>
    <col min="7683" max="7683" width="9.21875" style="779" customWidth="1"/>
    <col min="7684" max="7684" width="6.5546875" style="779" customWidth="1"/>
    <col min="7685" max="7685" width="7.88671875" style="779" customWidth="1"/>
    <col min="7686" max="7686" width="8.109375" style="779" customWidth="1"/>
    <col min="7687" max="7687" width="9" style="779" customWidth="1"/>
    <col min="7688" max="7688" width="11.5546875" style="779" customWidth="1"/>
    <col min="7689" max="7689" width="12.6640625" style="779" customWidth="1"/>
    <col min="7690" max="7690" width="13.6640625" style="779" customWidth="1"/>
    <col min="7691" max="7936" width="9.6640625" style="779"/>
    <col min="7937" max="7937" width="7.6640625" style="779" customWidth="1"/>
    <col min="7938" max="7938" width="32.88671875" style="779" customWidth="1"/>
    <col min="7939" max="7939" width="9.21875" style="779" customWidth="1"/>
    <col min="7940" max="7940" width="6.5546875" style="779" customWidth="1"/>
    <col min="7941" max="7941" width="7.88671875" style="779" customWidth="1"/>
    <col min="7942" max="7942" width="8.109375" style="779" customWidth="1"/>
    <col min="7943" max="7943" width="9" style="779" customWidth="1"/>
    <col min="7944" max="7944" width="11.5546875" style="779" customWidth="1"/>
    <col min="7945" max="7945" width="12.6640625" style="779" customWidth="1"/>
    <col min="7946" max="7946" width="13.6640625" style="779" customWidth="1"/>
    <col min="7947" max="8192" width="9.6640625" style="779"/>
    <col min="8193" max="8193" width="7.6640625" style="779" customWidth="1"/>
    <col min="8194" max="8194" width="32.88671875" style="779" customWidth="1"/>
    <col min="8195" max="8195" width="9.21875" style="779" customWidth="1"/>
    <col min="8196" max="8196" width="6.5546875" style="779" customWidth="1"/>
    <col min="8197" max="8197" width="7.88671875" style="779" customWidth="1"/>
    <col min="8198" max="8198" width="8.109375" style="779" customWidth="1"/>
    <col min="8199" max="8199" width="9" style="779" customWidth="1"/>
    <col min="8200" max="8200" width="11.5546875" style="779" customWidth="1"/>
    <col min="8201" max="8201" width="12.6640625" style="779" customWidth="1"/>
    <col min="8202" max="8202" width="13.6640625" style="779" customWidth="1"/>
    <col min="8203" max="8448" width="9.6640625" style="779"/>
    <col min="8449" max="8449" width="7.6640625" style="779" customWidth="1"/>
    <col min="8450" max="8450" width="32.88671875" style="779" customWidth="1"/>
    <col min="8451" max="8451" width="9.21875" style="779" customWidth="1"/>
    <col min="8452" max="8452" width="6.5546875" style="779" customWidth="1"/>
    <col min="8453" max="8453" width="7.88671875" style="779" customWidth="1"/>
    <col min="8454" max="8454" width="8.109375" style="779" customWidth="1"/>
    <col min="8455" max="8455" width="9" style="779" customWidth="1"/>
    <col min="8456" max="8456" width="11.5546875" style="779" customWidth="1"/>
    <col min="8457" max="8457" width="12.6640625" style="779" customWidth="1"/>
    <col min="8458" max="8458" width="13.6640625" style="779" customWidth="1"/>
    <col min="8459" max="8704" width="9.6640625" style="779"/>
    <col min="8705" max="8705" width="7.6640625" style="779" customWidth="1"/>
    <col min="8706" max="8706" width="32.88671875" style="779" customWidth="1"/>
    <col min="8707" max="8707" width="9.21875" style="779" customWidth="1"/>
    <col min="8708" max="8708" width="6.5546875" style="779" customWidth="1"/>
    <col min="8709" max="8709" width="7.88671875" style="779" customWidth="1"/>
    <col min="8710" max="8710" width="8.109375" style="779" customWidth="1"/>
    <col min="8711" max="8711" width="9" style="779" customWidth="1"/>
    <col min="8712" max="8712" width="11.5546875" style="779" customWidth="1"/>
    <col min="8713" max="8713" width="12.6640625" style="779" customWidth="1"/>
    <col min="8714" max="8714" width="13.6640625" style="779" customWidth="1"/>
    <col min="8715" max="8960" width="9.6640625" style="779"/>
    <col min="8961" max="8961" width="7.6640625" style="779" customWidth="1"/>
    <col min="8962" max="8962" width="32.88671875" style="779" customWidth="1"/>
    <col min="8963" max="8963" width="9.21875" style="779" customWidth="1"/>
    <col min="8964" max="8964" width="6.5546875" style="779" customWidth="1"/>
    <col min="8965" max="8965" width="7.88671875" style="779" customWidth="1"/>
    <col min="8966" max="8966" width="8.109375" style="779" customWidth="1"/>
    <col min="8967" max="8967" width="9" style="779" customWidth="1"/>
    <col min="8968" max="8968" width="11.5546875" style="779" customWidth="1"/>
    <col min="8969" max="8969" width="12.6640625" style="779" customWidth="1"/>
    <col min="8970" max="8970" width="13.6640625" style="779" customWidth="1"/>
    <col min="8971" max="9216" width="9.6640625" style="779"/>
    <col min="9217" max="9217" width="7.6640625" style="779" customWidth="1"/>
    <col min="9218" max="9218" width="32.88671875" style="779" customWidth="1"/>
    <col min="9219" max="9219" width="9.21875" style="779" customWidth="1"/>
    <col min="9220" max="9220" width="6.5546875" style="779" customWidth="1"/>
    <col min="9221" max="9221" width="7.88671875" style="779" customWidth="1"/>
    <col min="9222" max="9222" width="8.109375" style="779" customWidth="1"/>
    <col min="9223" max="9223" width="9" style="779" customWidth="1"/>
    <col min="9224" max="9224" width="11.5546875" style="779" customWidth="1"/>
    <col min="9225" max="9225" width="12.6640625" style="779" customWidth="1"/>
    <col min="9226" max="9226" width="13.6640625" style="779" customWidth="1"/>
    <col min="9227" max="9472" width="9.6640625" style="779"/>
    <col min="9473" max="9473" width="7.6640625" style="779" customWidth="1"/>
    <col min="9474" max="9474" width="32.88671875" style="779" customWidth="1"/>
    <col min="9475" max="9475" width="9.21875" style="779" customWidth="1"/>
    <col min="9476" max="9476" width="6.5546875" style="779" customWidth="1"/>
    <col min="9477" max="9477" width="7.88671875" style="779" customWidth="1"/>
    <col min="9478" max="9478" width="8.109375" style="779" customWidth="1"/>
    <col min="9479" max="9479" width="9" style="779" customWidth="1"/>
    <col min="9480" max="9480" width="11.5546875" style="779" customWidth="1"/>
    <col min="9481" max="9481" width="12.6640625" style="779" customWidth="1"/>
    <col min="9482" max="9482" width="13.6640625" style="779" customWidth="1"/>
    <col min="9483" max="9728" width="9.6640625" style="779"/>
    <col min="9729" max="9729" width="7.6640625" style="779" customWidth="1"/>
    <col min="9730" max="9730" width="32.88671875" style="779" customWidth="1"/>
    <col min="9731" max="9731" width="9.21875" style="779" customWidth="1"/>
    <col min="9732" max="9732" width="6.5546875" style="779" customWidth="1"/>
    <col min="9733" max="9733" width="7.88671875" style="779" customWidth="1"/>
    <col min="9734" max="9734" width="8.109375" style="779" customWidth="1"/>
    <col min="9735" max="9735" width="9" style="779" customWidth="1"/>
    <col min="9736" max="9736" width="11.5546875" style="779" customWidth="1"/>
    <col min="9737" max="9737" width="12.6640625" style="779" customWidth="1"/>
    <col min="9738" max="9738" width="13.6640625" style="779" customWidth="1"/>
    <col min="9739" max="9984" width="9.6640625" style="779"/>
    <col min="9985" max="9985" width="7.6640625" style="779" customWidth="1"/>
    <col min="9986" max="9986" width="32.88671875" style="779" customWidth="1"/>
    <col min="9987" max="9987" width="9.21875" style="779" customWidth="1"/>
    <col min="9988" max="9988" width="6.5546875" style="779" customWidth="1"/>
    <col min="9989" max="9989" width="7.88671875" style="779" customWidth="1"/>
    <col min="9990" max="9990" width="8.109375" style="779" customWidth="1"/>
    <col min="9991" max="9991" width="9" style="779" customWidth="1"/>
    <col min="9992" max="9992" width="11.5546875" style="779" customWidth="1"/>
    <col min="9993" max="9993" width="12.6640625" style="779" customWidth="1"/>
    <col min="9994" max="9994" width="13.6640625" style="779" customWidth="1"/>
    <col min="9995" max="10240" width="9.6640625" style="779"/>
    <col min="10241" max="10241" width="7.6640625" style="779" customWidth="1"/>
    <col min="10242" max="10242" width="32.88671875" style="779" customWidth="1"/>
    <col min="10243" max="10243" width="9.21875" style="779" customWidth="1"/>
    <col min="10244" max="10244" width="6.5546875" style="779" customWidth="1"/>
    <col min="10245" max="10245" width="7.88671875" style="779" customWidth="1"/>
    <col min="10246" max="10246" width="8.109375" style="779" customWidth="1"/>
    <col min="10247" max="10247" width="9" style="779" customWidth="1"/>
    <col min="10248" max="10248" width="11.5546875" style="779" customWidth="1"/>
    <col min="10249" max="10249" width="12.6640625" style="779" customWidth="1"/>
    <col min="10250" max="10250" width="13.6640625" style="779" customWidth="1"/>
    <col min="10251" max="10496" width="9.6640625" style="779"/>
    <col min="10497" max="10497" width="7.6640625" style="779" customWidth="1"/>
    <col min="10498" max="10498" width="32.88671875" style="779" customWidth="1"/>
    <col min="10499" max="10499" width="9.21875" style="779" customWidth="1"/>
    <col min="10500" max="10500" width="6.5546875" style="779" customWidth="1"/>
    <col min="10501" max="10501" width="7.88671875" style="779" customWidth="1"/>
    <col min="10502" max="10502" width="8.109375" style="779" customWidth="1"/>
    <col min="10503" max="10503" width="9" style="779" customWidth="1"/>
    <col min="10504" max="10504" width="11.5546875" style="779" customWidth="1"/>
    <col min="10505" max="10505" width="12.6640625" style="779" customWidth="1"/>
    <col min="10506" max="10506" width="13.6640625" style="779" customWidth="1"/>
    <col min="10507" max="10752" width="9.6640625" style="779"/>
    <col min="10753" max="10753" width="7.6640625" style="779" customWidth="1"/>
    <col min="10754" max="10754" width="32.88671875" style="779" customWidth="1"/>
    <col min="10755" max="10755" width="9.21875" style="779" customWidth="1"/>
    <col min="10756" max="10756" width="6.5546875" style="779" customWidth="1"/>
    <col min="10757" max="10757" width="7.88671875" style="779" customWidth="1"/>
    <col min="10758" max="10758" width="8.109375" style="779" customWidth="1"/>
    <col min="10759" max="10759" width="9" style="779" customWidth="1"/>
    <col min="10760" max="10760" width="11.5546875" style="779" customWidth="1"/>
    <col min="10761" max="10761" width="12.6640625" style="779" customWidth="1"/>
    <col min="10762" max="10762" width="13.6640625" style="779" customWidth="1"/>
    <col min="10763" max="11008" width="9.6640625" style="779"/>
    <col min="11009" max="11009" width="7.6640625" style="779" customWidth="1"/>
    <col min="11010" max="11010" width="32.88671875" style="779" customWidth="1"/>
    <col min="11011" max="11011" width="9.21875" style="779" customWidth="1"/>
    <col min="11012" max="11012" width="6.5546875" style="779" customWidth="1"/>
    <col min="11013" max="11013" width="7.88671875" style="779" customWidth="1"/>
    <col min="11014" max="11014" width="8.109375" style="779" customWidth="1"/>
    <col min="11015" max="11015" width="9" style="779" customWidth="1"/>
    <col min="11016" max="11016" width="11.5546875" style="779" customWidth="1"/>
    <col min="11017" max="11017" width="12.6640625" style="779" customWidth="1"/>
    <col min="11018" max="11018" width="13.6640625" style="779" customWidth="1"/>
    <col min="11019" max="11264" width="9.6640625" style="779"/>
    <col min="11265" max="11265" width="7.6640625" style="779" customWidth="1"/>
    <col min="11266" max="11266" width="32.88671875" style="779" customWidth="1"/>
    <col min="11267" max="11267" width="9.21875" style="779" customWidth="1"/>
    <col min="11268" max="11268" width="6.5546875" style="779" customWidth="1"/>
    <col min="11269" max="11269" width="7.88671875" style="779" customWidth="1"/>
    <col min="11270" max="11270" width="8.109375" style="779" customWidth="1"/>
    <col min="11271" max="11271" width="9" style="779" customWidth="1"/>
    <col min="11272" max="11272" width="11.5546875" style="779" customWidth="1"/>
    <col min="11273" max="11273" width="12.6640625" style="779" customWidth="1"/>
    <col min="11274" max="11274" width="13.6640625" style="779" customWidth="1"/>
    <col min="11275" max="11520" width="9.6640625" style="779"/>
    <col min="11521" max="11521" width="7.6640625" style="779" customWidth="1"/>
    <col min="11522" max="11522" width="32.88671875" style="779" customWidth="1"/>
    <col min="11523" max="11523" width="9.21875" style="779" customWidth="1"/>
    <col min="11524" max="11524" width="6.5546875" style="779" customWidth="1"/>
    <col min="11525" max="11525" width="7.88671875" style="779" customWidth="1"/>
    <col min="11526" max="11526" width="8.109375" style="779" customWidth="1"/>
    <col min="11527" max="11527" width="9" style="779" customWidth="1"/>
    <col min="11528" max="11528" width="11.5546875" style="779" customWidth="1"/>
    <col min="11529" max="11529" width="12.6640625" style="779" customWidth="1"/>
    <col min="11530" max="11530" width="13.6640625" style="779" customWidth="1"/>
    <col min="11531" max="11776" width="9.6640625" style="779"/>
    <col min="11777" max="11777" width="7.6640625" style="779" customWidth="1"/>
    <col min="11778" max="11778" width="32.88671875" style="779" customWidth="1"/>
    <col min="11779" max="11779" width="9.21875" style="779" customWidth="1"/>
    <col min="11780" max="11780" width="6.5546875" style="779" customWidth="1"/>
    <col min="11781" max="11781" width="7.88671875" style="779" customWidth="1"/>
    <col min="11782" max="11782" width="8.109375" style="779" customWidth="1"/>
    <col min="11783" max="11783" width="9" style="779" customWidth="1"/>
    <col min="11784" max="11784" width="11.5546875" style="779" customWidth="1"/>
    <col min="11785" max="11785" width="12.6640625" style="779" customWidth="1"/>
    <col min="11786" max="11786" width="13.6640625" style="779" customWidth="1"/>
    <col min="11787" max="12032" width="9.6640625" style="779"/>
    <col min="12033" max="12033" width="7.6640625" style="779" customWidth="1"/>
    <col min="12034" max="12034" width="32.88671875" style="779" customWidth="1"/>
    <col min="12035" max="12035" width="9.21875" style="779" customWidth="1"/>
    <col min="12036" max="12036" width="6.5546875" style="779" customWidth="1"/>
    <col min="12037" max="12037" width="7.88671875" style="779" customWidth="1"/>
    <col min="12038" max="12038" width="8.109375" style="779" customWidth="1"/>
    <col min="12039" max="12039" width="9" style="779" customWidth="1"/>
    <col min="12040" max="12040" width="11.5546875" style="779" customWidth="1"/>
    <col min="12041" max="12041" width="12.6640625" style="779" customWidth="1"/>
    <col min="12042" max="12042" width="13.6640625" style="779" customWidth="1"/>
    <col min="12043" max="12288" width="9.6640625" style="779"/>
    <col min="12289" max="12289" width="7.6640625" style="779" customWidth="1"/>
    <col min="12290" max="12290" width="32.88671875" style="779" customWidth="1"/>
    <col min="12291" max="12291" width="9.21875" style="779" customWidth="1"/>
    <col min="12292" max="12292" width="6.5546875" style="779" customWidth="1"/>
    <col min="12293" max="12293" width="7.88671875" style="779" customWidth="1"/>
    <col min="12294" max="12294" width="8.109375" style="779" customWidth="1"/>
    <col min="12295" max="12295" width="9" style="779" customWidth="1"/>
    <col min="12296" max="12296" width="11.5546875" style="779" customWidth="1"/>
    <col min="12297" max="12297" width="12.6640625" style="779" customWidth="1"/>
    <col min="12298" max="12298" width="13.6640625" style="779" customWidth="1"/>
    <col min="12299" max="12544" width="9.6640625" style="779"/>
    <col min="12545" max="12545" width="7.6640625" style="779" customWidth="1"/>
    <col min="12546" max="12546" width="32.88671875" style="779" customWidth="1"/>
    <col min="12547" max="12547" width="9.21875" style="779" customWidth="1"/>
    <col min="12548" max="12548" width="6.5546875" style="779" customWidth="1"/>
    <col min="12549" max="12549" width="7.88671875" style="779" customWidth="1"/>
    <col min="12550" max="12550" width="8.109375" style="779" customWidth="1"/>
    <col min="12551" max="12551" width="9" style="779" customWidth="1"/>
    <col min="12552" max="12552" width="11.5546875" style="779" customWidth="1"/>
    <col min="12553" max="12553" width="12.6640625" style="779" customWidth="1"/>
    <col min="12554" max="12554" width="13.6640625" style="779" customWidth="1"/>
    <col min="12555" max="12800" width="9.6640625" style="779"/>
    <col min="12801" max="12801" width="7.6640625" style="779" customWidth="1"/>
    <col min="12802" max="12802" width="32.88671875" style="779" customWidth="1"/>
    <col min="12803" max="12803" width="9.21875" style="779" customWidth="1"/>
    <col min="12804" max="12804" width="6.5546875" style="779" customWidth="1"/>
    <col min="12805" max="12805" width="7.88671875" style="779" customWidth="1"/>
    <col min="12806" max="12806" width="8.109375" style="779" customWidth="1"/>
    <col min="12807" max="12807" width="9" style="779" customWidth="1"/>
    <col min="12808" max="12808" width="11.5546875" style="779" customWidth="1"/>
    <col min="12809" max="12809" width="12.6640625" style="779" customWidth="1"/>
    <col min="12810" max="12810" width="13.6640625" style="779" customWidth="1"/>
    <col min="12811" max="13056" width="9.6640625" style="779"/>
    <col min="13057" max="13057" width="7.6640625" style="779" customWidth="1"/>
    <col min="13058" max="13058" width="32.88671875" style="779" customWidth="1"/>
    <col min="13059" max="13059" width="9.21875" style="779" customWidth="1"/>
    <col min="13060" max="13060" width="6.5546875" style="779" customWidth="1"/>
    <col min="13061" max="13061" width="7.88671875" style="779" customWidth="1"/>
    <col min="13062" max="13062" width="8.109375" style="779" customWidth="1"/>
    <col min="13063" max="13063" width="9" style="779" customWidth="1"/>
    <col min="13064" max="13064" width="11.5546875" style="779" customWidth="1"/>
    <col min="13065" max="13065" width="12.6640625" style="779" customWidth="1"/>
    <col min="13066" max="13066" width="13.6640625" style="779" customWidth="1"/>
    <col min="13067" max="13312" width="9.6640625" style="779"/>
    <col min="13313" max="13313" width="7.6640625" style="779" customWidth="1"/>
    <col min="13314" max="13314" width="32.88671875" style="779" customWidth="1"/>
    <col min="13315" max="13315" width="9.21875" style="779" customWidth="1"/>
    <col min="13316" max="13316" width="6.5546875" style="779" customWidth="1"/>
    <col min="13317" max="13317" width="7.88671875" style="779" customWidth="1"/>
    <col min="13318" max="13318" width="8.109375" style="779" customWidth="1"/>
    <col min="13319" max="13319" width="9" style="779" customWidth="1"/>
    <col min="13320" max="13320" width="11.5546875" style="779" customWidth="1"/>
    <col min="13321" max="13321" width="12.6640625" style="779" customWidth="1"/>
    <col min="13322" max="13322" width="13.6640625" style="779" customWidth="1"/>
    <col min="13323" max="13568" width="9.6640625" style="779"/>
    <col min="13569" max="13569" width="7.6640625" style="779" customWidth="1"/>
    <col min="13570" max="13570" width="32.88671875" style="779" customWidth="1"/>
    <col min="13571" max="13571" width="9.21875" style="779" customWidth="1"/>
    <col min="13572" max="13572" width="6.5546875" style="779" customWidth="1"/>
    <col min="13573" max="13573" width="7.88671875" style="779" customWidth="1"/>
    <col min="13574" max="13574" width="8.109375" style="779" customWidth="1"/>
    <col min="13575" max="13575" width="9" style="779" customWidth="1"/>
    <col min="13576" max="13576" width="11.5546875" style="779" customWidth="1"/>
    <col min="13577" max="13577" width="12.6640625" style="779" customWidth="1"/>
    <col min="13578" max="13578" width="13.6640625" style="779" customWidth="1"/>
    <col min="13579" max="13824" width="9.6640625" style="779"/>
    <col min="13825" max="13825" width="7.6640625" style="779" customWidth="1"/>
    <col min="13826" max="13826" width="32.88671875" style="779" customWidth="1"/>
    <col min="13827" max="13827" width="9.21875" style="779" customWidth="1"/>
    <col min="13828" max="13828" width="6.5546875" style="779" customWidth="1"/>
    <col min="13829" max="13829" width="7.88671875" style="779" customWidth="1"/>
    <col min="13830" max="13830" width="8.109375" style="779" customWidth="1"/>
    <col min="13831" max="13831" width="9" style="779" customWidth="1"/>
    <col min="13832" max="13832" width="11.5546875" style="779" customWidth="1"/>
    <col min="13833" max="13833" width="12.6640625" style="779" customWidth="1"/>
    <col min="13834" max="13834" width="13.6640625" style="779" customWidth="1"/>
    <col min="13835" max="14080" width="9.6640625" style="779"/>
    <col min="14081" max="14081" width="7.6640625" style="779" customWidth="1"/>
    <col min="14082" max="14082" width="32.88671875" style="779" customWidth="1"/>
    <col min="14083" max="14083" width="9.21875" style="779" customWidth="1"/>
    <col min="14084" max="14084" width="6.5546875" style="779" customWidth="1"/>
    <col min="14085" max="14085" width="7.88671875" style="779" customWidth="1"/>
    <col min="14086" max="14086" width="8.109375" style="779" customWidth="1"/>
    <col min="14087" max="14087" width="9" style="779" customWidth="1"/>
    <col min="14088" max="14088" width="11.5546875" style="779" customWidth="1"/>
    <col min="14089" max="14089" width="12.6640625" style="779" customWidth="1"/>
    <col min="14090" max="14090" width="13.6640625" style="779" customWidth="1"/>
    <col min="14091" max="14336" width="9.6640625" style="779"/>
    <col min="14337" max="14337" width="7.6640625" style="779" customWidth="1"/>
    <col min="14338" max="14338" width="32.88671875" style="779" customWidth="1"/>
    <col min="14339" max="14339" width="9.21875" style="779" customWidth="1"/>
    <col min="14340" max="14340" width="6.5546875" style="779" customWidth="1"/>
    <col min="14341" max="14341" width="7.88671875" style="779" customWidth="1"/>
    <col min="14342" max="14342" width="8.109375" style="779" customWidth="1"/>
    <col min="14343" max="14343" width="9" style="779" customWidth="1"/>
    <col min="14344" max="14344" width="11.5546875" style="779" customWidth="1"/>
    <col min="14345" max="14345" width="12.6640625" style="779" customWidth="1"/>
    <col min="14346" max="14346" width="13.6640625" style="779" customWidth="1"/>
    <col min="14347" max="14592" width="9.6640625" style="779"/>
    <col min="14593" max="14593" width="7.6640625" style="779" customWidth="1"/>
    <col min="14594" max="14594" width="32.88671875" style="779" customWidth="1"/>
    <col min="14595" max="14595" width="9.21875" style="779" customWidth="1"/>
    <col min="14596" max="14596" width="6.5546875" style="779" customWidth="1"/>
    <col min="14597" max="14597" width="7.88671875" style="779" customWidth="1"/>
    <col min="14598" max="14598" width="8.109375" style="779" customWidth="1"/>
    <col min="14599" max="14599" width="9" style="779" customWidth="1"/>
    <col min="14600" max="14600" width="11.5546875" style="779" customWidth="1"/>
    <col min="14601" max="14601" width="12.6640625" style="779" customWidth="1"/>
    <col min="14602" max="14602" width="13.6640625" style="779" customWidth="1"/>
    <col min="14603" max="14848" width="9.6640625" style="779"/>
    <col min="14849" max="14849" width="7.6640625" style="779" customWidth="1"/>
    <col min="14850" max="14850" width="32.88671875" style="779" customWidth="1"/>
    <col min="14851" max="14851" width="9.21875" style="779" customWidth="1"/>
    <col min="14852" max="14852" width="6.5546875" style="779" customWidth="1"/>
    <col min="14853" max="14853" width="7.88671875" style="779" customWidth="1"/>
    <col min="14854" max="14854" width="8.109375" style="779" customWidth="1"/>
    <col min="14855" max="14855" width="9" style="779" customWidth="1"/>
    <col min="14856" max="14856" width="11.5546875" style="779" customWidth="1"/>
    <col min="14857" max="14857" width="12.6640625" style="779" customWidth="1"/>
    <col min="14858" max="14858" width="13.6640625" style="779" customWidth="1"/>
    <col min="14859" max="15104" width="9.6640625" style="779"/>
    <col min="15105" max="15105" width="7.6640625" style="779" customWidth="1"/>
    <col min="15106" max="15106" width="32.88671875" style="779" customWidth="1"/>
    <col min="15107" max="15107" width="9.21875" style="779" customWidth="1"/>
    <col min="15108" max="15108" width="6.5546875" style="779" customWidth="1"/>
    <col min="15109" max="15109" width="7.88671875" style="779" customWidth="1"/>
    <col min="15110" max="15110" width="8.109375" style="779" customWidth="1"/>
    <col min="15111" max="15111" width="9" style="779" customWidth="1"/>
    <col min="15112" max="15112" width="11.5546875" style="779" customWidth="1"/>
    <col min="15113" max="15113" width="12.6640625" style="779" customWidth="1"/>
    <col min="15114" max="15114" width="13.6640625" style="779" customWidth="1"/>
    <col min="15115" max="15360" width="9.6640625" style="779"/>
    <col min="15361" max="15361" width="7.6640625" style="779" customWidth="1"/>
    <col min="15362" max="15362" width="32.88671875" style="779" customWidth="1"/>
    <col min="15363" max="15363" width="9.21875" style="779" customWidth="1"/>
    <col min="15364" max="15364" width="6.5546875" style="779" customWidth="1"/>
    <col min="15365" max="15365" width="7.88671875" style="779" customWidth="1"/>
    <col min="15366" max="15366" width="8.109375" style="779" customWidth="1"/>
    <col min="15367" max="15367" width="9" style="779" customWidth="1"/>
    <col min="15368" max="15368" width="11.5546875" style="779" customWidth="1"/>
    <col min="15369" max="15369" width="12.6640625" style="779" customWidth="1"/>
    <col min="15370" max="15370" width="13.6640625" style="779" customWidth="1"/>
    <col min="15371" max="15616" width="9.6640625" style="779"/>
    <col min="15617" max="15617" width="7.6640625" style="779" customWidth="1"/>
    <col min="15618" max="15618" width="32.88671875" style="779" customWidth="1"/>
    <col min="15619" max="15619" width="9.21875" style="779" customWidth="1"/>
    <col min="15620" max="15620" width="6.5546875" style="779" customWidth="1"/>
    <col min="15621" max="15621" width="7.88671875" style="779" customWidth="1"/>
    <col min="15622" max="15622" width="8.109375" style="779" customWidth="1"/>
    <col min="15623" max="15623" width="9" style="779" customWidth="1"/>
    <col min="15624" max="15624" width="11.5546875" style="779" customWidth="1"/>
    <col min="15625" max="15625" width="12.6640625" style="779" customWidth="1"/>
    <col min="15626" max="15626" width="13.6640625" style="779" customWidth="1"/>
    <col min="15627" max="15872" width="9.6640625" style="779"/>
    <col min="15873" max="15873" width="7.6640625" style="779" customWidth="1"/>
    <col min="15874" max="15874" width="32.88671875" style="779" customWidth="1"/>
    <col min="15875" max="15875" width="9.21875" style="779" customWidth="1"/>
    <col min="15876" max="15876" width="6.5546875" style="779" customWidth="1"/>
    <col min="15877" max="15877" width="7.88671875" style="779" customWidth="1"/>
    <col min="15878" max="15878" width="8.109375" style="779" customWidth="1"/>
    <col min="15879" max="15879" width="9" style="779" customWidth="1"/>
    <col min="15880" max="15880" width="11.5546875" style="779" customWidth="1"/>
    <col min="15881" max="15881" width="12.6640625" style="779" customWidth="1"/>
    <col min="15882" max="15882" width="13.6640625" style="779" customWidth="1"/>
    <col min="15883" max="16128" width="9.6640625" style="779"/>
    <col min="16129" max="16129" width="7.6640625" style="779" customWidth="1"/>
    <col min="16130" max="16130" width="32.88671875" style="779" customWidth="1"/>
    <col min="16131" max="16131" width="9.21875" style="779" customWidth="1"/>
    <col min="16132" max="16132" width="6.5546875" style="779" customWidth="1"/>
    <col min="16133" max="16133" width="7.88671875" style="779" customWidth="1"/>
    <col min="16134" max="16134" width="8.109375" style="779" customWidth="1"/>
    <col min="16135" max="16135" width="9" style="779" customWidth="1"/>
    <col min="16136" max="16136" width="11.5546875" style="779" customWidth="1"/>
    <col min="16137" max="16137" width="12.6640625" style="779" customWidth="1"/>
    <col min="16138" max="16138" width="13.6640625" style="779" customWidth="1"/>
    <col min="16139" max="16384" width="9.6640625" style="779"/>
  </cols>
  <sheetData>
    <row r="1" spans="1:10">
      <c r="A1" s="926" t="s">
        <v>530</v>
      </c>
      <c r="B1" s="926"/>
      <c r="C1" s="926"/>
      <c r="D1" s="926"/>
      <c r="E1" s="926"/>
      <c r="F1" s="926"/>
      <c r="G1" s="926"/>
      <c r="H1" s="926"/>
    </row>
    <row r="2" spans="1:10">
      <c r="A2" s="942" t="s">
        <v>256</v>
      </c>
      <c r="B2" s="942"/>
      <c r="C2" s="942"/>
      <c r="D2" s="942"/>
      <c r="E2" s="942"/>
      <c r="F2" s="942"/>
      <c r="G2" s="942"/>
      <c r="H2" s="942"/>
    </row>
    <row r="3" spans="1:10">
      <c r="A3" s="943" t="str">
        <f>+'Attachment H-26'!D5</f>
        <v>Transource West Virginia, LLC</v>
      </c>
      <c r="B3" s="943"/>
      <c r="C3" s="943"/>
      <c r="D3" s="943"/>
      <c r="E3" s="943"/>
      <c r="F3" s="943"/>
      <c r="G3" s="943"/>
      <c r="H3" s="943"/>
    </row>
    <row r="4" spans="1:10">
      <c r="H4" s="780"/>
    </row>
    <row r="5" spans="1:10">
      <c r="H5" s="780"/>
    </row>
    <row r="7" spans="1:10">
      <c r="A7" s="941"/>
      <c r="B7" s="941"/>
      <c r="C7" s="941"/>
      <c r="D7" s="941"/>
      <c r="E7" s="941"/>
      <c r="F7" s="941"/>
      <c r="G7" s="941"/>
      <c r="H7" s="941"/>
    </row>
    <row r="8" spans="1:10">
      <c r="A8" s="941" t="s">
        <v>446</v>
      </c>
      <c r="B8" s="941"/>
      <c r="C8" s="941"/>
      <c r="D8" s="941"/>
      <c r="E8" s="941"/>
      <c r="F8" s="941"/>
      <c r="G8" s="941"/>
      <c r="H8" s="941"/>
    </row>
    <row r="9" spans="1:10">
      <c r="A9" s="941" t="s">
        <v>447</v>
      </c>
      <c r="B9" s="941"/>
      <c r="C9" s="941"/>
      <c r="D9" s="941"/>
      <c r="E9" s="941"/>
      <c r="F9" s="941"/>
      <c r="G9" s="941"/>
      <c r="H9" s="941"/>
    </row>
    <row r="10" spans="1:10">
      <c r="A10" s="941" t="s">
        <v>726</v>
      </c>
      <c r="B10" s="941"/>
      <c r="C10" s="941"/>
      <c r="D10" s="941"/>
      <c r="E10" s="941"/>
      <c r="F10" s="941"/>
      <c r="G10" s="941"/>
      <c r="H10" s="941"/>
    </row>
    <row r="11" spans="1:10">
      <c r="A11" s="781"/>
    </row>
    <row r="12" spans="1:10" ht="73.5" customHeight="1">
      <c r="C12" s="782" t="s">
        <v>366</v>
      </c>
      <c r="D12" s="782" t="s">
        <v>367</v>
      </c>
      <c r="E12" s="782" t="s">
        <v>368</v>
      </c>
      <c r="F12" s="782" t="s">
        <v>369</v>
      </c>
      <c r="G12" s="782" t="s">
        <v>370</v>
      </c>
      <c r="H12" s="782" t="s">
        <v>728</v>
      </c>
    </row>
    <row r="13" spans="1:10">
      <c r="A13" s="783" t="s">
        <v>371</v>
      </c>
    </row>
    <row r="14" spans="1:10">
      <c r="A14" s="783"/>
    </row>
    <row r="15" spans="1:10">
      <c r="A15" s="784" t="s">
        <v>448</v>
      </c>
      <c r="B15" s="779" t="s">
        <v>449</v>
      </c>
      <c r="C15" s="785">
        <v>15</v>
      </c>
      <c r="D15" s="786" t="s">
        <v>390</v>
      </c>
      <c r="E15" s="787">
        <v>0.05</v>
      </c>
      <c r="F15" s="787">
        <v>0.05</v>
      </c>
      <c r="G15" s="787">
        <f>E15-F15</f>
        <v>0</v>
      </c>
      <c r="H15" s="788">
        <f>(1-G15)/C15</f>
        <v>6.6666666666666666E-2</v>
      </c>
    </row>
    <row r="16" spans="1:10">
      <c r="A16" s="779" t="s">
        <v>373</v>
      </c>
      <c r="B16" s="779" t="s">
        <v>374</v>
      </c>
      <c r="C16" s="785">
        <v>62</v>
      </c>
      <c r="D16" s="786" t="s">
        <v>372</v>
      </c>
      <c r="E16" s="787">
        <v>0.05</v>
      </c>
      <c r="F16" s="787">
        <v>0.15</v>
      </c>
      <c r="G16" s="787">
        <f t="shared" ref="G16:G22" si="0">E16-F16</f>
        <v>-9.9999999999999992E-2</v>
      </c>
      <c r="H16" s="788">
        <f t="shared" ref="H16:H22" si="1">(1-G16)/C16</f>
        <v>1.7741935483870968E-2</v>
      </c>
      <c r="I16" s="789"/>
      <c r="J16" s="790"/>
    </row>
    <row r="17" spans="1:10">
      <c r="A17" s="779" t="s">
        <v>375</v>
      </c>
      <c r="B17" s="779" t="s">
        <v>376</v>
      </c>
      <c r="C17" s="785">
        <v>45</v>
      </c>
      <c r="D17" s="791" t="s">
        <v>450</v>
      </c>
      <c r="E17" s="787">
        <v>0.28000000000000003</v>
      </c>
      <c r="F17" s="787">
        <v>0.13</v>
      </c>
      <c r="G17" s="787">
        <f t="shared" si="0"/>
        <v>0.15000000000000002</v>
      </c>
      <c r="H17" s="788">
        <f t="shared" si="1"/>
        <v>1.8888888888888889E-2</v>
      </c>
      <c r="I17" s="789"/>
      <c r="J17" s="790"/>
    </row>
    <row r="18" spans="1:10">
      <c r="A18" s="779" t="s">
        <v>378</v>
      </c>
      <c r="B18" s="779" t="s">
        <v>379</v>
      </c>
      <c r="C18" s="785">
        <v>68</v>
      </c>
      <c r="D18" s="786" t="s">
        <v>384</v>
      </c>
      <c r="E18" s="787">
        <v>0.25</v>
      </c>
      <c r="F18" s="787">
        <v>0.35</v>
      </c>
      <c r="G18" s="787">
        <f t="shared" si="0"/>
        <v>-9.9999999999999978E-2</v>
      </c>
      <c r="H18" s="788">
        <f t="shared" si="1"/>
        <v>1.6176470588235296E-2</v>
      </c>
      <c r="I18" s="789"/>
      <c r="J18" s="790"/>
    </row>
    <row r="19" spans="1:10">
      <c r="A19" s="779" t="s">
        <v>380</v>
      </c>
      <c r="B19" s="779" t="s">
        <v>381</v>
      </c>
      <c r="C19" s="785">
        <v>42</v>
      </c>
      <c r="D19" s="791" t="s">
        <v>451</v>
      </c>
      <c r="E19" s="787">
        <v>0.05</v>
      </c>
      <c r="F19" s="787">
        <v>0.2</v>
      </c>
      <c r="G19" s="787">
        <f t="shared" si="0"/>
        <v>-0.15000000000000002</v>
      </c>
      <c r="H19" s="788">
        <f t="shared" si="1"/>
        <v>2.7380952380952377E-2</v>
      </c>
      <c r="I19" s="789"/>
      <c r="J19" s="790"/>
    </row>
    <row r="20" spans="1:10">
      <c r="A20" s="779" t="s">
        <v>382</v>
      </c>
      <c r="B20" s="779" t="s">
        <v>383</v>
      </c>
      <c r="C20" s="785">
        <v>64</v>
      </c>
      <c r="D20" s="791" t="s">
        <v>384</v>
      </c>
      <c r="E20" s="787">
        <v>0.3</v>
      </c>
      <c r="F20" s="787">
        <v>0.18</v>
      </c>
      <c r="G20" s="787">
        <f t="shared" si="0"/>
        <v>0.12</v>
      </c>
      <c r="H20" s="788">
        <f t="shared" si="1"/>
        <v>1.375E-2</v>
      </c>
      <c r="I20" s="789"/>
      <c r="J20" s="790"/>
    </row>
    <row r="21" spans="1:10">
      <c r="A21" s="792" t="s">
        <v>452</v>
      </c>
      <c r="B21" s="779" t="s">
        <v>453</v>
      </c>
      <c r="C21" s="785">
        <v>50</v>
      </c>
      <c r="D21" s="791" t="s">
        <v>377</v>
      </c>
      <c r="E21" s="787">
        <v>0</v>
      </c>
      <c r="F21" s="787">
        <v>0</v>
      </c>
      <c r="G21" s="787">
        <f t="shared" si="0"/>
        <v>0</v>
      </c>
      <c r="H21" s="788">
        <f t="shared" si="1"/>
        <v>0.02</v>
      </c>
      <c r="I21" s="789"/>
      <c r="J21" s="790"/>
    </row>
    <row r="22" spans="1:10">
      <c r="A22" s="793">
        <v>358</v>
      </c>
      <c r="B22" s="779" t="s">
        <v>385</v>
      </c>
      <c r="C22" s="785">
        <v>20</v>
      </c>
      <c r="D22" s="791" t="s">
        <v>454</v>
      </c>
      <c r="E22" s="787">
        <v>0</v>
      </c>
      <c r="F22" s="787">
        <v>0</v>
      </c>
      <c r="G22" s="787">
        <f t="shared" si="0"/>
        <v>0</v>
      </c>
      <c r="H22" s="788">
        <f t="shared" si="1"/>
        <v>0.05</v>
      </c>
      <c r="I22" s="789"/>
      <c r="J22" s="790"/>
    </row>
    <row r="23" spans="1:10">
      <c r="C23" s="785"/>
      <c r="D23" s="788"/>
      <c r="E23" s="787"/>
      <c r="F23" s="787"/>
      <c r="G23" s="787"/>
      <c r="H23" s="791"/>
      <c r="I23" s="794"/>
      <c r="J23" s="780"/>
    </row>
    <row r="24" spans="1:10" s="795" customFormat="1">
      <c r="A24" s="783" t="s">
        <v>386</v>
      </c>
      <c r="C24" s="796"/>
      <c r="D24" s="797"/>
      <c r="E24" s="798"/>
      <c r="F24" s="798"/>
      <c r="G24" s="798"/>
      <c r="H24" s="799"/>
    </row>
    <row r="25" spans="1:10" s="795" customFormat="1">
      <c r="A25" s="783"/>
      <c r="C25" s="796"/>
      <c r="D25" s="797"/>
      <c r="E25" s="798"/>
      <c r="F25" s="798"/>
      <c r="G25" s="798"/>
      <c r="H25" s="799"/>
    </row>
    <row r="26" spans="1:10">
      <c r="A26" s="779" t="s">
        <v>387</v>
      </c>
      <c r="B26" s="779" t="s">
        <v>374</v>
      </c>
      <c r="C26" s="785">
        <v>42</v>
      </c>
      <c r="D26" s="791" t="s">
        <v>390</v>
      </c>
      <c r="E26" s="787">
        <v>0.36</v>
      </c>
      <c r="F26" s="787">
        <v>0.11</v>
      </c>
      <c r="G26" s="787">
        <f t="shared" ref="G26:G34" si="2">E26-F26</f>
        <v>0.25</v>
      </c>
      <c r="H26" s="788">
        <f t="shared" ref="H26:H34" si="3">(1-G26)/C26</f>
        <v>1.7857142857142856E-2</v>
      </c>
      <c r="I26" s="789"/>
      <c r="J26" s="790"/>
    </row>
    <row r="27" spans="1:10">
      <c r="A27" s="779" t="s">
        <v>388</v>
      </c>
      <c r="B27" s="779" t="s">
        <v>389</v>
      </c>
      <c r="C27" s="785">
        <v>30</v>
      </c>
      <c r="D27" s="791" t="s">
        <v>390</v>
      </c>
      <c r="E27" s="787">
        <v>0</v>
      </c>
      <c r="F27" s="787">
        <v>0</v>
      </c>
      <c r="G27" s="787">
        <f t="shared" si="2"/>
        <v>0</v>
      </c>
      <c r="H27" s="788">
        <f t="shared" si="3"/>
        <v>3.3333333333333333E-2</v>
      </c>
      <c r="I27" s="789"/>
      <c r="J27" s="790"/>
    </row>
    <row r="28" spans="1:10">
      <c r="A28" s="800" t="s">
        <v>391</v>
      </c>
      <c r="B28" s="779" t="s">
        <v>392</v>
      </c>
      <c r="C28" s="785">
        <v>27</v>
      </c>
      <c r="D28" s="786" t="s">
        <v>390</v>
      </c>
      <c r="E28" s="787">
        <v>0</v>
      </c>
      <c r="F28" s="787">
        <v>0</v>
      </c>
      <c r="G28" s="787">
        <f t="shared" si="2"/>
        <v>0</v>
      </c>
      <c r="H28" s="788">
        <f t="shared" si="3"/>
        <v>3.7037037037037035E-2</v>
      </c>
      <c r="I28" s="789"/>
      <c r="J28" s="790"/>
    </row>
    <row r="29" spans="1:10">
      <c r="A29" s="779" t="s">
        <v>393</v>
      </c>
      <c r="B29" s="779" t="s">
        <v>394</v>
      </c>
      <c r="C29" s="785">
        <v>55</v>
      </c>
      <c r="D29" s="786" t="s">
        <v>390</v>
      </c>
      <c r="E29" s="787">
        <v>0</v>
      </c>
      <c r="F29" s="787">
        <v>0</v>
      </c>
      <c r="G29" s="787">
        <f t="shared" si="2"/>
        <v>0</v>
      </c>
      <c r="H29" s="788">
        <f t="shared" si="3"/>
        <v>1.8181818181818181E-2</v>
      </c>
      <c r="I29" s="789"/>
      <c r="J29" s="790"/>
    </row>
    <row r="30" spans="1:10">
      <c r="A30" s="779" t="s">
        <v>395</v>
      </c>
      <c r="B30" s="779" t="s">
        <v>396</v>
      </c>
      <c r="C30" s="785">
        <v>43</v>
      </c>
      <c r="D30" s="786" t="s">
        <v>390</v>
      </c>
      <c r="E30" s="787">
        <v>0</v>
      </c>
      <c r="F30" s="787">
        <v>0.1</v>
      </c>
      <c r="G30" s="787">
        <f t="shared" si="2"/>
        <v>-0.1</v>
      </c>
      <c r="H30" s="788">
        <f t="shared" si="3"/>
        <v>2.5581395348837212E-2</v>
      </c>
      <c r="I30" s="789"/>
      <c r="J30" s="790"/>
    </row>
    <row r="31" spans="1:10">
      <c r="A31" s="779" t="s">
        <v>397</v>
      </c>
      <c r="B31" s="779" t="s">
        <v>398</v>
      </c>
      <c r="C31" s="785">
        <v>37</v>
      </c>
      <c r="D31" s="786" t="s">
        <v>390</v>
      </c>
      <c r="E31" s="787">
        <v>0</v>
      </c>
      <c r="F31" s="787">
        <v>0</v>
      </c>
      <c r="G31" s="787">
        <f t="shared" si="2"/>
        <v>0</v>
      </c>
      <c r="H31" s="788">
        <f t="shared" si="3"/>
        <v>2.7027027027027029E-2</v>
      </c>
      <c r="I31" s="789"/>
      <c r="J31" s="790"/>
    </row>
    <row r="32" spans="1:10">
      <c r="A32" s="800" t="s">
        <v>399</v>
      </c>
      <c r="B32" s="779" t="s">
        <v>400</v>
      </c>
      <c r="C32" s="785">
        <v>25</v>
      </c>
      <c r="D32" s="786" t="s">
        <v>390</v>
      </c>
      <c r="E32" s="787">
        <v>0</v>
      </c>
      <c r="F32" s="787">
        <v>0</v>
      </c>
      <c r="G32" s="787">
        <f t="shared" si="2"/>
        <v>0</v>
      </c>
      <c r="H32" s="788">
        <f t="shared" si="3"/>
        <v>0.04</v>
      </c>
      <c r="I32" s="789"/>
      <c r="J32" s="790"/>
    </row>
    <row r="33" spans="1:10">
      <c r="A33" s="779" t="s">
        <v>401</v>
      </c>
      <c r="B33" s="779" t="s">
        <v>402</v>
      </c>
      <c r="C33" s="785">
        <v>24</v>
      </c>
      <c r="D33" s="786" t="s">
        <v>390</v>
      </c>
      <c r="E33" s="787">
        <v>0</v>
      </c>
      <c r="F33" s="787">
        <v>0.01</v>
      </c>
      <c r="G33" s="787">
        <f t="shared" si="2"/>
        <v>-0.01</v>
      </c>
      <c r="H33" s="788">
        <f t="shared" si="3"/>
        <v>4.2083333333333334E-2</v>
      </c>
      <c r="I33" s="789"/>
      <c r="J33" s="790"/>
    </row>
    <row r="34" spans="1:10">
      <c r="A34" s="779" t="s">
        <v>403</v>
      </c>
      <c r="B34" s="779" t="s">
        <v>404</v>
      </c>
      <c r="C34" s="785">
        <v>35</v>
      </c>
      <c r="D34" s="786" t="s">
        <v>390</v>
      </c>
      <c r="E34" s="787">
        <v>0</v>
      </c>
      <c r="F34" s="787">
        <v>0</v>
      </c>
      <c r="G34" s="787">
        <f t="shared" si="2"/>
        <v>0</v>
      </c>
      <c r="H34" s="788">
        <f t="shared" si="3"/>
        <v>2.8571428571428571E-2</v>
      </c>
      <c r="I34" s="789"/>
      <c r="J34" s="790"/>
    </row>
    <row r="35" spans="1:10">
      <c r="C35" s="801"/>
      <c r="E35" s="802"/>
      <c r="F35" s="802"/>
      <c r="G35" s="802"/>
    </row>
    <row r="36" spans="1:10">
      <c r="A36" s="783" t="s">
        <v>749</v>
      </c>
      <c r="C36" s="801"/>
      <c r="E36" s="802"/>
      <c r="F36" s="802"/>
      <c r="G36" s="802"/>
    </row>
    <row r="37" spans="1:10">
      <c r="A37" s="846">
        <v>303</v>
      </c>
      <c r="B37" s="779" t="s">
        <v>750</v>
      </c>
      <c r="C37" s="785">
        <v>5</v>
      </c>
      <c r="D37" s="803"/>
      <c r="E37" s="802"/>
      <c r="F37" s="802"/>
      <c r="G37" s="802"/>
      <c r="H37" s="788">
        <v>0.2</v>
      </c>
    </row>
    <row r="38" spans="1:10">
      <c r="C38" s="801"/>
      <c r="E38" s="802"/>
      <c r="F38" s="802"/>
      <c r="G38" s="802"/>
    </row>
    <row r="39" spans="1:10">
      <c r="A39" s="804" t="s">
        <v>579</v>
      </c>
      <c r="C39" s="801"/>
      <c r="E39" s="802"/>
      <c r="F39" s="802"/>
      <c r="G39" s="802"/>
    </row>
    <row r="40" spans="1:10" ht="39" customHeight="1">
      <c r="A40" s="805" t="s">
        <v>62</v>
      </c>
      <c r="B40" s="940" t="s">
        <v>807</v>
      </c>
      <c r="C40" s="940"/>
      <c r="D40" s="940"/>
      <c r="E40" s="940"/>
      <c r="F40" s="940"/>
      <c r="G40" s="940"/>
      <c r="H40" s="940"/>
    </row>
    <row r="41" spans="1:10">
      <c r="A41" s="806" t="s">
        <v>63</v>
      </c>
      <c r="B41" s="807" t="s">
        <v>727</v>
      </c>
      <c r="C41" s="756"/>
      <c r="D41" s="756"/>
      <c r="E41" s="756"/>
      <c r="F41" s="756"/>
      <c r="G41" s="756"/>
      <c r="H41" s="756"/>
    </row>
    <row r="42" spans="1:10">
      <c r="A42" s="756"/>
      <c r="B42" s="756"/>
      <c r="C42" s="756"/>
      <c r="D42" s="756"/>
      <c r="E42" s="756"/>
      <c r="F42" s="756"/>
      <c r="G42" s="756"/>
      <c r="H42" s="756"/>
    </row>
    <row r="43" spans="1:10">
      <c r="C43" s="808"/>
      <c r="E43" s="802"/>
      <c r="F43" s="802"/>
      <c r="G43" s="802"/>
    </row>
    <row r="44" spans="1:10">
      <c r="C44" s="808"/>
      <c r="E44" s="802"/>
      <c r="F44" s="802"/>
      <c r="G44" s="802"/>
    </row>
    <row r="45" spans="1:10">
      <c r="C45" s="808"/>
      <c r="E45" s="802"/>
      <c r="F45" s="802"/>
      <c r="G45" s="802"/>
    </row>
    <row r="46" spans="1:10">
      <c r="C46" s="808"/>
      <c r="E46" s="802"/>
      <c r="F46" s="802"/>
      <c r="G46" s="802"/>
    </row>
    <row r="47" spans="1:10">
      <c r="C47" s="808"/>
      <c r="E47" s="802"/>
      <c r="F47" s="802"/>
      <c r="G47" s="802"/>
    </row>
    <row r="48" spans="1:10">
      <c r="C48" s="808"/>
      <c r="E48" s="802"/>
      <c r="F48" s="802"/>
      <c r="G48" s="802"/>
    </row>
    <row r="49" spans="3:7">
      <c r="C49" s="808"/>
      <c r="E49" s="802"/>
      <c r="F49" s="802"/>
      <c r="G49" s="802"/>
    </row>
    <row r="50" spans="3:7">
      <c r="C50" s="808"/>
      <c r="E50" s="802"/>
      <c r="F50" s="802"/>
      <c r="G50" s="802"/>
    </row>
    <row r="51" spans="3:7">
      <c r="C51" s="808"/>
      <c r="E51" s="802"/>
      <c r="F51" s="802"/>
      <c r="G51" s="802"/>
    </row>
    <row r="52" spans="3:7">
      <c r="E52" s="802"/>
      <c r="F52" s="802"/>
      <c r="G52" s="802"/>
    </row>
    <row r="53" spans="3:7">
      <c r="E53" s="802"/>
      <c r="F53" s="802"/>
      <c r="G53" s="802"/>
    </row>
    <row r="54" spans="3:7">
      <c r="E54" s="802"/>
      <c r="F54" s="802"/>
      <c r="G54" s="802"/>
    </row>
    <row r="55" spans="3:7">
      <c r="E55" s="802"/>
      <c r="F55" s="802"/>
      <c r="G55" s="802"/>
    </row>
    <row r="56" spans="3:7">
      <c r="E56" s="802"/>
      <c r="F56" s="802"/>
      <c r="G56" s="802"/>
    </row>
    <row r="57" spans="3:7">
      <c r="E57" s="802"/>
      <c r="F57" s="802"/>
      <c r="G57" s="802"/>
    </row>
    <row r="58" spans="3:7">
      <c r="E58" s="802"/>
      <c r="F58" s="802"/>
      <c r="G58" s="802"/>
    </row>
    <row r="59" spans="3:7">
      <c r="E59" s="802"/>
      <c r="F59" s="802"/>
      <c r="G59" s="802"/>
    </row>
    <row r="60" spans="3:7">
      <c r="E60" s="802"/>
      <c r="F60" s="802"/>
      <c r="G60" s="802"/>
    </row>
    <row r="61" spans="3:7">
      <c r="E61" s="802"/>
      <c r="F61" s="802"/>
      <c r="G61" s="802"/>
    </row>
    <row r="62" spans="3:7">
      <c r="E62" s="802"/>
      <c r="F62" s="802"/>
      <c r="G62" s="802"/>
    </row>
    <row r="63" spans="3:7">
      <c r="E63" s="802"/>
      <c r="F63" s="802"/>
      <c r="G63" s="802"/>
    </row>
    <row r="64" spans="3:7">
      <c r="E64" s="802"/>
      <c r="F64" s="802"/>
      <c r="G64" s="802"/>
    </row>
    <row r="65" spans="5:7">
      <c r="E65" s="802"/>
      <c r="F65" s="802"/>
      <c r="G65" s="802"/>
    </row>
    <row r="66" spans="5:7">
      <c r="E66" s="802"/>
      <c r="F66" s="802"/>
      <c r="G66" s="802"/>
    </row>
    <row r="67" spans="5:7">
      <c r="E67" s="802"/>
      <c r="F67" s="802"/>
      <c r="G67" s="802"/>
    </row>
    <row r="68" spans="5:7">
      <c r="E68" s="802"/>
      <c r="F68" s="802"/>
      <c r="G68" s="802"/>
    </row>
    <row r="69" spans="5:7">
      <c r="E69" s="802"/>
      <c r="F69" s="802"/>
      <c r="G69" s="802"/>
    </row>
    <row r="70" spans="5:7">
      <c r="E70" s="802"/>
      <c r="F70" s="802"/>
      <c r="G70" s="802"/>
    </row>
    <row r="71" spans="5:7">
      <c r="E71" s="802"/>
      <c r="F71" s="802"/>
      <c r="G71" s="802"/>
    </row>
    <row r="72" spans="5:7">
      <c r="E72" s="802"/>
      <c r="F72" s="802"/>
      <c r="G72" s="802"/>
    </row>
    <row r="73" spans="5:7">
      <c r="E73" s="802"/>
      <c r="F73" s="802"/>
      <c r="G73" s="802"/>
    </row>
    <row r="74" spans="5:7">
      <c r="E74" s="802"/>
      <c r="F74" s="802"/>
      <c r="G74" s="802"/>
    </row>
    <row r="75" spans="5:7">
      <c r="E75" s="802"/>
      <c r="F75" s="802"/>
      <c r="G75" s="802"/>
    </row>
    <row r="76" spans="5:7">
      <c r="E76" s="802"/>
      <c r="F76" s="802"/>
      <c r="G76" s="802"/>
    </row>
    <row r="77" spans="5:7">
      <c r="E77" s="802"/>
      <c r="F77" s="802"/>
      <c r="G77" s="802"/>
    </row>
    <row r="78" spans="5:7">
      <c r="E78" s="802"/>
      <c r="F78" s="802"/>
      <c r="G78" s="802"/>
    </row>
    <row r="79" spans="5:7">
      <c r="E79" s="802"/>
      <c r="F79" s="802"/>
      <c r="G79" s="802"/>
    </row>
    <row r="80" spans="5:7">
      <c r="E80" s="802"/>
      <c r="F80" s="802"/>
      <c r="G80" s="802"/>
    </row>
    <row r="81" spans="5:7">
      <c r="E81" s="802"/>
      <c r="F81" s="802"/>
      <c r="G81" s="802"/>
    </row>
    <row r="82" spans="5:7">
      <c r="E82" s="802"/>
      <c r="F82" s="802"/>
      <c r="G82" s="802"/>
    </row>
    <row r="83" spans="5:7">
      <c r="E83" s="802"/>
      <c r="F83" s="802"/>
      <c r="G83" s="802"/>
    </row>
    <row r="84" spans="5:7">
      <c r="E84" s="802"/>
      <c r="F84" s="802"/>
      <c r="G84" s="802"/>
    </row>
    <row r="85" spans="5:7">
      <c r="E85" s="802"/>
      <c r="F85" s="802"/>
      <c r="G85" s="802"/>
    </row>
    <row r="86" spans="5:7">
      <c r="E86" s="802"/>
      <c r="F86" s="802"/>
      <c r="G86" s="802"/>
    </row>
    <row r="87" spans="5:7">
      <c r="E87" s="802"/>
      <c r="F87" s="802"/>
      <c r="G87" s="802"/>
    </row>
    <row r="88" spans="5:7">
      <c r="E88" s="802"/>
      <c r="F88" s="802"/>
      <c r="G88" s="802"/>
    </row>
    <row r="89" spans="5:7">
      <c r="E89" s="802"/>
      <c r="F89" s="802"/>
      <c r="G89" s="802"/>
    </row>
    <row r="90" spans="5:7">
      <c r="E90" s="802"/>
      <c r="F90" s="802"/>
      <c r="G90" s="802"/>
    </row>
    <row r="91" spans="5:7">
      <c r="E91" s="802"/>
      <c r="F91" s="802"/>
      <c r="G91" s="802"/>
    </row>
    <row r="92" spans="5:7">
      <c r="E92" s="802"/>
      <c r="F92" s="802"/>
      <c r="G92" s="802"/>
    </row>
    <row r="93" spans="5:7">
      <c r="E93" s="802"/>
      <c r="F93" s="802"/>
      <c r="G93" s="802"/>
    </row>
    <row r="94" spans="5:7">
      <c r="E94" s="802"/>
      <c r="F94" s="802"/>
      <c r="G94" s="802"/>
    </row>
    <row r="95" spans="5:7">
      <c r="E95" s="802"/>
      <c r="F95" s="802"/>
      <c r="G95" s="802"/>
    </row>
    <row r="96" spans="5:7">
      <c r="E96" s="802"/>
      <c r="F96" s="802"/>
      <c r="G96" s="802"/>
    </row>
    <row r="97" spans="5:7">
      <c r="E97" s="802"/>
      <c r="F97" s="802"/>
      <c r="G97" s="802"/>
    </row>
    <row r="98" spans="5:7">
      <c r="E98" s="802"/>
      <c r="F98" s="802"/>
      <c r="G98" s="802"/>
    </row>
    <row r="99" spans="5:7">
      <c r="E99" s="802"/>
      <c r="F99" s="802"/>
      <c r="G99" s="802"/>
    </row>
    <row r="100" spans="5:7">
      <c r="E100" s="802"/>
      <c r="F100" s="802"/>
      <c r="G100" s="802"/>
    </row>
    <row r="101" spans="5:7">
      <c r="E101" s="802"/>
      <c r="F101" s="802"/>
      <c r="G101" s="802"/>
    </row>
    <row r="102" spans="5:7">
      <c r="E102" s="802"/>
      <c r="F102" s="802"/>
      <c r="G102" s="802"/>
    </row>
    <row r="103" spans="5:7">
      <c r="E103" s="802"/>
      <c r="F103" s="802"/>
      <c r="G103" s="802"/>
    </row>
    <row r="104" spans="5:7">
      <c r="E104" s="802"/>
      <c r="F104" s="802"/>
      <c r="G104" s="802"/>
    </row>
    <row r="105" spans="5:7">
      <c r="E105" s="802"/>
      <c r="F105" s="802"/>
      <c r="G105" s="802"/>
    </row>
    <row r="106" spans="5:7">
      <c r="E106" s="802"/>
      <c r="F106" s="802"/>
      <c r="G106" s="802"/>
    </row>
    <row r="107" spans="5:7">
      <c r="E107" s="802"/>
      <c r="F107" s="802"/>
      <c r="G107" s="802"/>
    </row>
    <row r="108" spans="5:7">
      <c r="E108" s="802"/>
      <c r="F108" s="802"/>
      <c r="G108" s="802"/>
    </row>
    <row r="109" spans="5:7">
      <c r="E109" s="802"/>
      <c r="F109" s="802"/>
      <c r="G109" s="802"/>
    </row>
    <row r="110" spans="5:7">
      <c r="E110" s="802"/>
      <c r="F110" s="802"/>
      <c r="G110" s="802"/>
    </row>
    <row r="111" spans="5:7">
      <c r="E111" s="802"/>
      <c r="F111" s="802"/>
      <c r="G111" s="802"/>
    </row>
    <row r="112" spans="5:7">
      <c r="E112" s="802"/>
      <c r="F112" s="802"/>
      <c r="G112" s="802"/>
    </row>
    <row r="113" spans="5:7">
      <c r="E113" s="802"/>
      <c r="F113" s="802"/>
      <c r="G113" s="802"/>
    </row>
    <row r="114" spans="5:7">
      <c r="E114" s="802"/>
      <c r="F114" s="802"/>
      <c r="G114" s="802"/>
    </row>
    <row r="115" spans="5:7">
      <c r="E115" s="802"/>
      <c r="F115" s="802"/>
      <c r="G115" s="802"/>
    </row>
    <row r="116" spans="5:7">
      <c r="E116" s="802"/>
      <c r="F116" s="802"/>
      <c r="G116" s="802"/>
    </row>
    <row r="117" spans="5:7">
      <c r="E117" s="802"/>
      <c r="F117" s="802"/>
      <c r="G117" s="802"/>
    </row>
    <row r="118" spans="5:7">
      <c r="E118" s="802"/>
      <c r="F118" s="802"/>
      <c r="G118" s="802"/>
    </row>
    <row r="119" spans="5:7">
      <c r="E119" s="802"/>
      <c r="F119" s="802"/>
      <c r="G119" s="802"/>
    </row>
    <row r="120" spans="5:7">
      <c r="E120" s="802"/>
      <c r="F120" s="802"/>
      <c r="G120" s="802"/>
    </row>
    <row r="121" spans="5:7">
      <c r="E121" s="802"/>
      <c r="F121" s="802"/>
      <c r="G121" s="802"/>
    </row>
    <row r="122" spans="5:7">
      <c r="E122" s="802"/>
      <c r="F122" s="802"/>
      <c r="G122" s="802"/>
    </row>
    <row r="123" spans="5:7">
      <c r="E123" s="802"/>
      <c r="F123" s="802"/>
      <c r="G123" s="802"/>
    </row>
    <row r="124" spans="5:7">
      <c r="E124" s="802"/>
      <c r="F124" s="802"/>
      <c r="G124" s="802"/>
    </row>
    <row r="125" spans="5:7">
      <c r="E125" s="802"/>
      <c r="F125" s="802"/>
      <c r="G125" s="802"/>
    </row>
    <row r="126" spans="5:7">
      <c r="E126" s="802"/>
      <c r="F126" s="802"/>
      <c r="G126" s="802"/>
    </row>
    <row r="127" spans="5:7">
      <c r="E127" s="802"/>
      <c r="F127" s="802"/>
      <c r="G127" s="802"/>
    </row>
    <row r="128" spans="5:7">
      <c r="E128" s="802"/>
      <c r="F128" s="802"/>
      <c r="G128" s="802"/>
    </row>
    <row r="129" spans="5:7">
      <c r="E129" s="802"/>
      <c r="F129" s="802"/>
      <c r="G129" s="802"/>
    </row>
    <row r="130" spans="5:7">
      <c r="E130" s="802"/>
      <c r="F130" s="802"/>
      <c r="G130" s="802"/>
    </row>
    <row r="131" spans="5:7">
      <c r="E131" s="802"/>
      <c r="F131" s="802"/>
      <c r="G131" s="802"/>
    </row>
    <row r="132" spans="5:7">
      <c r="E132" s="802"/>
      <c r="F132" s="802"/>
      <c r="G132" s="802"/>
    </row>
    <row r="133" spans="5:7">
      <c r="E133" s="802"/>
      <c r="F133" s="802"/>
      <c r="G133" s="802"/>
    </row>
    <row r="134" spans="5:7">
      <c r="E134" s="802"/>
      <c r="F134" s="802"/>
      <c r="G134" s="802"/>
    </row>
    <row r="135" spans="5:7">
      <c r="E135" s="802"/>
      <c r="F135" s="802"/>
      <c r="G135" s="802"/>
    </row>
    <row r="136" spans="5:7">
      <c r="E136" s="802"/>
      <c r="F136" s="802"/>
      <c r="G136" s="802"/>
    </row>
    <row r="137" spans="5:7">
      <c r="E137" s="802"/>
      <c r="F137" s="802"/>
      <c r="G137" s="802"/>
    </row>
    <row r="138" spans="5:7">
      <c r="E138" s="802"/>
      <c r="F138" s="802"/>
      <c r="G138" s="802"/>
    </row>
    <row r="139" spans="5:7">
      <c r="E139" s="802"/>
      <c r="F139" s="802"/>
      <c r="G139" s="802"/>
    </row>
    <row r="140" spans="5:7">
      <c r="E140" s="802"/>
      <c r="F140" s="802"/>
      <c r="G140" s="802"/>
    </row>
    <row r="141" spans="5:7">
      <c r="E141" s="802"/>
      <c r="F141" s="802"/>
      <c r="G141" s="802"/>
    </row>
    <row r="142" spans="5:7">
      <c r="E142" s="802"/>
      <c r="F142" s="802"/>
      <c r="G142" s="802"/>
    </row>
    <row r="143" spans="5:7">
      <c r="E143" s="802"/>
      <c r="F143" s="802"/>
      <c r="G143" s="802"/>
    </row>
    <row r="144" spans="5:7">
      <c r="E144" s="802"/>
      <c r="F144" s="802"/>
      <c r="G144" s="802"/>
    </row>
    <row r="145" spans="5:7">
      <c r="E145" s="802"/>
      <c r="F145" s="802"/>
      <c r="G145" s="802"/>
    </row>
    <row r="146" spans="5:7">
      <c r="E146" s="802"/>
      <c r="F146" s="802"/>
      <c r="G146" s="802"/>
    </row>
    <row r="147" spans="5:7">
      <c r="E147" s="802"/>
      <c r="F147" s="802"/>
      <c r="G147" s="802"/>
    </row>
    <row r="148" spans="5:7">
      <c r="E148" s="802"/>
      <c r="F148" s="802"/>
      <c r="G148" s="802"/>
    </row>
    <row r="149" spans="5:7">
      <c r="E149" s="802"/>
      <c r="F149" s="802"/>
      <c r="G149" s="802"/>
    </row>
    <row r="150" spans="5:7">
      <c r="E150" s="802"/>
      <c r="F150" s="802"/>
      <c r="G150" s="802"/>
    </row>
    <row r="151" spans="5:7">
      <c r="E151" s="802"/>
      <c r="F151" s="802"/>
      <c r="G151" s="802"/>
    </row>
    <row r="152" spans="5:7">
      <c r="E152" s="802"/>
      <c r="F152" s="802"/>
      <c r="G152" s="802"/>
    </row>
    <row r="153" spans="5:7">
      <c r="E153" s="802"/>
      <c r="F153" s="802"/>
      <c r="G153" s="802"/>
    </row>
    <row r="154" spans="5:7">
      <c r="E154" s="802"/>
      <c r="F154" s="802"/>
      <c r="G154" s="802"/>
    </row>
    <row r="155" spans="5:7">
      <c r="E155" s="802"/>
      <c r="F155" s="802"/>
      <c r="G155" s="802"/>
    </row>
    <row r="156" spans="5:7">
      <c r="E156" s="802"/>
      <c r="F156" s="802"/>
      <c r="G156" s="802"/>
    </row>
    <row r="157" spans="5:7">
      <c r="E157" s="802"/>
      <c r="F157" s="802"/>
      <c r="G157" s="802"/>
    </row>
    <row r="158" spans="5:7">
      <c r="E158" s="802"/>
      <c r="F158" s="802"/>
      <c r="G158" s="802"/>
    </row>
    <row r="159" spans="5:7">
      <c r="E159" s="802"/>
      <c r="F159" s="802"/>
      <c r="G159" s="802"/>
    </row>
    <row r="160" spans="5:7">
      <c r="E160" s="802"/>
      <c r="F160" s="802"/>
      <c r="G160" s="802"/>
    </row>
    <row r="161" spans="5:7">
      <c r="E161" s="802"/>
      <c r="F161" s="802"/>
      <c r="G161" s="802"/>
    </row>
    <row r="162" spans="5:7">
      <c r="E162" s="802"/>
      <c r="F162" s="802"/>
      <c r="G162" s="802"/>
    </row>
    <row r="163" spans="5:7">
      <c r="E163" s="802"/>
      <c r="F163" s="802"/>
      <c r="G163" s="802"/>
    </row>
    <row r="164" spans="5:7">
      <c r="E164" s="802"/>
      <c r="F164" s="802"/>
      <c r="G164" s="802"/>
    </row>
    <row r="165" spans="5:7">
      <c r="E165" s="802"/>
      <c r="F165" s="802"/>
      <c r="G165" s="802"/>
    </row>
    <row r="166" spans="5:7">
      <c r="E166" s="802"/>
      <c r="F166" s="802"/>
      <c r="G166" s="802"/>
    </row>
    <row r="167" spans="5:7">
      <c r="E167" s="802"/>
      <c r="F167" s="802"/>
      <c r="G167" s="802"/>
    </row>
    <row r="168" spans="5:7">
      <c r="E168" s="802"/>
      <c r="F168" s="802"/>
      <c r="G168" s="802"/>
    </row>
    <row r="169" spans="5:7">
      <c r="E169" s="802"/>
      <c r="F169" s="802"/>
      <c r="G169" s="802"/>
    </row>
    <row r="170" spans="5:7">
      <c r="E170" s="802"/>
      <c r="F170" s="802"/>
      <c r="G170" s="802"/>
    </row>
    <row r="171" spans="5:7">
      <c r="E171" s="802"/>
      <c r="F171" s="802"/>
      <c r="G171" s="802"/>
    </row>
    <row r="172" spans="5:7">
      <c r="E172" s="802"/>
      <c r="F172" s="802"/>
      <c r="G172" s="802"/>
    </row>
    <row r="173" spans="5:7">
      <c r="E173" s="802"/>
      <c r="F173" s="802"/>
      <c r="G173" s="802"/>
    </row>
    <row r="174" spans="5:7">
      <c r="E174" s="802"/>
      <c r="F174" s="802"/>
      <c r="G174" s="802"/>
    </row>
    <row r="175" spans="5:7">
      <c r="E175" s="802"/>
      <c r="F175" s="802"/>
      <c r="G175" s="802"/>
    </row>
    <row r="176" spans="5:7">
      <c r="E176" s="802"/>
      <c r="F176" s="802"/>
      <c r="G176" s="802"/>
    </row>
    <row r="177" spans="5:7">
      <c r="E177" s="802"/>
      <c r="F177" s="802"/>
      <c r="G177" s="802"/>
    </row>
    <row r="178" spans="5:7">
      <c r="E178" s="802"/>
      <c r="F178" s="802"/>
      <c r="G178" s="802"/>
    </row>
    <row r="179" spans="5:7">
      <c r="E179" s="802"/>
      <c r="F179" s="802"/>
      <c r="G179" s="802"/>
    </row>
    <row r="180" spans="5:7">
      <c r="E180" s="802"/>
      <c r="F180" s="802"/>
      <c r="G180" s="802"/>
    </row>
    <row r="181" spans="5:7">
      <c r="E181" s="802"/>
      <c r="F181" s="802"/>
      <c r="G181" s="802"/>
    </row>
    <row r="182" spans="5:7">
      <c r="E182" s="802"/>
      <c r="F182" s="802"/>
      <c r="G182" s="802"/>
    </row>
    <row r="183" spans="5:7">
      <c r="E183" s="802"/>
      <c r="F183" s="802"/>
      <c r="G183" s="802"/>
    </row>
    <row r="184" spans="5:7">
      <c r="E184" s="802"/>
      <c r="F184" s="802"/>
      <c r="G184" s="802"/>
    </row>
    <row r="185" spans="5:7">
      <c r="E185" s="802"/>
      <c r="F185" s="802"/>
      <c r="G185" s="802"/>
    </row>
    <row r="186" spans="5:7">
      <c r="E186" s="802"/>
      <c r="F186" s="802"/>
      <c r="G186" s="802"/>
    </row>
    <row r="187" spans="5:7">
      <c r="E187" s="802"/>
      <c r="F187" s="802"/>
      <c r="G187" s="802"/>
    </row>
    <row r="188" spans="5:7">
      <c r="E188" s="802"/>
      <c r="F188" s="802"/>
      <c r="G188" s="802"/>
    </row>
    <row r="189" spans="5:7">
      <c r="E189" s="802"/>
      <c r="F189" s="802"/>
      <c r="G189" s="802"/>
    </row>
    <row r="190" spans="5:7">
      <c r="E190" s="802"/>
      <c r="F190" s="802"/>
      <c r="G190" s="802"/>
    </row>
    <row r="191" spans="5:7">
      <c r="E191" s="802"/>
      <c r="F191" s="802"/>
      <c r="G191" s="802"/>
    </row>
    <row r="192" spans="5:7">
      <c r="E192" s="802"/>
      <c r="F192" s="802"/>
      <c r="G192" s="802"/>
    </row>
    <row r="193" spans="5:7">
      <c r="E193" s="802"/>
      <c r="F193" s="802"/>
      <c r="G193" s="802"/>
    </row>
    <row r="194" spans="5:7">
      <c r="E194" s="802"/>
      <c r="F194" s="802"/>
      <c r="G194" s="802"/>
    </row>
    <row r="195" spans="5:7">
      <c r="E195" s="802"/>
      <c r="F195" s="802"/>
      <c r="G195" s="802"/>
    </row>
    <row r="196" spans="5:7">
      <c r="E196" s="802"/>
      <c r="F196" s="802"/>
      <c r="G196" s="802"/>
    </row>
    <row r="197" spans="5:7">
      <c r="E197" s="802"/>
      <c r="F197" s="802"/>
      <c r="G197" s="802"/>
    </row>
    <row r="198" spans="5:7">
      <c r="E198" s="802"/>
      <c r="F198" s="802"/>
      <c r="G198" s="802"/>
    </row>
    <row r="199" spans="5:7">
      <c r="E199" s="802"/>
      <c r="F199" s="802"/>
      <c r="G199" s="802"/>
    </row>
    <row r="200" spans="5:7">
      <c r="E200" s="802"/>
      <c r="F200" s="802"/>
      <c r="G200" s="802"/>
    </row>
    <row r="201" spans="5:7">
      <c r="E201" s="802"/>
      <c r="F201" s="802"/>
      <c r="G201" s="802"/>
    </row>
    <row r="202" spans="5:7">
      <c r="E202" s="802"/>
      <c r="F202" s="802"/>
      <c r="G202" s="802"/>
    </row>
    <row r="203" spans="5:7">
      <c r="E203" s="802"/>
      <c r="F203" s="802"/>
      <c r="G203" s="802"/>
    </row>
    <row r="204" spans="5:7">
      <c r="E204" s="802"/>
      <c r="F204" s="802"/>
      <c r="G204" s="802"/>
    </row>
    <row r="205" spans="5:7">
      <c r="E205" s="802"/>
      <c r="F205" s="802"/>
      <c r="G205" s="802"/>
    </row>
    <row r="206" spans="5:7">
      <c r="E206" s="802"/>
      <c r="F206" s="802"/>
      <c r="G206" s="802"/>
    </row>
    <row r="207" spans="5:7">
      <c r="E207" s="802"/>
      <c r="F207" s="802"/>
      <c r="G207" s="802"/>
    </row>
    <row r="208" spans="5:7">
      <c r="E208" s="802"/>
      <c r="F208" s="802"/>
      <c r="G208" s="802"/>
    </row>
    <row r="209" spans="5:7">
      <c r="E209" s="802"/>
      <c r="F209" s="802"/>
      <c r="G209" s="802"/>
    </row>
    <row r="210" spans="5:7">
      <c r="E210" s="802"/>
      <c r="F210" s="802"/>
      <c r="G210" s="802"/>
    </row>
    <row r="211" spans="5:7">
      <c r="E211" s="802"/>
      <c r="F211" s="802"/>
      <c r="G211" s="802"/>
    </row>
    <row r="212" spans="5:7">
      <c r="E212" s="802"/>
      <c r="F212" s="802"/>
      <c r="G212" s="802"/>
    </row>
    <row r="213" spans="5:7">
      <c r="E213" s="802"/>
      <c r="F213" s="802"/>
      <c r="G213" s="802"/>
    </row>
    <row r="214" spans="5:7">
      <c r="E214" s="802"/>
      <c r="F214" s="802"/>
      <c r="G214" s="802"/>
    </row>
    <row r="215" spans="5:7">
      <c r="E215" s="802"/>
      <c r="F215" s="802"/>
      <c r="G215" s="802"/>
    </row>
    <row r="216" spans="5:7">
      <c r="E216" s="802"/>
      <c r="F216" s="802"/>
      <c r="G216" s="802"/>
    </row>
    <row r="217" spans="5:7">
      <c r="E217" s="802"/>
      <c r="F217" s="802"/>
      <c r="G217" s="802"/>
    </row>
    <row r="218" spans="5:7">
      <c r="E218" s="802"/>
      <c r="F218" s="802"/>
      <c r="G218" s="802"/>
    </row>
    <row r="219" spans="5:7">
      <c r="E219" s="802"/>
      <c r="F219" s="802"/>
      <c r="G219" s="802"/>
    </row>
    <row r="220" spans="5:7">
      <c r="E220" s="802"/>
      <c r="F220" s="802"/>
      <c r="G220" s="802"/>
    </row>
    <row r="221" spans="5:7">
      <c r="E221" s="802"/>
      <c r="F221" s="802"/>
      <c r="G221" s="802"/>
    </row>
    <row r="222" spans="5:7">
      <c r="E222" s="802"/>
      <c r="F222" s="802"/>
      <c r="G222" s="802"/>
    </row>
    <row r="223" spans="5:7">
      <c r="E223" s="802"/>
      <c r="F223" s="802"/>
      <c r="G223" s="802"/>
    </row>
    <row r="224" spans="5:7">
      <c r="E224" s="802"/>
      <c r="F224" s="802"/>
      <c r="G224" s="802"/>
    </row>
    <row r="225" spans="5:7">
      <c r="E225" s="802"/>
      <c r="F225" s="802"/>
      <c r="G225" s="802"/>
    </row>
    <row r="226" spans="5:7">
      <c r="E226" s="802"/>
      <c r="F226" s="802"/>
      <c r="G226" s="802"/>
    </row>
    <row r="227" spans="5:7">
      <c r="E227" s="802"/>
      <c r="F227" s="802"/>
      <c r="G227" s="802"/>
    </row>
    <row r="228" spans="5:7">
      <c r="E228" s="802"/>
      <c r="F228" s="802"/>
      <c r="G228" s="802"/>
    </row>
    <row r="229" spans="5:7">
      <c r="E229" s="802"/>
      <c r="F229" s="802"/>
      <c r="G229" s="802"/>
    </row>
    <row r="230" spans="5:7">
      <c r="E230" s="802"/>
      <c r="F230" s="802"/>
      <c r="G230" s="802"/>
    </row>
    <row r="231" spans="5:7">
      <c r="E231" s="802"/>
      <c r="F231" s="802"/>
      <c r="G231" s="802"/>
    </row>
    <row r="232" spans="5:7">
      <c r="E232" s="802"/>
      <c r="F232" s="802"/>
      <c r="G232" s="802"/>
    </row>
    <row r="233" spans="5:7">
      <c r="E233" s="802"/>
      <c r="F233" s="802"/>
      <c r="G233" s="802"/>
    </row>
    <row r="234" spans="5:7">
      <c r="E234" s="802"/>
      <c r="F234" s="802"/>
      <c r="G234" s="802"/>
    </row>
    <row r="235" spans="5:7">
      <c r="E235" s="802"/>
      <c r="F235" s="802"/>
      <c r="G235" s="802"/>
    </row>
    <row r="236" spans="5:7">
      <c r="E236" s="802"/>
      <c r="F236" s="802"/>
      <c r="G236" s="802"/>
    </row>
    <row r="237" spans="5:7">
      <c r="E237" s="802"/>
      <c r="F237" s="802"/>
      <c r="G237" s="802"/>
    </row>
    <row r="238" spans="5:7">
      <c r="E238" s="802"/>
      <c r="F238" s="802"/>
      <c r="G238" s="802"/>
    </row>
    <row r="239" spans="5:7">
      <c r="E239" s="802"/>
      <c r="F239" s="802"/>
      <c r="G239" s="802"/>
    </row>
    <row r="240" spans="5:7">
      <c r="E240" s="802"/>
      <c r="F240" s="802"/>
      <c r="G240" s="802"/>
    </row>
    <row r="241" spans="5:7">
      <c r="E241" s="802"/>
      <c r="F241" s="802"/>
      <c r="G241" s="802"/>
    </row>
    <row r="242" spans="5:7">
      <c r="E242" s="802"/>
      <c r="F242" s="802"/>
      <c r="G242" s="802"/>
    </row>
    <row r="243" spans="5:7">
      <c r="E243" s="802"/>
      <c r="F243" s="802"/>
      <c r="G243" s="802"/>
    </row>
    <row r="244" spans="5:7">
      <c r="E244" s="802"/>
      <c r="F244" s="802"/>
      <c r="G244" s="802"/>
    </row>
    <row r="245" spans="5:7">
      <c r="E245" s="802"/>
      <c r="F245" s="802"/>
      <c r="G245" s="802"/>
    </row>
    <row r="246" spans="5:7">
      <c r="E246" s="802"/>
      <c r="F246" s="802"/>
      <c r="G246" s="802"/>
    </row>
    <row r="247" spans="5:7">
      <c r="E247" s="802"/>
      <c r="F247" s="802"/>
      <c r="G247" s="802"/>
    </row>
    <row r="248" spans="5:7">
      <c r="E248" s="802"/>
      <c r="F248" s="802"/>
      <c r="G248" s="802"/>
    </row>
    <row r="249" spans="5:7">
      <c r="E249" s="802"/>
      <c r="F249" s="802"/>
      <c r="G249" s="802"/>
    </row>
    <row r="250" spans="5:7">
      <c r="E250" s="802"/>
      <c r="F250" s="802"/>
      <c r="G250" s="802"/>
    </row>
    <row r="251" spans="5:7">
      <c r="E251" s="802"/>
      <c r="F251" s="802"/>
      <c r="G251" s="802"/>
    </row>
    <row r="252" spans="5:7">
      <c r="E252" s="802"/>
      <c r="F252" s="802"/>
      <c r="G252" s="802"/>
    </row>
    <row r="253" spans="5:7">
      <c r="E253" s="802"/>
      <c r="F253" s="802"/>
      <c r="G253" s="802"/>
    </row>
    <row r="254" spans="5:7">
      <c r="E254" s="802"/>
      <c r="F254" s="802"/>
      <c r="G254" s="802"/>
    </row>
    <row r="255" spans="5:7">
      <c r="E255" s="802"/>
      <c r="F255" s="802"/>
      <c r="G255" s="802"/>
    </row>
    <row r="256" spans="5:7">
      <c r="E256" s="802"/>
      <c r="F256" s="802"/>
      <c r="G256" s="802"/>
    </row>
    <row r="257" spans="5:7">
      <c r="E257" s="802"/>
      <c r="F257" s="802"/>
      <c r="G257" s="802"/>
    </row>
    <row r="258" spans="5:7">
      <c r="E258" s="802"/>
      <c r="F258" s="802"/>
      <c r="G258" s="802"/>
    </row>
    <row r="259" spans="5:7">
      <c r="E259" s="802"/>
      <c r="F259" s="802"/>
      <c r="G259" s="802"/>
    </row>
    <row r="260" spans="5:7">
      <c r="E260" s="802"/>
      <c r="F260" s="802"/>
      <c r="G260" s="802"/>
    </row>
    <row r="261" spans="5:7">
      <c r="E261" s="802"/>
      <c r="F261" s="802"/>
      <c r="G261" s="802"/>
    </row>
    <row r="262" spans="5:7">
      <c r="E262" s="802"/>
      <c r="F262" s="802"/>
      <c r="G262" s="802"/>
    </row>
    <row r="263" spans="5:7">
      <c r="E263" s="802"/>
      <c r="F263" s="802"/>
      <c r="G263" s="802"/>
    </row>
    <row r="264" spans="5:7">
      <c r="E264" s="802"/>
      <c r="F264" s="802"/>
      <c r="G264" s="802"/>
    </row>
    <row r="265" spans="5:7">
      <c r="E265" s="802"/>
      <c r="F265" s="802"/>
      <c r="G265" s="802"/>
    </row>
    <row r="266" spans="5:7">
      <c r="E266" s="802"/>
      <c r="F266" s="802"/>
      <c r="G266" s="802"/>
    </row>
    <row r="267" spans="5:7">
      <c r="E267" s="802"/>
      <c r="F267" s="802"/>
      <c r="G267" s="802"/>
    </row>
    <row r="268" spans="5:7">
      <c r="E268" s="802"/>
      <c r="F268" s="802"/>
      <c r="G268" s="802"/>
    </row>
    <row r="269" spans="5:7">
      <c r="E269" s="802"/>
      <c r="F269" s="802"/>
      <c r="G269" s="802"/>
    </row>
    <row r="270" spans="5:7">
      <c r="E270" s="802"/>
      <c r="F270" s="802"/>
      <c r="G270" s="802"/>
    </row>
    <row r="271" spans="5:7">
      <c r="E271" s="802"/>
      <c r="F271" s="802"/>
      <c r="G271" s="802"/>
    </row>
    <row r="272" spans="5:7">
      <c r="E272" s="802"/>
      <c r="F272" s="802"/>
      <c r="G272" s="802"/>
    </row>
    <row r="273" spans="5:7">
      <c r="E273" s="802"/>
      <c r="F273" s="802"/>
      <c r="G273" s="802"/>
    </row>
    <row r="274" spans="5:7">
      <c r="E274" s="802"/>
      <c r="F274" s="802"/>
      <c r="G274" s="802"/>
    </row>
    <row r="275" spans="5:7">
      <c r="E275" s="802"/>
      <c r="F275" s="802"/>
      <c r="G275" s="802"/>
    </row>
    <row r="276" spans="5:7">
      <c r="E276" s="802"/>
      <c r="F276" s="802"/>
      <c r="G276" s="802"/>
    </row>
    <row r="277" spans="5:7">
      <c r="E277" s="802"/>
      <c r="F277" s="802"/>
      <c r="G277" s="802"/>
    </row>
    <row r="278" spans="5:7">
      <c r="E278" s="802"/>
      <c r="F278" s="802"/>
      <c r="G278" s="802"/>
    </row>
    <row r="279" spans="5:7">
      <c r="E279" s="802"/>
      <c r="F279" s="802"/>
      <c r="G279" s="802"/>
    </row>
    <row r="280" spans="5:7">
      <c r="E280" s="802"/>
      <c r="F280" s="802"/>
      <c r="G280" s="802"/>
    </row>
    <row r="281" spans="5:7">
      <c r="E281" s="802"/>
      <c r="F281" s="802"/>
      <c r="G281" s="802"/>
    </row>
    <row r="282" spans="5:7">
      <c r="E282" s="802"/>
      <c r="F282" s="802"/>
      <c r="G282" s="802"/>
    </row>
    <row r="283" spans="5:7">
      <c r="E283" s="802"/>
      <c r="F283" s="802"/>
      <c r="G283" s="802"/>
    </row>
    <row r="284" spans="5:7">
      <c r="E284" s="802"/>
      <c r="F284" s="802"/>
      <c r="G284" s="802"/>
    </row>
    <row r="285" spans="5:7">
      <c r="E285" s="802"/>
      <c r="F285" s="802"/>
      <c r="G285" s="802"/>
    </row>
    <row r="286" spans="5:7">
      <c r="E286" s="802"/>
      <c r="F286" s="802"/>
      <c r="G286" s="802"/>
    </row>
    <row r="287" spans="5:7">
      <c r="E287" s="802"/>
      <c r="F287" s="802"/>
      <c r="G287" s="802"/>
    </row>
    <row r="288" spans="5:7">
      <c r="E288" s="802"/>
      <c r="F288" s="802"/>
      <c r="G288" s="802"/>
    </row>
    <row r="289" spans="5:7">
      <c r="E289" s="802"/>
      <c r="F289" s="802"/>
      <c r="G289" s="802"/>
    </row>
    <row r="290" spans="5:7">
      <c r="E290" s="802"/>
      <c r="F290" s="802"/>
      <c r="G290" s="802"/>
    </row>
    <row r="291" spans="5:7">
      <c r="E291" s="802"/>
      <c r="F291" s="802"/>
      <c r="G291" s="802"/>
    </row>
    <row r="292" spans="5:7">
      <c r="E292" s="802"/>
      <c r="F292" s="802"/>
      <c r="G292" s="802"/>
    </row>
    <row r="293" spans="5:7">
      <c r="E293" s="802"/>
      <c r="F293" s="802"/>
      <c r="G293" s="802"/>
    </row>
    <row r="294" spans="5:7">
      <c r="E294" s="802"/>
      <c r="F294" s="802"/>
      <c r="G294" s="802"/>
    </row>
    <row r="295" spans="5:7">
      <c r="E295" s="802"/>
      <c r="F295" s="802"/>
      <c r="G295" s="802"/>
    </row>
    <row r="296" spans="5:7">
      <c r="E296" s="802"/>
      <c r="F296" s="802"/>
      <c r="G296" s="802"/>
    </row>
    <row r="297" spans="5:7">
      <c r="E297" s="802"/>
      <c r="F297" s="802"/>
      <c r="G297" s="802"/>
    </row>
    <row r="298" spans="5:7">
      <c r="E298" s="802"/>
      <c r="F298" s="802"/>
      <c r="G298" s="802"/>
    </row>
    <row r="299" spans="5:7">
      <c r="E299" s="802"/>
      <c r="F299" s="802"/>
      <c r="G299" s="802"/>
    </row>
    <row r="300" spans="5:7">
      <c r="E300" s="802"/>
      <c r="F300" s="802"/>
      <c r="G300" s="802"/>
    </row>
    <row r="301" spans="5:7">
      <c r="E301" s="802"/>
      <c r="F301" s="802"/>
      <c r="G301" s="802"/>
    </row>
    <row r="302" spans="5:7">
      <c r="E302" s="802"/>
      <c r="F302" s="802"/>
      <c r="G302" s="802"/>
    </row>
    <row r="303" spans="5:7">
      <c r="E303" s="802"/>
      <c r="F303" s="802"/>
      <c r="G303" s="802"/>
    </row>
    <row r="304" spans="5:7">
      <c r="E304" s="802"/>
      <c r="F304" s="802"/>
      <c r="G304" s="802"/>
    </row>
    <row r="305" spans="5:7">
      <c r="E305" s="802"/>
      <c r="F305" s="802"/>
      <c r="G305" s="802"/>
    </row>
    <row r="306" spans="5:7">
      <c r="E306" s="802"/>
      <c r="F306" s="802"/>
      <c r="G306" s="802"/>
    </row>
    <row r="307" spans="5:7">
      <c r="E307" s="802"/>
      <c r="F307" s="802"/>
      <c r="G307" s="802"/>
    </row>
    <row r="308" spans="5:7">
      <c r="E308" s="802"/>
      <c r="F308" s="802"/>
      <c r="G308" s="802"/>
    </row>
    <row r="309" spans="5:7">
      <c r="E309" s="802"/>
      <c r="F309" s="802"/>
      <c r="G309" s="802"/>
    </row>
    <row r="310" spans="5:7">
      <c r="E310" s="802"/>
      <c r="F310" s="802"/>
      <c r="G310" s="802"/>
    </row>
    <row r="311" spans="5:7">
      <c r="E311" s="802"/>
      <c r="F311" s="802"/>
      <c r="G311" s="802"/>
    </row>
    <row r="312" spans="5:7">
      <c r="E312" s="802"/>
      <c r="F312" s="802"/>
      <c r="G312" s="802"/>
    </row>
    <row r="313" spans="5:7">
      <c r="E313" s="802"/>
      <c r="F313" s="802"/>
      <c r="G313" s="802"/>
    </row>
    <row r="314" spans="5:7">
      <c r="E314" s="802"/>
      <c r="F314" s="802"/>
      <c r="G314" s="802"/>
    </row>
    <row r="315" spans="5:7">
      <c r="E315" s="802"/>
      <c r="F315" s="802"/>
      <c r="G315" s="802"/>
    </row>
    <row r="316" spans="5:7">
      <c r="E316" s="802"/>
      <c r="F316" s="802"/>
      <c r="G316" s="802"/>
    </row>
    <row r="317" spans="5:7">
      <c r="E317" s="802"/>
      <c r="F317" s="802"/>
      <c r="G317" s="802"/>
    </row>
    <row r="318" spans="5:7">
      <c r="E318" s="802"/>
      <c r="F318" s="802"/>
      <c r="G318" s="802"/>
    </row>
    <row r="319" spans="5:7">
      <c r="E319" s="802"/>
      <c r="F319" s="802"/>
      <c r="G319" s="802"/>
    </row>
    <row r="320" spans="5:7">
      <c r="E320" s="802"/>
      <c r="F320" s="802"/>
      <c r="G320" s="802"/>
    </row>
    <row r="321" spans="5:7">
      <c r="E321" s="802"/>
      <c r="F321" s="802"/>
      <c r="G321" s="802"/>
    </row>
    <row r="322" spans="5:7">
      <c r="E322" s="802"/>
      <c r="F322" s="802"/>
      <c r="G322" s="802"/>
    </row>
    <row r="323" spans="5:7">
      <c r="E323" s="802"/>
      <c r="F323" s="802"/>
      <c r="G323" s="802"/>
    </row>
    <row r="324" spans="5:7">
      <c r="E324" s="802"/>
      <c r="F324" s="802"/>
      <c r="G324" s="802"/>
    </row>
    <row r="325" spans="5:7">
      <c r="E325" s="802"/>
      <c r="F325" s="802"/>
      <c r="G325" s="802"/>
    </row>
    <row r="326" spans="5:7">
      <c r="E326" s="802"/>
      <c r="F326" s="802"/>
      <c r="G326" s="802"/>
    </row>
    <row r="327" spans="5:7">
      <c r="E327" s="802"/>
      <c r="F327" s="802"/>
      <c r="G327" s="802"/>
    </row>
    <row r="328" spans="5:7">
      <c r="E328" s="802"/>
      <c r="F328" s="802"/>
      <c r="G328" s="802"/>
    </row>
    <row r="329" spans="5:7">
      <c r="E329" s="802"/>
      <c r="F329" s="802"/>
      <c r="G329" s="802"/>
    </row>
    <row r="330" spans="5:7">
      <c r="E330" s="802"/>
      <c r="F330" s="802"/>
      <c r="G330" s="802"/>
    </row>
    <row r="331" spans="5:7">
      <c r="E331" s="802"/>
      <c r="F331" s="802"/>
      <c r="G331" s="802"/>
    </row>
    <row r="332" spans="5:7">
      <c r="E332" s="802"/>
      <c r="F332" s="802"/>
      <c r="G332" s="802"/>
    </row>
    <row r="333" spans="5:7">
      <c r="E333" s="802"/>
      <c r="F333" s="802"/>
      <c r="G333" s="802"/>
    </row>
    <row r="334" spans="5:7">
      <c r="E334" s="802"/>
      <c r="F334" s="802"/>
      <c r="G334" s="802"/>
    </row>
    <row r="335" spans="5:7">
      <c r="E335" s="802"/>
      <c r="F335" s="802"/>
      <c r="G335" s="802"/>
    </row>
    <row r="336" spans="5:7">
      <c r="E336" s="802"/>
      <c r="F336" s="802"/>
      <c r="G336" s="802"/>
    </row>
    <row r="337" spans="5:7">
      <c r="E337" s="802"/>
      <c r="F337" s="802"/>
      <c r="G337" s="802"/>
    </row>
    <row r="338" spans="5:7">
      <c r="E338" s="802"/>
      <c r="F338" s="802"/>
      <c r="G338" s="802"/>
    </row>
    <row r="339" spans="5:7">
      <c r="E339" s="802"/>
      <c r="F339" s="802"/>
      <c r="G339" s="802"/>
    </row>
    <row r="340" spans="5:7">
      <c r="E340" s="802"/>
      <c r="F340" s="802"/>
      <c r="G340" s="802"/>
    </row>
    <row r="341" spans="5:7">
      <c r="E341" s="802"/>
      <c r="F341" s="802"/>
      <c r="G341" s="802"/>
    </row>
    <row r="342" spans="5:7">
      <c r="E342" s="802"/>
      <c r="F342" s="802"/>
      <c r="G342" s="802"/>
    </row>
    <row r="343" spans="5:7">
      <c r="E343" s="802"/>
      <c r="F343" s="802"/>
      <c r="G343" s="802"/>
    </row>
    <row r="344" spans="5:7">
      <c r="E344" s="802"/>
      <c r="F344" s="802"/>
      <c r="G344" s="802"/>
    </row>
    <row r="345" spans="5:7">
      <c r="E345" s="802"/>
      <c r="F345" s="802"/>
      <c r="G345" s="802"/>
    </row>
    <row r="346" spans="5:7">
      <c r="E346" s="802"/>
      <c r="F346" s="802"/>
      <c r="G346" s="802"/>
    </row>
    <row r="347" spans="5:7">
      <c r="E347" s="802"/>
      <c r="F347" s="802"/>
      <c r="G347" s="802"/>
    </row>
    <row r="348" spans="5:7">
      <c r="E348" s="802"/>
      <c r="F348" s="802"/>
      <c r="G348" s="802"/>
    </row>
    <row r="349" spans="5:7">
      <c r="E349" s="802"/>
      <c r="F349" s="802"/>
      <c r="G349" s="802"/>
    </row>
    <row r="350" spans="5:7">
      <c r="E350" s="802"/>
      <c r="F350" s="802"/>
      <c r="G350" s="802"/>
    </row>
    <row r="351" spans="5:7">
      <c r="E351" s="802"/>
      <c r="F351" s="802"/>
      <c r="G351" s="802"/>
    </row>
    <row r="352" spans="5:7">
      <c r="E352" s="802"/>
      <c r="F352" s="802"/>
      <c r="G352" s="802"/>
    </row>
    <row r="353" spans="5:7">
      <c r="E353" s="802"/>
      <c r="F353" s="802"/>
      <c r="G353" s="802"/>
    </row>
    <row r="354" spans="5:7">
      <c r="E354" s="802"/>
      <c r="F354" s="802"/>
      <c r="G354" s="802"/>
    </row>
    <row r="355" spans="5:7">
      <c r="E355" s="802"/>
      <c r="F355" s="802"/>
      <c r="G355" s="802"/>
    </row>
    <row r="356" spans="5:7">
      <c r="E356" s="802"/>
      <c r="F356" s="802"/>
      <c r="G356" s="802"/>
    </row>
    <row r="357" spans="5:7">
      <c r="E357" s="802"/>
      <c r="F357" s="802"/>
      <c r="G357" s="802"/>
    </row>
    <row r="358" spans="5:7">
      <c r="E358" s="802"/>
      <c r="F358" s="802"/>
      <c r="G358" s="802"/>
    </row>
    <row r="359" spans="5:7">
      <c r="E359" s="802"/>
      <c r="F359" s="802"/>
      <c r="G359" s="802"/>
    </row>
    <row r="360" spans="5:7">
      <c r="E360" s="802"/>
      <c r="F360" s="802"/>
      <c r="G360" s="802"/>
    </row>
    <row r="361" spans="5:7">
      <c r="E361" s="802"/>
      <c r="F361" s="802"/>
      <c r="G361" s="802"/>
    </row>
    <row r="362" spans="5:7">
      <c r="E362" s="802"/>
      <c r="F362" s="802"/>
      <c r="G362" s="802"/>
    </row>
    <row r="363" spans="5:7">
      <c r="E363" s="802"/>
      <c r="F363" s="802"/>
      <c r="G363" s="802"/>
    </row>
    <row r="364" spans="5:7">
      <c r="E364" s="802"/>
      <c r="F364" s="802"/>
      <c r="G364" s="802"/>
    </row>
    <row r="365" spans="5:7">
      <c r="E365" s="802"/>
      <c r="F365" s="802"/>
      <c r="G365" s="802"/>
    </row>
    <row r="366" spans="5:7">
      <c r="E366" s="802"/>
      <c r="F366" s="802"/>
      <c r="G366" s="802"/>
    </row>
    <row r="367" spans="5:7">
      <c r="E367" s="802"/>
      <c r="F367" s="802"/>
      <c r="G367" s="802"/>
    </row>
    <row r="368" spans="5:7">
      <c r="E368" s="802"/>
      <c r="F368" s="802"/>
      <c r="G368" s="802"/>
    </row>
    <row r="369" spans="5:7">
      <c r="E369" s="802"/>
      <c r="F369" s="802"/>
      <c r="G369" s="802"/>
    </row>
    <row r="370" spans="5:7">
      <c r="E370" s="802"/>
      <c r="F370" s="802"/>
      <c r="G370" s="802"/>
    </row>
    <row r="371" spans="5:7">
      <c r="E371" s="802"/>
      <c r="F371" s="802"/>
      <c r="G371" s="802"/>
    </row>
    <row r="372" spans="5:7">
      <c r="E372" s="802"/>
      <c r="F372" s="802"/>
      <c r="G372" s="802"/>
    </row>
    <row r="373" spans="5:7">
      <c r="E373" s="802"/>
      <c r="F373" s="802"/>
      <c r="G373" s="802"/>
    </row>
    <row r="374" spans="5:7">
      <c r="E374" s="802"/>
      <c r="F374" s="802"/>
      <c r="G374" s="802"/>
    </row>
    <row r="375" spans="5:7">
      <c r="E375" s="802"/>
      <c r="F375" s="802"/>
      <c r="G375" s="802"/>
    </row>
    <row r="376" spans="5:7">
      <c r="E376" s="802"/>
      <c r="F376" s="802"/>
      <c r="G376" s="802"/>
    </row>
    <row r="377" spans="5:7">
      <c r="E377" s="802"/>
      <c r="F377" s="802"/>
      <c r="G377" s="802"/>
    </row>
    <row r="378" spans="5:7">
      <c r="E378" s="802"/>
      <c r="F378" s="802"/>
      <c r="G378" s="802"/>
    </row>
    <row r="379" spans="5:7">
      <c r="E379" s="802"/>
      <c r="F379" s="802"/>
      <c r="G379" s="802"/>
    </row>
    <row r="380" spans="5:7">
      <c r="E380" s="802"/>
      <c r="F380" s="802"/>
      <c r="G380" s="802"/>
    </row>
    <row r="381" spans="5:7">
      <c r="E381" s="802"/>
      <c r="F381" s="802"/>
      <c r="G381" s="802"/>
    </row>
    <row r="382" spans="5:7">
      <c r="E382" s="802"/>
      <c r="F382" s="802"/>
      <c r="G382" s="802"/>
    </row>
    <row r="383" spans="5:7">
      <c r="E383" s="802"/>
      <c r="F383" s="802"/>
      <c r="G383" s="802"/>
    </row>
    <row r="384" spans="5:7">
      <c r="E384" s="802"/>
      <c r="F384" s="802"/>
      <c r="G384" s="802"/>
    </row>
    <row r="385" spans="5:7">
      <c r="E385" s="802"/>
      <c r="F385" s="802"/>
      <c r="G385" s="802"/>
    </row>
    <row r="386" spans="5:7">
      <c r="E386" s="802"/>
      <c r="F386" s="802"/>
      <c r="G386" s="802"/>
    </row>
    <row r="387" spans="5:7">
      <c r="E387" s="802"/>
      <c r="F387" s="802"/>
      <c r="G387" s="802"/>
    </row>
    <row r="388" spans="5:7">
      <c r="E388" s="802"/>
      <c r="F388" s="802"/>
      <c r="G388" s="802"/>
    </row>
    <row r="389" spans="5:7">
      <c r="E389" s="802"/>
      <c r="F389" s="802"/>
      <c r="G389" s="802"/>
    </row>
    <row r="390" spans="5:7">
      <c r="E390" s="802"/>
      <c r="F390" s="802"/>
      <c r="G390" s="802"/>
    </row>
    <row r="391" spans="5:7">
      <c r="E391" s="802"/>
      <c r="F391" s="802"/>
      <c r="G391" s="802"/>
    </row>
    <row r="392" spans="5:7">
      <c r="E392" s="802"/>
      <c r="F392" s="802"/>
      <c r="G392" s="802"/>
    </row>
    <row r="393" spans="5:7">
      <c r="E393" s="802"/>
      <c r="F393" s="802"/>
      <c r="G393" s="802"/>
    </row>
    <row r="394" spans="5:7">
      <c r="E394" s="802"/>
      <c r="F394" s="802"/>
      <c r="G394" s="802"/>
    </row>
    <row r="395" spans="5:7">
      <c r="E395" s="802"/>
      <c r="F395" s="802"/>
      <c r="G395" s="802"/>
    </row>
    <row r="396" spans="5:7">
      <c r="E396" s="802"/>
      <c r="F396" s="802"/>
      <c r="G396" s="802"/>
    </row>
    <row r="397" spans="5:7">
      <c r="E397" s="802"/>
      <c r="F397" s="802"/>
      <c r="G397" s="802"/>
    </row>
    <row r="398" spans="5:7">
      <c r="E398" s="802"/>
      <c r="F398" s="802"/>
      <c r="G398" s="802"/>
    </row>
    <row r="399" spans="5:7">
      <c r="E399" s="802"/>
      <c r="F399" s="802"/>
      <c r="G399" s="802"/>
    </row>
    <row r="400" spans="5:7">
      <c r="E400" s="802"/>
      <c r="F400" s="802"/>
      <c r="G400" s="802"/>
    </row>
    <row r="401" spans="5:7">
      <c r="E401" s="802"/>
      <c r="F401" s="802"/>
      <c r="G401" s="802"/>
    </row>
    <row r="402" spans="5:7">
      <c r="E402" s="802"/>
      <c r="F402" s="802"/>
      <c r="G402" s="802"/>
    </row>
    <row r="403" spans="5:7">
      <c r="E403" s="802"/>
      <c r="F403" s="802"/>
      <c r="G403" s="802"/>
    </row>
    <row r="404" spans="5:7">
      <c r="E404" s="802"/>
      <c r="F404" s="802"/>
      <c r="G404" s="802"/>
    </row>
    <row r="405" spans="5:7">
      <c r="E405" s="802"/>
      <c r="F405" s="802"/>
      <c r="G405" s="802"/>
    </row>
    <row r="406" spans="5:7">
      <c r="E406" s="802"/>
      <c r="F406" s="802"/>
      <c r="G406" s="802"/>
    </row>
    <row r="407" spans="5:7">
      <c r="E407" s="802"/>
      <c r="F407" s="802"/>
      <c r="G407" s="802"/>
    </row>
    <row r="408" spans="5:7">
      <c r="E408" s="802"/>
      <c r="F408" s="802"/>
      <c r="G408" s="802"/>
    </row>
    <row r="409" spans="5:7">
      <c r="E409" s="802"/>
      <c r="F409" s="802"/>
      <c r="G409" s="802"/>
    </row>
    <row r="410" spans="5:7">
      <c r="E410" s="802"/>
      <c r="F410" s="802"/>
      <c r="G410" s="802"/>
    </row>
    <row r="411" spans="5:7">
      <c r="E411" s="802"/>
      <c r="F411" s="802"/>
      <c r="G411" s="802"/>
    </row>
    <row r="412" spans="5:7">
      <c r="E412" s="802"/>
      <c r="F412" s="802"/>
      <c r="G412" s="802"/>
    </row>
    <row r="413" spans="5:7">
      <c r="E413" s="802"/>
      <c r="F413" s="802"/>
      <c r="G413" s="802"/>
    </row>
    <row r="414" spans="5:7">
      <c r="E414" s="802"/>
      <c r="F414" s="802"/>
      <c r="G414" s="802"/>
    </row>
    <row r="415" spans="5:7">
      <c r="E415" s="802"/>
      <c r="F415" s="802"/>
      <c r="G415" s="802"/>
    </row>
    <row r="416" spans="5:7">
      <c r="E416" s="802"/>
      <c r="F416" s="802"/>
      <c r="G416" s="802"/>
    </row>
    <row r="417" spans="5:7">
      <c r="E417" s="802"/>
      <c r="F417" s="802"/>
      <c r="G417" s="802"/>
    </row>
    <row r="418" spans="5:7">
      <c r="E418" s="802"/>
      <c r="F418" s="802"/>
      <c r="G418" s="802"/>
    </row>
    <row r="419" spans="5:7">
      <c r="E419" s="802"/>
      <c r="F419" s="802"/>
      <c r="G419" s="802"/>
    </row>
    <row r="420" spans="5:7">
      <c r="E420" s="802"/>
      <c r="F420" s="802"/>
      <c r="G420" s="802"/>
    </row>
    <row r="421" spans="5:7">
      <c r="E421" s="802"/>
      <c r="F421" s="802"/>
      <c r="G421" s="802"/>
    </row>
    <row r="422" spans="5:7">
      <c r="E422" s="802"/>
      <c r="F422" s="802"/>
      <c r="G422" s="802"/>
    </row>
    <row r="423" spans="5:7">
      <c r="E423" s="802"/>
      <c r="F423" s="802"/>
      <c r="G423" s="802"/>
    </row>
    <row r="424" spans="5:7">
      <c r="E424" s="802"/>
      <c r="F424" s="802"/>
      <c r="G424" s="802"/>
    </row>
    <row r="425" spans="5:7">
      <c r="E425" s="802"/>
      <c r="F425" s="802"/>
      <c r="G425" s="802"/>
    </row>
    <row r="426" spans="5:7">
      <c r="E426" s="802"/>
      <c r="F426" s="802"/>
      <c r="G426" s="802"/>
    </row>
    <row r="427" spans="5:7">
      <c r="E427" s="802"/>
      <c r="F427" s="802"/>
      <c r="G427" s="802"/>
    </row>
    <row r="428" spans="5:7">
      <c r="E428" s="802"/>
      <c r="F428" s="802"/>
      <c r="G428" s="802"/>
    </row>
    <row r="429" spans="5:7">
      <c r="E429" s="802"/>
      <c r="F429" s="802"/>
      <c r="G429" s="802"/>
    </row>
    <row r="430" spans="5:7">
      <c r="E430" s="802"/>
      <c r="F430" s="802"/>
      <c r="G430" s="802"/>
    </row>
    <row r="431" spans="5:7">
      <c r="E431" s="802"/>
      <c r="F431" s="802"/>
      <c r="G431" s="802"/>
    </row>
    <row r="432" spans="5:7">
      <c r="E432" s="802"/>
      <c r="F432" s="802"/>
      <c r="G432" s="802"/>
    </row>
    <row r="433" spans="5:7">
      <c r="E433" s="802"/>
      <c r="F433" s="802"/>
      <c r="G433" s="802"/>
    </row>
    <row r="434" spans="5:7">
      <c r="E434" s="802"/>
      <c r="F434" s="802"/>
      <c r="G434" s="802"/>
    </row>
    <row r="435" spans="5:7">
      <c r="E435" s="802"/>
      <c r="F435" s="802"/>
      <c r="G435" s="802"/>
    </row>
    <row r="436" spans="5:7">
      <c r="E436" s="802"/>
      <c r="F436" s="802"/>
      <c r="G436" s="802"/>
    </row>
    <row r="437" spans="5:7">
      <c r="E437" s="802"/>
      <c r="F437" s="802"/>
      <c r="G437" s="802"/>
    </row>
    <row r="438" spans="5:7">
      <c r="E438" s="802"/>
      <c r="F438" s="802"/>
      <c r="G438" s="802"/>
    </row>
    <row r="439" spans="5:7">
      <c r="E439" s="802"/>
      <c r="F439" s="802"/>
      <c r="G439" s="802"/>
    </row>
    <row r="440" spans="5:7">
      <c r="E440" s="802"/>
      <c r="F440" s="802"/>
      <c r="G440" s="802"/>
    </row>
    <row r="441" spans="5:7">
      <c r="E441" s="802"/>
      <c r="F441" s="802"/>
      <c r="G441" s="802"/>
    </row>
    <row r="442" spans="5:7">
      <c r="E442" s="802"/>
      <c r="F442" s="802"/>
      <c r="G442" s="802"/>
    </row>
    <row r="443" spans="5:7">
      <c r="E443" s="802"/>
      <c r="F443" s="802"/>
      <c r="G443" s="802"/>
    </row>
    <row r="444" spans="5:7">
      <c r="E444" s="802"/>
      <c r="F444" s="802"/>
      <c r="G444" s="802"/>
    </row>
    <row r="445" spans="5:7">
      <c r="E445" s="802"/>
      <c r="F445" s="802"/>
      <c r="G445" s="802"/>
    </row>
    <row r="446" spans="5:7">
      <c r="E446" s="802"/>
      <c r="F446" s="802"/>
      <c r="G446" s="802"/>
    </row>
    <row r="447" spans="5:7">
      <c r="E447" s="802"/>
      <c r="F447" s="802"/>
      <c r="G447" s="802"/>
    </row>
    <row r="448" spans="5:7">
      <c r="E448" s="802"/>
      <c r="F448" s="802"/>
      <c r="G448" s="802"/>
    </row>
    <row r="449" spans="5:7">
      <c r="E449" s="802"/>
      <c r="F449" s="802"/>
      <c r="G449" s="802"/>
    </row>
    <row r="450" spans="5:7">
      <c r="E450" s="802"/>
      <c r="F450" s="802"/>
      <c r="G450" s="802"/>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3" firstPageNumber="28" orientation="landscape" useFirstPageNumber="1" horizontalDpi="4294967292" verticalDpi="4294967292" r:id="rId2"/>
  <headerFooter alignWithMargins="0"/>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6"/>
  <sheetViews>
    <sheetView view="pageBreakPreview" zoomScale="70" zoomScaleNormal="80" zoomScaleSheetLayoutView="70" workbookViewId="0">
      <selection activeCell="F9" sqref="F9"/>
    </sheetView>
  </sheetViews>
  <sheetFormatPr defaultColWidth="8.77734375" defaultRowHeight="15.75"/>
  <cols>
    <col min="1" max="1" width="8.77734375" style="227"/>
    <col min="2" max="2" width="51.77734375" style="227" customWidth="1"/>
    <col min="3" max="3" width="15.6640625" style="227" customWidth="1"/>
    <col min="4" max="4" width="14.77734375" style="227" bestFit="1" customWidth="1"/>
    <col min="5" max="5" width="1.6640625" style="227" customWidth="1"/>
    <col min="6" max="6" width="15.88671875" style="227" customWidth="1"/>
    <col min="7" max="7" width="1.44140625" style="227" customWidth="1"/>
    <col min="8" max="8" width="8.77734375" style="227"/>
    <col min="9" max="9" width="35.33203125" style="227" customWidth="1"/>
    <col min="10" max="10" width="16.109375" style="227" customWidth="1"/>
    <col min="11" max="11" width="9.109375" style="227" bestFit="1" customWidth="1"/>
    <col min="12" max="12" width="10.109375" style="227" bestFit="1" customWidth="1"/>
    <col min="13" max="13" width="10.77734375" style="227" customWidth="1"/>
    <col min="14" max="257" width="8.77734375" style="227"/>
    <col min="258" max="258" width="35.21875" style="227" customWidth="1"/>
    <col min="259" max="259" width="15.6640625" style="227" customWidth="1"/>
    <col min="260" max="260" width="14.77734375" style="227" bestFit="1" customWidth="1"/>
    <col min="261" max="261" width="1.6640625" style="227" customWidth="1"/>
    <col min="262" max="262" width="15.88671875" style="227" customWidth="1"/>
    <col min="263" max="263" width="1.44140625" style="227" customWidth="1"/>
    <col min="264" max="264" width="8.77734375" style="227"/>
    <col min="265" max="265" width="35.33203125" style="227" customWidth="1"/>
    <col min="266" max="266" width="16.109375" style="227" customWidth="1"/>
    <col min="267" max="267" width="9.109375" style="227" bestFit="1" customWidth="1"/>
    <col min="268" max="268" width="10.109375" style="227" bestFit="1" customWidth="1"/>
    <col min="269" max="269" width="10.77734375" style="227" customWidth="1"/>
    <col min="270" max="513" width="8.77734375" style="227"/>
    <col min="514" max="514" width="35.21875" style="227" customWidth="1"/>
    <col min="515" max="515" width="15.6640625" style="227" customWidth="1"/>
    <col min="516" max="516" width="14.77734375" style="227" bestFit="1" customWidth="1"/>
    <col min="517" max="517" width="1.6640625" style="227" customWidth="1"/>
    <col min="518" max="518" width="15.88671875" style="227" customWidth="1"/>
    <col min="519" max="519" width="1.44140625" style="227" customWidth="1"/>
    <col min="520" max="520" width="8.77734375" style="227"/>
    <col min="521" max="521" width="35.33203125" style="227" customWidth="1"/>
    <col min="522" max="522" width="16.109375" style="227" customWidth="1"/>
    <col min="523" max="523" width="9.109375" style="227" bestFit="1" customWidth="1"/>
    <col min="524" max="524" width="10.109375" style="227" bestFit="1" customWidth="1"/>
    <col min="525" max="525" width="10.77734375" style="227" customWidth="1"/>
    <col min="526" max="769" width="8.77734375" style="227"/>
    <col min="770" max="770" width="35.21875" style="227" customWidth="1"/>
    <col min="771" max="771" width="15.6640625" style="227" customWidth="1"/>
    <col min="772" max="772" width="14.77734375" style="227" bestFit="1" customWidth="1"/>
    <col min="773" max="773" width="1.6640625" style="227" customWidth="1"/>
    <col min="774" max="774" width="15.88671875" style="227" customWidth="1"/>
    <col min="775" max="775" width="1.44140625" style="227" customWidth="1"/>
    <col min="776" max="776" width="8.77734375" style="227"/>
    <col min="777" max="777" width="35.33203125" style="227" customWidth="1"/>
    <col min="778" max="778" width="16.109375" style="227" customWidth="1"/>
    <col min="779" max="779" width="9.109375" style="227" bestFit="1" customWidth="1"/>
    <col min="780" max="780" width="10.109375" style="227" bestFit="1" customWidth="1"/>
    <col min="781" max="781" width="10.77734375" style="227" customWidth="1"/>
    <col min="782" max="1025" width="8.77734375" style="227"/>
    <col min="1026" max="1026" width="35.21875" style="227" customWidth="1"/>
    <col min="1027" max="1027" width="15.6640625" style="227" customWidth="1"/>
    <col min="1028" max="1028" width="14.77734375" style="227" bestFit="1" customWidth="1"/>
    <col min="1029" max="1029" width="1.6640625" style="227" customWidth="1"/>
    <col min="1030" max="1030" width="15.88671875" style="227" customWidth="1"/>
    <col min="1031" max="1031" width="1.44140625" style="227" customWidth="1"/>
    <col min="1032" max="1032" width="8.77734375" style="227"/>
    <col min="1033" max="1033" width="35.33203125" style="227" customWidth="1"/>
    <col min="1034" max="1034" width="16.109375" style="227" customWidth="1"/>
    <col min="1035" max="1035" width="9.109375" style="227" bestFit="1" customWidth="1"/>
    <col min="1036" max="1036" width="10.109375" style="227" bestFit="1" customWidth="1"/>
    <col min="1037" max="1037" width="10.77734375" style="227" customWidth="1"/>
    <col min="1038" max="1281" width="8.77734375" style="227"/>
    <col min="1282" max="1282" width="35.21875" style="227" customWidth="1"/>
    <col min="1283" max="1283" width="15.6640625" style="227" customWidth="1"/>
    <col min="1284" max="1284" width="14.77734375" style="227" bestFit="1" customWidth="1"/>
    <col min="1285" max="1285" width="1.6640625" style="227" customWidth="1"/>
    <col min="1286" max="1286" width="15.88671875" style="227" customWidth="1"/>
    <col min="1287" max="1287" width="1.44140625" style="227" customWidth="1"/>
    <col min="1288" max="1288" width="8.77734375" style="227"/>
    <col min="1289" max="1289" width="35.33203125" style="227" customWidth="1"/>
    <col min="1290" max="1290" width="16.109375" style="227" customWidth="1"/>
    <col min="1291" max="1291" width="9.109375" style="227" bestFit="1" customWidth="1"/>
    <col min="1292" max="1292" width="10.109375" style="227" bestFit="1" customWidth="1"/>
    <col min="1293" max="1293" width="10.77734375" style="227" customWidth="1"/>
    <col min="1294" max="1537" width="8.77734375" style="227"/>
    <col min="1538" max="1538" width="35.21875" style="227" customWidth="1"/>
    <col min="1539" max="1539" width="15.6640625" style="227" customWidth="1"/>
    <col min="1540" max="1540" width="14.77734375" style="227" bestFit="1" customWidth="1"/>
    <col min="1541" max="1541" width="1.6640625" style="227" customWidth="1"/>
    <col min="1542" max="1542" width="15.88671875" style="227" customWidth="1"/>
    <col min="1543" max="1543" width="1.44140625" style="227" customWidth="1"/>
    <col min="1544" max="1544" width="8.77734375" style="227"/>
    <col min="1545" max="1545" width="35.33203125" style="227" customWidth="1"/>
    <col min="1546" max="1546" width="16.109375" style="227" customWidth="1"/>
    <col min="1547" max="1547" width="9.109375" style="227" bestFit="1" customWidth="1"/>
    <col min="1548" max="1548" width="10.109375" style="227" bestFit="1" customWidth="1"/>
    <col min="1549" max="1549" width="10.77734375" style="227" customWidth="1"/>
    <col min="1550" max="1793" width="8.77734375" style="227"/>
    <col min="1794" max="1794" width="35.21875" style="227" customWidth="1"/>
    <col min="1795" max="1795" width="15.6640625" style="227" customWidth="1"/>
    <col min="1796" max="1796" width="14.77734375" style="227" bestFit="1" customWidth="1"/>
    <col min="1797" max="1797" width="1.6640625" style="227" customWidth="1"/>
    <col min="1798" max="1798" width="15.88671875" style="227" customWidth="1"/>
    <col min="1799" max="1799" width="1.44140625" style="227" customWidth="1"/>
    <col min="1800" max="1800" width="8.77734375" style="227"/>
    <col min="1801" max="1801" width="35.33203125" style="227" customWidth="1"/>
    <col min="1802" max="1802" width="16.109375" style="227" customWidth="1"/>
    <col min="1803" max="1803" width="9.109375" style="227" bestFit="1" customWidth="1"/>
    <col min="1804" max="1804" width="10.109375" style="227" bestFit="1" customWidth="1"/>
    <col min="1805" max="1805" width="10.77734375" style="227" customWidth="1"/>
    <col min="1806" max="2049" width="8.77734375" style="227"/>
    <col min="2050" max="2050" width="35.21875" style="227" customWidth="1"/>
    <col min="2051" max="2051" width="15.6640625" style="227" customWidth="1"/>
    <col min="2052" max="2052" width="14.77734375" style="227" bestFit="1" customWidth="1"/>
    <col min="2053" max="2053" width="1.6640625" style="227" customWidth="1"/>
    <col min="2054" max="2054" width="15.88671875" style="227" customWidth="1"/>
    <col min="2055" max="2055" width="1.44140625" style="227" customWidth="1"/>
    <col min="2056" max="2056" width="8.77734375" style="227"/>
    <col min="2057" max="2057" width="35.33203125" style="227" customWidth="1"/>
    <col min="2058" max="2058" width="16.109375" style="227" customWidth="1"/>
    <col min="2059" max="2059" width="9.109375" style="227" bestFit="1" customWidth="1"/>
    <col min="2060" max="2060" width="10.109375" style="227" bestFit="1" customWidth="1"/>
    <col min="2061" max="2061" width="10.77734375" style="227" customWidth="1"/>
    <col min="2062" max="2305" width="8.77734375" style="227"/>
    <col min="2306" max="2306" width="35.21875" style="227" customWidth="1"/>
    <col min="2307" max="2307" width="15.6640625" style="227" customWidth="1"/>
    <col min="2308" max="2308" width="14.77734375" style="227" bestFit="1" customWidth="1"/>
    <col min="2309" max="2309" width="1.6640625" style="227" customWidth="1"/>
    <col min="2310" max="2310" width="15.88671875" style="227" customWidth="1"/>
    <col min="2311" max="2311" width="1.44140625" style="227" customWidth="1"/>
    <col min="2312" max="2312" width="8.77734375" style="227"/>
    <col min="2313" max="2313" width="35.33203125" style="227" customWidth="1"/>
    <col min="2314" max="2314" width="16.109375" style="227" customWidth="1"/>
    <col min="2315" max="2315" width="9.109375" style="227" bestFit="1" customWidth="1"/>
    <col min="2316" max="2316" width="10.109375" style="227" bestFit="1" customWidth="1"/>
    <col min="2317" max="2317" width="10.77734375" style="227" customWidth="1"/>
    <col min="2318" max="2561" width="8.77734375" style="227"/>
    <col min="2562" max="2562" width="35.21875" style="227" customWidth="1"/>
    <col min="2563" max="2563" width="15.6640625" style="227" customWidth="1"/>
    <col min="2564" max="2564" width="14.77734375" style="227" bestFit="1" customWidth="1"/>
    <col min="2565" max="2565" width="1.6640625" style="227" customWidth="1"/>
    <col min="2566" max="2566" width="15.88671875" style="227" customWidth="1"/>
    <col min="2567" max="2567" width="1.44140625" style="227" customWidth="1"/>
    <col min="2568" max="2568" width="8.77734375" style="227"/>
    <col min="2569" max="2569" width="35.33203125" style="227" customWidth="1"/>
    <col min="2570" max="2570" width="16.109375" style="227" customWidth="1"/>
    <col min="2571" max="2571" width="9.109375" style="227" bestFit="1" customWidth="1"/>
    <col min="2572" max="2572" width="10.109375" style="227" bestFit="1" customWidth="1"/>
    <col min="2573" max="2573" width="10.77734375" style="227" customWidth="1"/>
    <col min="2574" max="2817" width="8.77734375" style="227"/>
    <col min="2818" max="2818" width="35.21875" style="227" customWidth="1"/>
    <col min="2819" max="2819" width="15.6640625" style="227" customWidth="1"/>
    <col min="2820" max="2820" width="14.77734375" style="227" bestFit="1" customWidth="1"/>
    <col min="2821" max="2821" width="1.6640625" style="227" customWidth="1"/>
    <col min="2822" max="2822" width="15.88671875" style="227" customWidth="1"/>
    <col min="2823" max="2823" width="1.44140625" style="227" customWidth="1"/>
    <col min="2824" max="2824" width="8.77734375" style="227"/>
    <col min="2825" max="2825" width="35.33203125" style="227" customWidth="1"/>
    <col min="2826" max="2826" width="16.109375" style="227" customWidth="1"/>
    <col min="2827" max="2827" width="9.109375" style="227" bestFit="1" customWidth="1"/>
    <col min="2828" max="2828" width="10.109375" style="227" bestFit="1" customWidth="1"/>
    <col min="2829" max="2829" width="10.77734375" style="227" customWidth="1"/>
    <col min="2830" max="3073" width="8.77734375" style="227"/>
    <col min="3074" max="3074" width="35.21875" style="227" customWidth="1"/>
    <col min="3075" max="3075" width="15.6640625" style="227" customWidth="1"/>
    <col min="3076" max="3076" width="14.77734375" style="227" bestFit="1" customWidth="1"/>
    <col min="3077" max="3077" width="1.6640625" style="227" customWidth="1"/>
    <col min="3078" max="3078" width="15.88671875" style="227" customWidth="1"/>
    <col min="3079" max="3079" width="1.44140625" style="227" customWidth="1"/>
    <col min="3080" max="3080" width="8.77734375" style="227"/>
    <col min="3081" max="3081" width="35.33203125" style="227" customWidth="1"/>
    <col min="3082" max="3082" width="16.109375" style="227" customWidth="1"/>
    <col min="3083" max="3083" width="9.109375" style="227" bestFit="1" customWidth="1"/>
    <col min="3084" max="3084" width="10.109375" style="227" bestFit="1" customWidth="1"/>
    <col min="3085" max="3085" width="10.77734375" style="227" customWidth="1"/>
    <col min="3086" max="3329" width="8.77734375" style="227"/>
    <col min="3330" max="3330" width="35.21875" style="227" customWidth="1"/>
    <col min="3331" max="3331" width="15.6640625" style="227" customWidth="1"/>
    <col min="3332" max="3332" width="14.77734375" style="227" bestFit="1" customWidth="1"/>
    <col min="3333" max="3333" width="1.6640625" style="227" customWidth="1"/>
    <col min="3334" max="3334" width="15.88671875" style="227" customWidth="1"/>
    <col min="3335" max="3335" width="1.44140625" style="227" customWidth="1"/>
    <col min="3336" max="3336" width="8.77734375" style="227"/>
    <col min="3337" max="3337" width="35.33203125" style="227" customWidth="1"/>
    <col min="3338" max="3338" width="16.109375" style="227" customWidth="1"/>
    <col min="3339" max="3339" width="9.109375" style="227" bestFit="1" customWidth="1"/>
    <col min="3340" max="3340" width="10.109375" style="227" bestFit="1" customWidth="1"/>
    <col min="3341" max="3341" width="10.77734375" style="227" customWidth="1"/>
    <col min="3342" max="3585" width="8.77734375" style="227"/>
    <col min="3586" max="3586" width="35.21875" style="227" customWidth="1"/>
    <col min="3587" max="3587" width="15.6640625" style="227" customWidth="1"/>
    <col min="3588" max="3588" width="14.77734375" style="227" bestFit="1" customWidth="1"/>
    <col min="3589" max="3589" width="1.6640625" style="227" customWidth="1"/>
    <col min="3590" max="3590" width="15.88671875" style="227" customWidth="1"/>
    <col min="3591" max="3591" width="1.44140625" style="227" customWidth="1"/>
    <col min="3592" max="3592" width="8.77734375" style="227"/>
    <col min="3593" max="3593" width="35.33203125" style="227" customWidth="1"/>
    <col min="3594" max="3594" width="16.109375" style="227" customWidth="1"/>
    <col min="3595" max="3595" width="9.109375" style="227" bestFit="1" customWidth="1"/>
    <col min="3596" max="3596" width="10.109375" style="227" bestFit="1" customWidth="1"/>
    <col min="3597" max="3597" width="10.77734375" style="227" customWidth="1"/>
    <col min="3598" max="3841" width="8.77734375" style="227"/>
    <col min="3842" max="3842" width="35.21875" style="227" customWidth="1"/>
    <col min="3843" max="3843" width="15.6640625" style="227" customWidth="1"/>
    <col min="3844" max="3844" width="14.77734375" style="227" bestFit="1" customWidth="1"/>
    <col min="3845" max="3845" width="1.6640625" style="227" customWidth="1"/>
    <col min="3846" max="3846" width="15.88671875" style="227" customWidth="1"/>
    <col min="3847" max="3847" width="1.44140625" style="227" customWidth="1"/>
    <col min="3848" max="3848" width="8.77734375" style="227"/>
    <col min="3849" max="3849" width="35.33203125" style="227" customWidth="1"/>
    <col min="3850" max="3850" width="16.109375" style="227" customWidth="1"/>
    <col min="3851" max="3851" width="9.109375" style="227" bestFit="1" customWidth="1"/>
    <col min="3852" max="3852" width="10.109375" style="227" bestFit="1" customWidth="1"/>
    <col min="3853" max="3853" width="10.77734375" style="227" customWidth="1"/>
    <col min="3854" max="4097" width="8.77734375" style="227"/>
    <col min="4098" max="4098" width="35.21875" style="227" customWidth="1"/>
    <col min="4099" max="4099" width="15.6640625" style="227" customWidth="1"/>
    <col min="4100" max="4100" width="14.77734375" style="227" bestFit="1" customWidth="1"/>
    <col min="4101" max="4101" width="1.6640625" style="227" customWidth="1"/>
    <col min="4102" max="4102" width="15.88671875" style="227" customWidth="1"/>
    <col min="4103" max="4103" width="1.44140625" style="227" customWidth="1"/>
    <col min="4104" max="4104" width="8.77734375" style="227"/>
    <col min="4105" max="4105" width="35.33203125" style="227" customWidth="1"/>
    <col min="4106" max="4106" width="16.109375" style="227" customWidth="1"/>
    <col min="4107" max="4107" width="9.109375" style="227" bestFit="1" customWidth="1"/>
    <col min="4108" max="4108" width="10.109375" style="227" bestFit="1" customWidth="1"/>
    <col min="4109" max="4109" width="10.77734375" style="227" customWidth="1"/>
    <col min="4110" max="4353" width="8.77734375" style="227"/>
    <col min="4354" max="4354" width="35.21875" style="227" customWidth="1"/>
    <col min="4355" max="4355" width="15.6640625" style="227" customWidth="1"/>
    <col min="4356" max="4356" width="14.77734375" style="227" bestFit="1" customWidth="1"/>
    <col min="4357" max="4357" width="1.6640625" style="227" customWidth="1"/>
    <col min="4358" max="4358" width="15.88671875" style="227" customWidth="1"/>
    <col min="4359" max="4359" width="1.44140625" style="227" customWidth="1"/>
    <col min="4360" max="4360" width="8.77734375" style="227"/>
    <col min="4361" max="4361" width="35.33203125" style="227" customWidth="1"/>
    <col min="4362" max="4362" width="16.109375" style="227" customWidth="1"/>
    <col min="4363" max="4363" width="9.109375" style="227" bestFit="1" customWidth="1"/>
    <col min="4364" max="4364" width="10.109375" style="227" bestFit="1" customWidth="1"/>
    <col min="4365" max="4365" width="10.77734375" style="227" customWidth="1"/>
    <col min="4366" max="4609" width="8.77734375" style="227"/>
    <col min="4610" max="4610" width="35.21875" style="227" customWidth="1"/>
    <col min="4611" max="4611" width="15.6640625" style="227" customWidth="1"/>
    <col min="4612" max="4612" width="14.77734375" style="227" bestFit="1" customWidth="1"/>
    <col min="4613" max="4613" width="1.6640625" style="227" customWidth="1"/>
    <col min="4614" max="4614" width="15.88671875" style="227" customWidth="1"/>
    <col min="4615" max="4615" width="1.44140625" style="227" customWidth="1"/>
    <col min="4616" max="4616" width="8.77734375" style="227"/>
    <col min="4617" max="4617" width="35.33203125" style="227" customWidth="1"/>
    <col min="4618" max="4618" width="16.109375" style="227" customWidth="1"/>
    <col min="4619" max="4619" width="9.109375" style="227" bestFit="1" customWidth="1"/>
    <col min="4620" max="4620" width="10.109375" style="227" bestFit="1" customWidth="1"/>
    <col min="4621" max="4621" width="10.77734375" style="227" customWidth="1"/>
    <col min="4622" max="4865" width="8.77734375" style="227"/>
    <col min="4866" max="4866" width="35.21875" style="227" customWidth="1"/>
    <col min="4867" max="4867" width="15.6640625" style="227" customWidth="1"/>
    <col min="4868" max="4868" width="14.77734375" style="227" bestFit="1" customWidth="1"/>
    <col min="4869" max="4869" width="1.6640625" style="227" customWidth="1"/>
    <col min="4870" max="4870" width="15.88671875" style="227" customWidth="1"/>
    <col min="4871" max="4871" width="1.44140625" style="227" customWidth="1"/>
    <col min="4872" max="4872" width="8.77734375" style="227"/>
    <col min="4873" max="4873" width="35.33203125" style="227" customWidth="1"/>
    <col min="4874" max="4874" width="16.109375" style="227" customWidth="1"/>
    <col min="4875" max="4875" width="9.109375" style="227" bestFit="1" customWidth="1"/>
    <col min="4876" max="4876" width="10.109375" style="227" bestFit="1" customWidth="1"/>
    <col min="4877" max="4877" width="10.77734375" style="227" customWidth="1"/>
    <col min="4878" max="5121" width="8.77734375" style="227"/>
    <col min="5122" max="5122" width="35.21875" style="227" customWidth="1"/>
    <col min="5123" max="5123" width="15.6640625" style="227" customWidth="1"/>
    <col min="5124" max="5124" width="14.77734375" style="227" bestFit="1" customWidth="1"/>
    <col min="5125" max="5125" width="1.6640625" style="227" customWidth="1"/>
    <col min="5126" max="5126" width="15.88671875" style="227" customWidth="1"/>
    <col min="5127" max="5127" width="1.44140625" style="227" customWidth="1"/>
    <col min="5128" max="5128" width="8.77734375" style="227"/>
    <col min="5129" max="5129" width="35.33203125" style="227" customWidth="1"/>
    <col min="5130" max="5130" width="16.109375" style="227" customWidth="1"/>
    <col min="5131" max="5131" width="9.109375" style="227" bestFit="1" customWidth="1"/>
    <col min="5132" max="5132" width="10.109375" style="227" bestFit="1" customWidth="1"/>
    <col min="5133" max="5133" width="10.77734375" style="227" customWidth="1"/>
    <col min="5134" max="5377" width="8.77734375" style="227"/>
    <col min="5378" max="5378" width="35.21875" style="227" customWidth="1"/>
    <col min="5379" max="5379" width="15.6640625" style="227" customWidth="1"/>
    <col min="5380" max="5380" width="14.77734375" style="227" bestFit="1" customWidth="1"/>
    <col min="5381" max="5381" width="1.6640625" style="227" customWidth="1"/>
    <col min="5382" max="5382" width="15.88671875" style="227" customWidth="1"/>
    <col min="5383" max="5383" width="1.44140625" style="227" customWidth="1"/>
    <col min="5384" max="5384" width="8.77734375" style="227"/>
    <col min="5385" max="5385" width="35.33203125" style="227" customWidth="1"/>
    <col min="5386" max="5386" width="16.109375" style="227" customWidth="1"/>
    <col min="5387" max="5387" width="9.109375" style="227" bestFit="1" customWidth="1"/>
    <col min="5388" max="5388" width="10.109375" style="227" bestFit="1" customWidth="1"/>
    <col min="5389" max="5389" width="10.77734375" style="227" customWidth="1"/>
    <col min="5390" max="5633" width="8.77734375" style="227"/>
    <col min="5634" max="5634" width="35.21875" style="227" customWidth="1"/>
    <col min="5635" max="5635" width="15.6640625" style="227" customWidth="1"/>
    <col min="5636" max="5636" width="14.77734375" style="227" bestFit="1" customWidth="1"/>
    <col min="5637" max="5637" width="1.6640625" style="227" customWidth="1"/>
    <col min="5638" max="5638" width="15.88671875" style="227" customWidth="1"/>
    <col min="5639" max="5639" width="1.44140625" style="227" customWidth="1"/>
    <col min="5640" max="5640" width="8.77734375" style="227"/>
    <col min="5641" max="5641" width="35.33203125" style="227" customWidth="1"/>
    <col min="5642" max="5642" width="16.109375" style="227" customWidth="1"/>
    <col min="5643" max="5643" width="9.109375" style="227" bestFit="1" customWidth="1"/>
    <col min="5644" max="5644" width="10.109375" style="227" bestFit="1" customWidth="1"/>
    <col min="5645" max="5645" width="10.77734375" style="227" customWidth="1"/>
    <col min="5646" max="5889" width="8.77734375" style="227"/>
    <col min="5890" max="5890" width="35.21875" style="227" customWidth="1"/>
    <col min="5891" max="5891" width="15.6640625" style="227" customWidth="1"/>
    <col min="5892" max="5892" width="14.77734375" style="227" bestFit="1" customWidth="1"/>
    <col min="5893" max="5893" width="1.6640625" style="227" customWidth="1"/>
    <col min="5894" max="5894" width="15.88671875" style="227" customWidth="1"/>
    <col min="5895" max="5895" width="1.44140625" style="227" customWidth="1"/>
    <col min="5896" max="5896" width="8.77734375" style="227"/>
    <col min="5897" max="5897" width="35.33203125" style="227" customWidth="1"/>
    <col min="5898" max="5898" width="16.109375" style="227" customWidth="1"/>
    <col min="5899" max="5899" width="9.109375" style="227" bestFit="1" customWidth="1"/>
    <col min="5900" max="5900" width="10.109375" style="227" bestFit="1" customWidth="1"/>
    <col min="5901" max="5901" width="10.77734375" style="227" customWidth="1"/>
    <col min="5902" max="6145" width="8.77734375" style="227"/>
    <col min="6146" max="6146" width="35.21875" style="227" customWidth="1"/>
    <col min="6147" max="6147" width="15.6640625" style="227" customWidth="1"/>
    <col min="6148" max="6148" width="14.77734375" style="227" bestFit="1" customWidth="1"/>
    <col min="6149" max="6149" width="1.6640625" style="227" customWidth="1"/>
    <col min="6150" max="6150" width="15.88671875" style="227" customWidth="1"/>
    <col min="6151" max="6151" width="1.44140625" style="227" customWidth="1"/>
    <col min="6152" max="6152" width="8.77734375" style="227"/>
    <col min="6153" max="6153" width="35.33203125" style="227" customWidth="1"/>
    <col min="6154" max="6154" width="16.109375" style="227" customWidth="1"/>
    <col min="6155" max="6155" width="9.109375" style="227" bestFit="1" customWidth="1"/>
    <col min="6156" max="6156" width="10.109375" style="227" bestFit="1" customWidth="1"/>
    <col min="6157" max="6157" width="10.77734375" style="227" customWidth="1"/>
    <col min="6158" max="6401" width="8.77734375" style="227"/>
    <col min="6402" max="6402" width="35.21875" style="227" customWidth="1"/>
    <col min="6403" max="6403" width="15.6640625" style="227" customWidth="1"/>
    <col min="6404" max="6404" width="14.77734375" style="227" bestFit="1" customWidth="1"/>
    <col min="6405" max="6405" width="1.6640625" style="227" customWidth="1"/>
    <col min="6406" max="6406" width="15.88671875" style="227" customWidth="1"/>
    <col min="6407" max="6407" width="1.44140625" style="227" customWidth="1"/>
    <col min="6408" max="6408" width="8.77734375" style="227"/>
    <col min="6409" max="6409" width="35.33203125" style="227" customWidth="1"/>
    <col min="6410" max="6410" width="16.109375" style="227" customWidth="1"/>
    <col min="6411" max="6411" width="9.109375" style="227" bestFit="1" customWidth="1"/>
    <col min="6412" max="6412" width="10.109375" style="227" bestFit="1" customWidth="1"/>
    <col min="6413" max="6413" width="10.77734375" style="227" customWidth="1"/>
    <col min="6414" max="6657" width="8.77734375" style="227"/>
    <col min="6658" max="6658" width="35.21875" style="227" customWidth="1"/>
    <col min="6659" max="6659" width="15.6640625" style="227" customWidth="1"/>
    <col min="6660" max="6660" width="14.77734375" style="227" bestFit="1" customWidth="1"/>
    <col min="6661" max="6661" width="1.6640625" style="227" customWidth="1"/>
    <col min="6662" max="6662" width="15.88671875" style="227" customWidth="1"/>
    <col min="6663" max="6663" width="1.44140625" style="227" customWidth="1"/>
    <col min="6664" max="6664" width="8.77734375" style="227"/>
    <col min="6665" max="6665" width="35.33203125" style="227" customWidth="1"/>
    <col min="6666" max="6666" width="16.109375" style="227" customWidth="1"/>
    <col min="6667" max="6667" width="9.109375" style="227" bestFit="1" customWidth="1"/>
    <col min="6668" max="6668" width="10.109375" style="227" bestFit="1" customWidth="1"/>
    <col min="6669" max="6669" width="10.77734375" style="227" customWidth="1"/>
    <col min="6670" max="6913" width="8.77734375" style="227"/>
    <col min="6914" max="6914" width="35.21875" style="227" customWidth="1"/>
    <col min="6915" max="6915" width="15.6640625" style="227" customWidth="1"/>
    <col min="6916" max="6916" width="14.77734375" style="227" bestFit="1" customWidth="1"/>
    <col min="6917" max="6917" width="1.6640625" style="227" customWidth="1"/>
    <col min="6918" max="6918" width="15.88671875" style="227" customWidth="1"/>
    <col min="6919" max="6919" width="1.44140625" style="227" customWidth="1"/>
    <col min="6920" max="6920" width="8.77734375" style="227"/>
    <col min="6921" max="6921" width="35.33203125" style="227" customWidth="1"/>
    <col min="6922" max="6922" width="16.109375" style="227" customWidth="1"/>
    <col min="6923" max="6923" width="9.109375" style="227" bestFit="1" customWidth="1"/>
    <col min="6924" max="6924" width="10.109375" style="227" bestFit="1" customWidth="1"/>
    <col min="6925" max="6925" width="10.77734375" style="227" customWidth="1"/>
    <col min="6926" max="7169" width="8.77734375" style="227"/>
    <col min="7170" max="7170" width="35.21875" style="227" customWidth="1"/>
    <col min="7171" max="7171" width="15.6640625" style="227" customWidth="1"/>
    <col min="7172" max="7172" width="14.77734375" style="227" bestFit="1" customWidth="1"/>
    <col min="7173" max="7173" width="1.6640625" style="227" customWidth="1"/>
    <col min="7174" max="7174" width="15.88671875" style="227" customWidth="1"/>
    <col min="7175" max="7175" width="1.44140625" style="227" customWidth="1"/>
    <col min="7176" max="7176" width="8.77734375" style="227"/>
    <col min="7177" max="7177" width="35.33203125" style="227" customWidth="1"/>
    <col min="7178" max="7178" width="16.109375" style="227" customWidth="1"/>
    <col min="7179" max="7179" width="9.109375" style="227" bestFit="1" customWidth="1"/>
    <col min="7180" max="7180" width="10.109375" style="227" bestFit="1" customWidth="1"/>
    <col min="7181" max="7181" width="10.77734375" style="227" customWidth="1"/>
    <col min="7182" max="7425" width="8.77734375" style="227"/>
    <col min="7426" max="7426" width="35.21875" style="227" customWidth="1"/>
    <col min="7427" max="7427" width="15.6640625" style="227" customWidth="1"/>
    <col min="7428" max="7428" width="14.77734375" style="227" bestFit="1" customWidth="1"/>
    <col min="7429" max="7429" width="1.6640625" style="227" customWidth="1"/>
    <col min="7430" max="7430" width="15.88671875" style="227" customWidth="1"/>
    <col min="7431" max="7431" width="1.44140625" style="227" customWidth="1"/>
    <col min="7432" max="7432" width="8.77734375" style="227"/>
    <col min="7433" max="7433" width="35.33203125" style="227" customWidth="1"/>
    <col min="7434" max="7434" width="16.109375" style="227" customWidth="1"/>
    <col min="7435" max="7435" width="9.109375" style="227" bestFit="1" customWidth="1"/>
    <col min="7436" max="7436" width="10.109375" style="227" bestFit="1" customWidth="1"/>
    <col min="7437" max="7437" width="10.77734375" style="227" customWidth="1"/>
    <col min="7438" max="7681" width="8.77734375" style="227"/>
    <col min="7682" max="7682" width="35.21875" style="227" customWidth="1"/>
    <col min="7683" max="7683" width="15.6640625" style="227" customWidth="1"/>
    <col min="7684" max="7684" width="14.77734375" style="227" bestFit="1" customWidth="1"/>
    <col min="7685" max="7685" width="1.6640625" style="227" customWidth="1"/>
    <col min="7686" max="7686" width="15.88671875" style="227" customWidth="1"/>
    <col min="7687" max="7687" width="1.44140625" style="227" customWidth="1"/>
    <col min="7688" max="7688" width="8.77734375" style="227"/>
    <col min="7689" max="7689" width="35.33203125" style="227" customWidth="1"/>
    <col min="7690" max="7690" width="16.109375" style="227" customWidth="1"/>
    <col min="7691" max="7691" width="9.109375" style="227" bestFit="1" customWidth="1"/>
    <col min="7692" max="7692" width="10.109375" style="227" bestFit="1" customWidth="1"/>
    <col min="7693" max="7693" width="10.77734375" style="227" customWidth="1"/>
    <col min="7694" max="7937" width="8.77734375" style="227"/>
    <col min="7938" max="7938" width="35.21875" style="227" customWidth="1"/>
    <col min="7939" max="7939" width="15.6640625" style="227" customWidth="1"/>
    <col min="7940" max="7940" width="14.77734375" style="227" bestFit="1" customWidth="1"/>
    <col min="7941" max="7941" width="1.6640625" style="227" customWidth="1"/>
    <col min="7942" max="7942" width="15.88671875" style="227" customWidth="1"/>
    <col min="7943" max="7943" width="1.44140625" style="227" customWidth="1"/>
    <col min="7944" max="7944" width="8.77734375" style="227"/>
    <col min="7945" max="7945" width="35.33203125" style="227" customWidth="1"/>
    <col min="7946" max="7946" width="16.109375" style="227" customWidth="1"/>
    <col min="7947" max="7947" width="9.109375" style="227" bestFit="1" customWidth="1"/>
    <col min="7948" max="7948" width="10.109375" style="227" bestFit="1" customWidth="1"/>
    <col min="7949" max="7949" width="10.77734375" style="227" customWidth="1"/>
    <col min="7950" max="8193" width="8.77734375" style="227"/>
    <col min="8194" max="8194" width="35.21875" style="227" customWidth="1"/>
    <col min="8195" max="8195" width="15.6640625" style="227" customWidth="1"/>
    <col min="8196" max="8196" width="14.77734375" style="227" bestFit="1" customWidth="1"/>
    <col min="8197" max="8197" width="1.6640625" style="227" customWidth="1"/>
    <col min="8198" max="8198" width="15.88671875" style="227" customWidth="1"/>
    <col min="8199" max="8199" width="1.44140625" style="227" customWidth="1"/>
    <col min="8200" max="8200" width="8.77734375" style="227"/>
    <col min="8201" max="8201" width="35.33203125" style="227" customWidth="1"/>
    <col min="8202" max="8202" width="16.109375" style="227" customWidth="1"/>
    <col min="8203" max="8203" width="9.109375" style="227" bestFit="1" customWidth="1"/>
    <col min="8204" max="8204" width="10.109375" style="227" bestFit="1" customWidth="1"/>
    <col min="8205" max="8205" width="10.77734375" style="227" customWidth="1"/>
    <col min="8206" max="8449" width="8.77734375" style="227"/>
    <col min="8450" max="8450" width="35.21875" style="227" customWidth="1"/>
    <col min="8451" max="8451" width="15.6640625" style="227" customWidth="1"/>
    <col min="8452" max="8452" width="14.77734375" style="227" bestFit="1" customWidth="1"/>
    <col min="8453" max="8453" width="1.6640625" style="227" customWidth="1"/>
    <col min="8454" max="8454" width="15.88671875" style="227" customWidth="1"/>
    <col min="8455" max="8455" width="1.44140625" style="227" customWidth="1"/>
    <col min="8456" max="8456" width="8.77734375" style="227"/>
    <col min="8457" max="8457" width="35.33203125" style="227" customWidth="1"/>
    <col min="8458" max="8458" width="16.109375" style="227" customWidth="1"/>
    <col min="8459" max="8459" width="9.109375" style="227" bestFit="1" customWidth="1"/>
    <col min="8460" max="8460" width="10.109375" style="227" bestFit="1" customWidth="1"/>
    <col min="8461" max="8461" width="10.77734375" style="227" customWidth="1"/>
    <col min="8462" max="8705" width="8.77734375" style="227"/>
    <col min="8706" max="8706" width="35.21875" style="227" customWidth="1"/>
    <col min="8707" max="8707" width="15.6640625" style="227" customWidth="1"/>
    <col min="8708" max="8708" width="14.77734375" style="227" bestFit="1" customWidth="1"/>
    <col min="8709" max="8709" width="1.6640625" style="227" customWidth="1"/>
    <col min="8710" max="8710" width="15.88671875" style="227" customWidth="1"/>
    <col min="8711" max="8711" width="1.44140625" style="227" customWidth="1"/>
    <col min="8712" max="8712" width="8.77734375" style="227"/>
    <col min="8713" max="8713" width="35.33203125" style="227" customWidth="1"/>
    <col min="8714" max="8714" width="16.109375" style="227" customWidth="1"/>
    <col min="8715" max="8715" width="9.109375" style="227" bestFit="1" customWidth="1"/>
    <col min="8716" max="8716" width="10.109375" style="227" bestFit="1" customWidth="1"/>
    <col min="8717" max="8717" width="10.77734375" style="227" customWidth="1"/>
    <col min="8718" max="8961" width="8.77734375" style="227"/>
    <col min="8962" max="8962" width="35.21875" style="227" customWidth="1"/>
    <col min="8963" max="8963" width="15.6640625" style="227" customWidth="1"/>
    <col min="8964" max="8964" width="14.77734375" style="227" bestFit="1" customWidth="1"/>
    <col min="8965" max="8965" width="1.6640625" style="227" customWidth="1"/>
    <col min="8966" max="8966" width="15.88671875" style="227" customWidth="1"/>
    <col min="8967" max="8967" width="1.44140625" style="227" customWidth="1"/>
    <col min="8968" max="8968" width="8.77734375" style="227"/>
    <col min="8969" max="8969" width="35.33203125" style="227" customWidth="1"/>
    <col min="8970" max="8970" width="16.109375" style="227" customWidth="1"/>
    <col min="8971" max="8971" width="9.109375" style="227" bestFit="1" customWidth="1"/>
    <col min="8972" max="8972" width="10.109375" style="227" bestFit="1" customWidth="1"/>
    <col min="8973" max="8973" width="10.77734375" style="227" customWidth="1"/>
    <col min="8974" max="9217" width="8.77734375" style="227"/>
    <col min="9218" max="9218" width="35.21875" style="227" customWidth="1"/>
    <col min="9219" max="9219" width="15.6640625" style="227" customWidth="1"/>
    <col min="9220" max="9220" width="14.77734375" style="227" bestFit="1" customWidth="1"/>
    <col min="9221" max="9221" width="1.6640625" style="227" customWidth="1"/>
    <col min="9222" max="9222" width="15.88671875" style="227" customWidth="1"/>
    <col min="9223" max="9223" width="1.44140625" style="227" customWidth="1"/>
    <col min="9224" max="9224" width="8.77734375" style="227"/>
    <col min="9225" max="9225" width="35.33203125" style="227" customWidth="1"/>
    <col min="9226" max="9226" width="16.109375" style="227" customWidth="1"/>
    <col min="9227" max="9227" width="9.109375" style="227" bestFit="1" customWidth="1"/>
    <col min="9228" max="9228" width="10.109375" style="227" bestFit="1" customWidth="1"/>
    <col min="9229" max="9229" width="10.77734375" style="227" customWidth="1"/>
    <col min="9230" max="9473" width="8.77734375" style="227"/>
    <col min="9474" max="9474" width="35.21875" style="227" customWidth="1"/>
    <col min="9475" max="9475" width="15.6640625" style="227" customWidth="1"/>
    <col min="9476" max="9476" width="14.77734375" style="227" bestFit="1" customWidth="1"/>
    <col min="9477" max="9477" width="1.6640625" style="227" customWidth="1"/>
    <col min="9478" max="9478" width="15.88671875" style="227" customWidth="1"/>
    <col min="9479" max="9479" width="1.44140625" style="227" customWidth="1"/>
    <col min="9480" max="9480" width="8.77734375" style="227"/>
    <col min="9481" max="9481" width="35.33203125" style="227" customWidth="1"/>
    <col min="9482" max="9482" width="16.109375" style="227" customWidth="1"/>
    <col min="9483" max="9483" width="9.109375" style="227" bestFit="1" customWidth="1"/>
    <col min="9484" max="9484" width="10.109375" style="227" bestFit="1" customWidth="1"/>
    <col min="9485" max="9485" width="10.77734375" style="227" customWidth="1"/>
    <col min="9486" max="9729" width="8.77734375" style="227"/>
    <col min="9730" max="9730" width="35.21875" style="227" customWidth="1"/>
    <col min="9731" max="9731" width="15.6640625" style="227" customWidth="1"/>
    <col min="9732" max="9732" width="14.77734375" style="227" bestFit="1" customWidth="1"/>
    <col min="9733" max="9733" width="1.6640625" style="227" customWidth="1"/>
    <col min="9734" max="9734" width="15.88671875" style="227" customWidth="1"/>
    <col min="9735" max="9735" width="1.44140625" style="227" customWidth="1"/>
    <col min="9736" max="9736" width="8.77734375" style="227"/>
    <col min="9737" max="9737" width="35.33203125" style="227" customWidth="1"/>
    <col min="9738" max="9738" width="16.109375" style="227" customWidth="1"/>
    <col min="9739" max="9739" width="9.109375" style="227" bestFit="1" customWidth="1"/>
    <col min="9740" max="9740" width="10.109375" style="227" bestFit="1" customWidth="1"/>
    <col min="9741" max="9741" width="10.77734375" style="227" customWidth="1"/>
    <col min="9742" max="9985" width="8.77734375" style="227"/>
    <col min="9986" max="9986" width="35.21875" style="227" customWidth="1"/>
    <col min="9987" max="9987" width="15.6640625" style="227" customWidth="1"/>
    <col min="9988" max="9988" width="14.77734375" style="227" bestFit="1" customWidth="1"/>
    <col min="9989" max="9989" width="1.6640625" style="227" customWidth="1"/>
    <col min="9990" max="9990" width="15.88671875" style="227" customWidth="1"/>
    <col min="9991" max="9991" width="1.44140625" style="227" customWidth="1"/>
    <col min="9992" max="9992" width="8.77734375" style="227"/>
    <col min="9993" max="9993" width="35.33203125" style="227" customWidth="1"/>
    <col min="9994" max="9994" width="16.109375" style="227" customWidth="1"/>
    <col min="9995" max="9995" width="9.109375" style="227" bestFit="1" customWidth="1"/>
    <col min="9996" max="9996" width="10.109375" style="227" bestFit="1" customWidth="1"/>
    <col min="9997" max="9997" width="10.77734375" style="227" customWidth="1"/>
    <col min="9998" max="10241" width="8.77734375" style="227"/>
    <col min="10242" max="10242" width="35.21875" style="227" customWidth="1"/>
    <col min="10243" max="10243" width="15.6640625" style="227" customWidth="1"/>
    <col min="10244" max="10244" width="14.77734375" style="227" bestFit="1" customWidth="1"/>
    <col min="10245" max="10245" width="1.6640625" style="227" customWidth="1"/>
    <col min="10246" max="10246" width="15.88671875" style="227" customWidth="1"/>
    <col min="10247" max="10247" width="1.44140625" style="227" customWidth="1"/>
    <col min="10248" max="10248" width="8.77734375" style="227"/>
    <col min="10249" max="10249" width="35.33203125" style="227" customWidth="1"/>
    <col min="10250" max="10250" width="16.109375" style="227" customWidth="1"/>
    <col min="10251" max="10251" width="9.109375" style="227" bestFit="1" customWidth="1"/>
    <col min="10252" max="10252" width="10.109375" style="227" bestFit="1" customWidth="1"/>
    <col min="10253" max="10253" width="10.77734375" style="227" customWidth="1"/>
    <col min="10254" max="10497" width="8.77734375" style="227"/>
    <col min="10498" max="10498" width="35.21875" style="227" customWidth="1"/>
    <col min="10499" max="10499" width="15.6640625" style="227" customWidth="1"/>
    <col min="10500" max="10500" width="14.77734375" style="227" bestFit="1" customWidth="1"/>
    <col min="10501" max="10501" width="1.6640625" style="227" customWidth="1"/>
    <col min="10502" max="10502" width="15.88671875" style="227" customWidth="1"/>
    <col min="10503" max="10503" width="1.44140625" style="227" customWidth="1"/>
    <col min="10504" max="10504" width="8.77734375" style="227"/>
    <col min="10505" max="10505" width="35.33203125" style="227" customWidth="1"/>
    <col min="10506" max="10506" width="16.109375" style="227" customWidth="1"/>
    <col min="10507" max="10507" width="9.109375" style="227" bestFit="1" customWidth="1"/>
    <col min="10508" max="10508" width="10.109375" style="227" bestFit="1" customWidth="1"/>
    <col min="10509" max="10509" width="10.77734375" style="227" customWidth="1"/>
    <col min="10510" max="10753" width="8.77734375" style="227"/>
    <col min="10754" max="10754" width="35.21875" style="227" customWidth="1"/>
    <col min="10755" max="10755" width="15.6640625" style="227" customWidth="1"/>
    <col min="10756" max="10756" width="14.77734375" style="227" bestFit="1" customWidth="1"/>
    <col min="10757" max="10757" width="1.6640625" style="227" customWidth="1"/>
    <col min="10758" max="10758" width="15.88671875" style="227" customWidth="1"/>
    <col min="10759" max="10759" width="1.44140625" style="227" customWidth="1"/>
    <col min="10760" max="10760" width="8.77734375" style="227"/>
    <col min="10761" max="10761" width="35.33203125" style="227" customWidth="1"/>
    <col min="10762" max="10762" width="16.109375" style="227" customWidth="1"/>
    <col min="10763" max="10763" width="9.109375" style="227" bestFit="1" customWidth="1"/>
    <col min="10764" max="10764" width="10.109375" style="227" bestFit="1" customWidth="1"/>
    <col min="10765" max="10765" width="10.77734375" style="227" customWidth="1"/>
    <col min="10766" max="11009" width="8.77734375" style="227"/>
    <col min="11010" max="11010" width="35.21875" style="227" customWidth="1"/>
    <col min="11011" max="11011" width="15.6640625" style="227" customWidth="1"/>
    <col min="11012" max="11012" width="14.77734375" style="227" bestFit="1" customWidth="1"/>
    <col min="11013" max="11013" width="1.6640625" style="227" customWidth="1"/>
    <col min="11014" max="11014" width="15.88671875" style="227" customWidth="1"/>
    <col min="11015" max="11015" width="1.44140625" style="227" customWidth="1"/>
    <col min="11016" max="11016" width="8.77734375" style="227"/>
    <col min="11017" max="11017" width="35.33203125" style="227" customWidth="1"/>
    <col min="11018" max="11018" width="16.109375" style="227" customWidth="1"/>
    <col min="11019" max="11019" width="9.109375" style="227" bestFit="1" customWidth="1"/>
    <col min="11020" max="11020" width="10.109375" style="227" bestFit="1" customWidth="1"/>
    <col min="11021" max="11021" width="10.77734375" style="227" customWidth="1"/>
    <col min="11022" max="11265" width="8.77734375" style="227"/>
    <col min="11266" max="11266" width="35.21875" style="227" customWidth="1"/>
    <col min="11267" max="11267" width="15.6640625" style="227" customWidth="1"/>
    <col min="11268" max="11268" width="14.77734375" style="227" bestFit="1" customWidth="1"/>
    <col min="11269" max="11269" width="1.6640625" style="227" customWidth="1"/>
    <col min="11270" max="11270" width="15.88671875" style="227" customWidth="1"/>
    <col min="11271" max="11271" width="1.44140625" style="227" customWidth="1"/>
    <col min="11272" max="11272" width="8.77734375" style="227"/>
    <col min="11273" max="11273" width="35.33203125" style="227" customWidth="1"/>
    <col min="11274" max="11274" width="16.109375" style="227" customWidth="1"/>
    <col min="11275" max="11275" width="9.109375" style="227" bestFit="1" customWidth="1"/>
    <col min="11276" max="11276" width="10.109375" style="227" bestFit="1" customWidth="1"/>
    <col min="11277" max="11277" width="10.77734375" style="227" customWidth="1"/>
    <col min="11278" max="11521" width="8.77734375" style="227"/>
    <col min="11522" max="11522" width="35.21875" style="227" customWidth="1"/>
    <col min="11523" max="11523" width="15.6640625" style="227" customWidth="1"/>
    <col min="11524" max="11524" width="14.77734375" style="227" bestFit="1" customWidth="1"/>
    <col min="11525" max="11525" width="1.6640625" style="227" customWidth="1"/>
    <col min="11526" max="11526" width="15.88671875" style="227" customWidth="1"/>
    <col min="11527" max="11527" width="1.44140625" style="227" customWidth="1"/>
    <col min="11528" max="11528" width="8.77734375" style="227"/>
    <col min="11529" max="11529" width="35.33203125" style="227" customWidth="1"/>
    <col min="11530" max="11530" width="16.109375" style="227" customWidth="1"/>
    <col min="11531" max="11531" width="9.109375" style="227" bestFit="1" customWidth="1"/>
    <col min="11532" max="11532" width="10.109375" style="227" bestFit="1" customWidth="1"/>
    <col min="11533" max="11533" width="10.77734375" style="227" customWidth="1"/>
    <col min="11534" max="11777" width="8.77734375" style="227"/>
    <col min="11778" max="11778" width="35.21875" style="227" customWidth="1"/>
    <col min="11779" max="11779" width="15.6640625" style="227" customWidth="1"/>
    <col min="11780" max="11780" width="14.77734375" style="227" bestFit="1" customWidth="1"/>
    <col min="11781" max="11781" width="1.6640625" style="227" customWidth="1"/>
    <col min="11782" max="11782" width="15.88671875" style="227" customWidth="1"/>
    <col min="11783" max="11783" width="1.44140625" style="227" customWidth="1"/>
    <col min="11784" max="11784" width="8.77734375" style="227"/>
    <col min="11785" max="11785" width="35.33203125" style="227" customWidth="1"/>
    <col min="11786" max="11786" width="16.109375" style="227" customWidth="1"/>
    <col min="11787" max="11787" width="9.109375" style="227" bestFit="1" customWidth="1"/>
    <col min="11788" max="11788" width="10.109375" style="227" bestFit="1" customWidth="1"/>
    <col min="11789" max="11789" width="10.77734375" style="227" customWidth="1"/>
    <col min="11790" max="12033" width="8.77734375" style="227"/>
    <col min="12034" max="12034" width="35.21875" style="227" customWidth="1"/>
    <col min="12035" max="12035" width="15.6640625" style="227" customWidth="1"/>
    <col min="12036" max="12036" width="14.77734375" style="227" bestFit="1" customWidth="1"/>
    <col min="12037" max="12037" width="1.6640625" style="227" customWidth="1"/>
    <col min="12038" max="12038" width="15.88671875" style="227" customWidth="1"/>
    <col min="12039" max="12039" width="1.44140625" style="227" customWidth="1"/>
    <col min="12040" max="12040" width="8.77734375" style="227"/>
    <col min="12041" max="12041" width="35.33203125" style="227" customWidth="1"/>
    <col min="12042" max="12042" width="16.109375" style="227" customWidth="1"/>
    <col min="12043" max="12043" width="9.109375" style="227" bestFit="1" customWidth="1"/>
    <col min="12044" max="12044" width="10.109375" style="227" bestFit="1" customWidth="1"/>
    <col min="12045" max="12045" width="10.77734375" style="227" customWidth="1"/>
    <col min="12046" max="12289" width="8.77734375" style="227"/>
    <col min="12290" max="12290" width="35.21875" style="227" customWidth="1"/>
    <col min="12291" max="12291" width="15.6640625" style="227" customWidth="1"/>
    <col min="12292" max="12292" width="14.77734375" style="227" bestFit="1" customWidth="1"/>
    <col min="12293" max="12293" width="1.6640625" style="227" customWidth="1"/>
    <col min="12294" max="12294" width="15.88671875" style="227" customWidth="1"/>
    <col min="12295" max="12295" width="1.44140625" style="227" customWidth="1"/>
    <col min="12296" max="12296" width="8.77734375" style="227"/>
    <col min="12297" max="12297" width="35.33203125" style="227" customWidth="1"/>
    <col min="12298" max="12298" width="16.109375" style="227" customWidth="1"/>
    <col min="12299" max="12299" width="9.109375" style="227" bestFit="1" customWidth="1"/>
    <col min="12300" max="12300" width="10.109375" style="227" bestFit="1" customWidth="1"/>
    <col min="12301" max="12301" width="10.77734375" style="227" customWidth="1"/>
    <col min="12302" max="12545" width="8.77734375" style="227"/>
    <col min="12546" max="12546" width="35.21875" style="227" customWidth="1"/>
    <col min="12547" max="12547" width="15.6640625" style="227" customWidth="1"/>
    <col min="12548" max="12548" width="14.77734375" style="227" bestFit="1" customWidth="1"/>
    <col min="12549" max="12549" width="1.6640625" style="227" customWidth="1"/>
    <col min="12550" max="12550" width="15.88671875" style="227" customWidth="1"/>
    <col min="12551" max="12551" width="1.44140625" style="227" customWidth="1"/>
    <col min="12552" max="12552" width="8.77734375" style="227"/>
    <col min="12553" max="12553" width="35.33203125" style="227" customWidth="1"/>
    <col min="12554" max="12554" width="16.109375" style="227" customWidth="1"/>
    <col min="12555" max="12555" width="9.109375" style="227" bestFit="1" customWidth="1"/>
    <col min="12556" max="12556" width="10.109375" style="227" bestFit="1" customWidth="1"/>
    <col min="12557" max="12557" width="10.77734375" style="227" customWidth="1"/>
    <col min="12558" max="12801" width="8.77734375" style="227"/>
    <col min="12802" max="12802" width="35.21875" style="227" customWidth="1"/>
    <col min="12803" max="12803" width="15.6640625" style="227" customWidth="1"/>
    <col min="12804" max="12804" width="14.77734375" style="227" bestFit="1" customWidth="1"/>
    <col min="12805" max="12805" width="1.6640625" style="227" customWidth="1"/>
    <col min="12806" max="12806" width="15.88671875" style="227" customWidth="1"/>
    <col min="12807" max="12807" width="1.44140625" style="227" customWidth="1"/>
    <col min="12808" max="12808" width="8.77734375" style="227"/>
    <col min="12809" max="12809" width="35.33203125" style="227" customWidth="1"/>
    <col min="12810" max="12810" width="16.109375" style="227" customWidth="1"/>
    <col min="12811" max="12811" width="9.109375" style="227" bestFit="1" customWidth="1"/>
    <col min="12812" max="12812" width="10.109375" style="227" bestFit="1" customWidth="1"/>
    <col min="12813" max="12813" width="10.77734375" style="227" customWidth="1"/>
    <col min="12814" max="13057" width="8.77734375" style="227"/>
    <col min="13058" max="13058" width="35.21875" style="227" customWidth="1"/>
    <col min="13059" max="13059" width="15.6640625" style="227" customWidth="1"/>
    <col min="13060" max="13060" width="14.77734375" style="227" bestFit="1" customWidth="1"/>
    <col min="13061" max="13061" width="1.6640625" style="227" customWidth="1"/>
    <col min="13062" max="13062" width="15.88671875" style="227" customWidth="1"/>
    <col min="13063" max="13063" width="1.44140625" style="227" customWidth="1"/>
    <col min="13064" max="13064" width="8.77734375" style="227"/>
    <col min="13065" max="13065" width="35.33203125" style="227" customWidth="1"/>
    <col min="13066" max="13066" width="16.109375" style="227" customWidth="1"/>
    <col min="13067" max="13067" width="9.109375" style="227" bestFit="1" customWidth="1"/>
    <col min="13068" max="13068" width="10.109375" style="227" bestFit="1" customWidth="1"/>
    <col min="13069" max="13069" width="10.77734375" style="227" customWidth="1"/>
    <col min="13070" max="13313" width="8.77734375" style="227"/>
    <col min="13314" max="13314" width="35.21875" style="227" customWidth="1"/>
    <col min="13315" max="13315" width="15.6640625" style="227" customWidth="1"/>
    <col min="13316" max="13316" width="14.77734375" style="227" bestFit="1" customWidth="1"/>
    <col min="13317" max="13317" width="1.6640625" style="227" customWidth="1"/>
    <col min="13318" max="13318" width="15.88671875" style="227" customWidth="1"/>
    <col min="13319" max="13319" width="1.44140625" style="227" customWidth="1"/>
    <col min="13320" max="13320" width="8.77734375" style="227"/>
    <col min="13321" max="13321" width="35.33203125" style="227" customWidth="1"/>
    <col min="13322" max="13322" width="16.109375" style="227" customWidth="1"/>
    <col min="13323" max="13323" width="9.109375" style="227" bestFit="1" customWidth="1"/>
    <col min="13324" max="13324" width="10.109375" style="227" bestFit="1" customWidth="1"/>
    <col min="13325" max="13325" width="10.77734375" style="227" customWidth="1"/>
    <col min="13326" max="13569" width="8.77734375" style="227"/>
    <col min="13570" max="13570" width="35.21875" style="227" customWidth="1"/>
    <col min="13571" max="13571" width="15.6640625" style="227" customWidth="1"/>
    <col min="13572" max="13572" width="14.77734375" style="227" bestFit="1" customWidth="1"/>
    <col min="13573" max="13573" width="1.6640625" style="227" customWidth="1"/>
    <col min="13574" max="13574" width="15.88671875" style="227" customWidth="1"/>
    <col min="13575" max="13575" width="1.44140625" style="227" customWidth="1"/>
    <col min="13576" max="13576" width="8.77734375" style="227"/>
    <col min="13577" max="13577" width="35.33203125" style="227" customWidth="1"/>
    <col min="13578" max="13578" width="16.109375" style="227" customWidth="1"/>
    <col min="13579" max="13579" width="9.109375" style="227" bestFit="1" customWidth="1"/>
    <col min="13580" max="13580" width="10.109375" style="227" bestFit="1" customWidth="1"/>
    <col min="13581" max="13581" width="10.77734375" style="227" customWidth="1"/>
    <col min="13582" max="13825" width="8.77734375" style="227"/>
    <col min="13826" max="13826" width="35.21875" style="227" customWidth="1"/>
    <col min="13827" max="13827" width="15.6640625" style="227" customWidth="1"/>
    <col min="13828" max="13828" width="14.77734375" style="227" bestFit="1" customWidth="1"/>
    <col min="13829" max="13829" width="1.6640625" style="227" customWidth="1"/>
    <col min="13830" max="13830" width="15.88671875" style="227" customWidth="1"/>
    <col min="13831" max="13831" width="1.44140625" style="227" customWidth="1"/>
    <col min="13832" max="13832" width="8.77734375" style="227"/>
    <col min="13833" max="13833" width="35.33203125" style="227" customWidth="1"/>
    <col min="13834" max="13834" width="16.109375" style="227" customWidth="1"/>
    <col min="13835" max="13835" width="9.109375" style="227" bestFit="1" customWidth="1"/>
    <col min="13836" max="13836" width="10.109375" style="227" bestFit="1" customWidth="1"/>
    <col min="13837" max="13837" width="10.77734375" style="227" customWidth="1"/>
    <col min="13838" max="14081" width="8.77734375" style="227"/>
    <col min="14082" max="14082" width="35.21875" style="227" customWidth="1"/>
    <col min="14083" max="14083" width="15.6640625" style="227" customWidth="1"/>
    <col min="14084" max="14084" width="14.77734375" style="227" bestFit="1" customWidth="1"/>
    <col min="14085" max="14085" width="1.6640625" style="227" customWidth="1"/>
    <col min="14086" max="14086" width="15.88671875" style="227" customWidth="1"/>
    <col min="14087" max="14087" width="1.44140625" style="227" customWidth="1"/>
    <col min="14088" max="14088" width="8.77734375" style="227"/>
    <col min="14089" max="14089" width="35.33203125" style="227" customWidth="1"/>
    <col min="14090" max="14090" width="16.109375" style="227" customWidth="1"/>
    <col min="14091" max="14091" width="9.109375" style="227" bestFit="1" customWidth="1"/>
    <col min="14092" max="14092" width="10.109375" style="227" bestFit="1" customWidth="1"/>
    <col min="14093" max="14093" width="10.77734375" style="227" customWidth="1"/>
    <col min="14094" max="14337" width="8.77734375" style="227"/>
    <col min="14338" max="14338" width="35.21875" style="227" customWidth="1"/>
    <col min="14339" max="14339" width="15.6640625" style="227" customWidth="1"/>
    <col min="14340" max="14340" width="14.77734375" style="227" bestFit="1" customWidth="1"/>
    <col min="14341" max="14341" width="1.6640625" style="227" customWidth="1"/>
    <col min="14342" max="14342" width="15.88671875" style="227" customWidth="1"/>
    <col min="14343" max="14343" width="1.44140625" style="227" customWidth="1"/>
    <col min="14344" max="14344" width="8.77734375" style="227"/>
    <col min="14345" max="14345" width="35.33203125" style="227" customWidth="1"/>
    <col min="14346" max="14346" width="16.109375" style="227" customWidth="1"/>
    <col min="14347" max="14347" width="9.109375" style="227" bestFit="1" customWidth="1"/>
    <col min="14348" max="14348" width="10.109375" style="227" bestFit="1" customWidth="1"/>
    <col min="14349" max="14349" width="10.77734375" style="227" customWidth="1"/>
    <col min="14350" max="14593" width="8.77734375" style="227"/>
    <col min="14594" max="14594" width="35.21875" style="227" customWidth="1"/>
    <col min="14595" max="14595" width="15.6640625" style="227" customWidth="1"/>
    <col min="14596" max="14596" width="14.77734375" style="227" bestFit="1" customWidth="1"/>
    <col min="14597" max="14597" width="1.6640625" style="227" customWidth="1"/>
    <col min="14598" max="14598" width="15.88671875" style="227" customWidth="1"/>
    <col min="14599" max="14599" width="1.44140625" style="227" customWidth="1"/>
    <col min="14600" max="14600" width="8.77734375" style="227"/>
    <col min="14601" max="14601" width="35.33203125" style="227" customWidth="1"/>
    <col min="14602" max="14602" width="16.109375" style="227" customWidth="1"/>
    <col min="14603" max="14603" width="9.109375" style="227" bestFit="1" customWidth="1"/>
    <col min="14604" max="14604" width="10.109375" style="227" bestFit="1" customWidth="1"/>
    <col min="14605" max="14605" width="10.77734375" style="227" customWidth="1"/>
    <col min="14606" max="14849" width="8.77734375" style="227"/>
    <col min="14850" max="14850" width="35.21875" style="227" customWidth="1"/>
    <col min="14851" max="14851" width="15.6640625" style="227" customWidth="1"/>
    <col min="14852" max="14852" width="14.77734375" style="227" bestFit="1" customWidth="1"/>
    <col min="14853" max="14853" width="1.6640625" style="227" customWidth="1"/>
    <col min="14854" max="14854" width="15.88671875" style="227" customWidth="1"/>
    <col min="14855" max="14855" width="1.44140625" style="227" customWidth="1"/>
    <col min="14856" max="14856" width="8.77734375" style="227"/>
    <col min="14857" max="14857" width="35.33203125" style="227" customWidth="1"/>
    <col min="14858" max="14858" width="16.109375" style="227" customWidth="1"/>
    <col min="14859" max="14859" width="9.109375" style="227" bestFit="1" customWidth="1"/>
    <col min="14860" max="14860" width="10.109375" style="227" bestFit="1" customWidth="1"/>
    <col min="14861" max="14861" width="10.77734375" style="227" customWidth="1"/>
    <col min="14862" max="15105" width="8.77734375" style="227"/>
    <col min="15106" max="15106" width="35.21875" style="227" customWidth="1"/>
    <col min="15107" max="15107" width="15.6640625" style="227" customWidth="1"/>
    <col min="15108" max="15108" width="14.77734375" style="227" bestFit="1" customWidth="1"/>
    <col min="15109" max="15109" width="1.6640625" style="227" customWidth="1"/>
    <col min="15110" max="15110" width="15.88671875" style="227" customWidth="1"/>
    <col min="15111" max="15111" width="1.44140625" style="227" customWidth="1"/>
    <col min="15112" max="15112" width="8.77734375" style="227"/>
    <col min="15113" max="15113" width="35.33203125" style="227" customWidth="1"/>
    <col min="15114" max="15114" width="16.109375" style="227" customWidth="1"/>
    <col min="15115" max="15115" width="9.109375" style="227" bestFit="1" customWidth="1"/>
    <col min="15116" max="15116" width="10.109375" style="227" bestFit="1" customWidth="1"/>
    <col min="15117" max="15117" width="10.77734375" style="227" customWidth="1"/>
    <col min="15118" max="15361" width="8.77734375" style="227"/>
    <col min="15362" max="15362" width="35.21875" style="227" customWidth="1"/>
    <col min="15363" max="15363" width="15.6640625" style="227" customWidth="1"/>
    <col min="15364" max="15364" width="14.77734375" style="227" bestFit="1" customWidth="1"/>
    <col min="15365" max="15365" width="1.6640625" style="227" customWidth="1"/>
    <col min="15366" max="15366" width="15.88671875" style="227" customWidth="1"/>
    <col min="15367" max="15367" width="1.44140625" style="227" customWidth="1"/>
    <col min="15368" max="15368" width="8.77734375" style="227"/>
    <col min="15369" max="15369" width="35.33203125" style="227" customWidth="1"/>
    <col min="15370" max="15370" width="16.109375" style="227" customWidth="1"/>
    <col min="15371" max="15371" width="9.109375" style="227" bestFit="1" customWidth="1"/>
    <col min="15372" max="15372" width="10.109375" style="227" bestFit="1" customWidth="1"/>
    <col min="15373" max="15373" width="10.77734375" style="227" customWidth="1"/>
    <col min="15374" max="15617" width="8.77734375" style="227"/>
    <col min="15618" max="15618" width="35.21875" style="227" customWidth="1"/>
    <col min="15619" max="15619" width="15.6640625" style="227" customWidth="1"/>
    <col min="15620" max="15620" width="14.77734375" style="227" bestFit="1" customWidth="1"/>
    <col min="15621" max="15621" width="1.6640625" style="227" customWidth="1"/>
    <col min="15622" max="15622" width="15.88671875" style="227" customWidth="1"/>
    <col min="15623" max="15623" width="1.44140625" style="227" customWidth="1"/>
    <col min="15624" max="15624" width="8.77734375" style="227"/>
    <col min="15625" max="15625" width="35.33203125" style="227" customWidth="1"/>
    <col min="15626" max="15626" width="16.109375" style="227" customWidth="1"/>
    <col min="15627" max="15627" width="9.109375" style="227" bestFit="1" customWidth="1"/>
    <col min="15628" max="15628" width="10.109375" style="227" bestFit="1" customWidth="1"/>
    <col min="15629" max="15629" width="10.77734375" style="227" customWidth="1"/>
    <col min="15630" max="15873" width="8.77734375" style="227"/>
    <col min="15874" max="15874" width="35.21875" style="227" customWidth="1"/>
    <col min="15875" max="15875" width="15.6640625" style="227" customWidth="1"/>
    <col min="15876" max="15876" width="14.77734375" style="227" bestFit="1" customWidth="1"/>
    <col min="15877" max="15877" width="1.6640625" style="227" customWidth="1"/>
    <col min="15878" max="15878" width="15.88671875" style="227" customWidth="1"/>
    <col min="15879" max="15879" width="1.44140625" style="227" customWidth="1"/>
    <col min="15880" max="15880" width="8.77734375" style="227"/>
    <col min="15881" max="15881" width="35.33203125" style="227" customWidth="1"/>
    <col min="15882" max="15882" width="16.109375" style="227" customWidth="1"/>
    <col min="15883" max="15883" width="9.109375" style="227" bestFit="1" customWidth="1"/>
    <col min="15884" max="15884" width="10.109375" style="227" bestFit="1" customWidth="1"/>
    <col min="15885" max="15885" width="10.77734375" style="227" customWidth="1"/>
    <col min="15886" max="16129" width="8.77734375" style="227"/>
    <col min="16130" max="16130" width="35.21875" style="227" customWidth="1"/>
    <col min="16131" max="16131" width="15.6640625" style="227" customWidth="1"/>
    <col min="16132" max="16132" width="14.77734375" style="227" bestFit="1" customWidth="1"/>
    <col min="16133" max="16133" width="1.6640625" style="227" customWidth="1"/>
    <col min="16134" max="16134" width="15.88671875" style="227" customWidth="1"/>
    <col min="16135" max="16135" width="1.44140625" style="227" customWidth="1"/>
    <col min="16136" max="16136" width="8.77734375" style="227"/>
    <col min="16137" max="16137" width="35.33203125" style="227" customWidth="1"/>
    <col min="16138" max="16138" width="16.109375" style="227" customWidth="1"/>
    <col min="16139" max="16139" width="9.109375" style="227" bestFit="1" customWidth="1"/>
    <col min="16140" max="16140" width="10.109375" style="227" bestFit="1" customWidth="1"/>
    <col min="16141" max="16141" width="10.77734375" style="227" customWidth="1"/>
    <col min="16142" max="16384" width="8.77734375" style="227"/>
  </cols>
  <sheetData>
    <row r="1" spans="1:8">
      <c r="A1" s="926" t="s">
        <v>531</v>
      </c>
      <c r="B1" s="926"/>
      <c r="C1" s="926"/>
      <c r="D1" s="926"/>
      <c r="E1" s="926"/>
      <c r="F1" s="926"/>
      <c r="G1" s="926"/>
      <c r="H1" s="926"/>
    </row>
    <row r="2" spans="1:8">
      <c r="A2" s="942" t="s">
        <v>794</v>
      </c>
      <c r="B2" s="942"/>
      <c r="C2" s="942"/>
      <c r="D2" s="942"/>
      <c r="E2" s="942"/>
      <c r="F2" s="942"/>
      <c r="G2" s="942"/>
      <c r="H2" s="942"/>
    </row>
    <row r="3" spans="1:8">
      <c r="A3" s="943" t="str">
        <f>+'Attachment H-26'!D5</f>
        <v>Transource West Virginia, LLC</v>
      </c>
      <c r="B3" s="943"/>
      <c r="C3" s="943"/>
      <c r="D3" s="943"/>
      <c r="E3" s="943"/>
      <c r="F3" s="943"/>
      <c r="G3" s="943"/>
      <c r="H3" s="943"/>
    </row>
    <row r="4" spans="1:8">
      <c r="A4" s="726"/>
      <c r="F4" s="727"/>
    </row>
    <row r="5" spans="1:8">
      <c r="A5" s="726"/>
    </row>
    <row r="6" spans="1:8">
      <c r="A6" s="726"/>
    </row>
    <row r="7" spans="1:8">
      <c r="A7" s="728"/>
      <c r="B7" s="729"/>
      <c r="C7" s="728"/>
      <c r="D7" s="757" t="s">
        <v>196</v>
      </c>
      <c r="E7" s="728"/>
      <c r="F7" s="757" t="s">
        <v>197</v>
      </c>
      <c r="G7" s="728"/>
    </row>
    <row r="8" spans="1:8">
      <c r="F8" s="730" t="s">
        <v>527</v>
      </c>
      <c r="G8" s="731"/>
    </row>
    <row r="9" spans="1:8">
      <c r="D9" s="732" t="s">
        <v>302</v>
      </c>
      <c r="F9" s="809"/>
    </row>
    <row r="10" spans="1:8">
      <c r="A10" s="732" t="s">
        <v>8</v>
      </c>
      <c r="D10" s="732" t="s">
        <v>528</v>
      </c>
      <c r="F10" s="732" t="s">
        <v>302</v>
      </c>
    </row>
    <row r="11" spans="1:8">
      <c r="A11" s="733" t="s">
        <v>10</v>
      </c>
      <c r="B11" s="734" t="s">
        <v>514</v>
      </c>
      <c r="C11" s="733" t="s">
        <v>205</v>
      </c>
      <c r="D11" s="733" t="s">
        <v>518</v>
      </c>
      <c r="F11" s="733" t="s">
        <v>331</v>
      </c>
    </row>
    <row r="12" spans="1:8">
      <c r="F12" s="733"/>
    </row>
    <row r="13" spans="1:8">
      <c r="A13" s="735">
        <v>1</v>
      </c>
      <c r="B13" s="736" t="s">
        <v>532</v>
      </c>
      <c r="D13" s="263"/>
      <c r="E13" s="263"/>
      <c r="F13" s="737">
        <v>0</v>
      </c>
    </row>
    <row r="14" spans="1:8">
      <c r="A14" s="735">
        <f>+A13+1</f>
        <v>2</v>
      </c>
      <c r="B14" s="227" t="s">
        <v>730</v>
      </c>
      <c r="D14" s="263"/>
      <c r="E14" s="263"/>
      <c r="F14" s="737">
        <v>0</v>
      </c>
    </row>
    <row r="15" spans="1:8">
      <c r="A15" s="735">
        <f t="shared" ref="A15:A30" si="0">+A14+1</f>
        <v>3</v>
      </c>
      <c r="D15" s="738"/>
      <c r="E15" s="738"/>
      <c r="F15" s="738"/>
    </row>
    <row r="16" spans="1:8" ht="21.6" customHeight="1">
      <c r="A16" s="735">
        <f t="shared" si="0"/>
        <v>4</v>
      </c>
      <c r="B16" s="739" t="s">
        <v>533</v>
      </c>
      <c r="D16"/>
      <c r="E16" s="263"/>
      <c r="F16" s="740"/>
    </row>
    <row r="17" spans="1:14">
      <c r="A17" s="735">
        <f t="shared" si="0"/>
        <v>5</v>
      </c>
      <c r="B17" s="739" t="s">
        <v>534</v>
      </c>
      <c r="D17"/>
      <c r="E17" s="263"/>
      <c r="F17" s="737">
        <v>0</v>
      </c>
    </row>
    <row r="18" spans="1:14">
      <c r="A18" s="735">
        <f t="shared" si="0"/>
        <v>6</v>
      </c>
      <c r="D18"/>
      <c r="E18" s="263"/>
      <c r="F18" s="263"/>
    </row>
    <row r="19" spans="1:14">
      <c r="A19" s="735">
        <f t="shared" si="0"/>
        <v>7</v>
      </c>
      <c r="B19" s="227" t="s">
        <v>535</v>
      </c>
      <c r="C19" s="227" t="s">
        <v>732</v>
      </c>
      <c r="D19"/>
      <c r="E19" s="263"/>
      <c r="F19" s="741">
        <f>+F16+F17</f>
        <v>0</v>
      </c>
    </row>
    <row r="20" spans="1:14">
      <c r="A20" s="735">
        <f t="shared" si="0"/>
        <v>8</v>
      </c>
      <c r="D20" s="263"/>
      <c r="E20" s="263"/>
      <c r="F20" s="263"/>
      <c r="I20" s="742"/>
      <c r="J20" s="743"/>
      <c r="K20" s="743"/>
      <c r="L20" s="743"/>
      <c r="M20" s="743"/>
      <c r="N20" s="743"/>
    </row>
    <row r="21" spans="1:14">
      <c r="A21" s="735">
        <f t="shared" si="0"/>
        <v>9</v>
      </c>
      <c r="B21" s="227" t="s">
        <v>529</v>
      </c>
      <c r="C21" s="227" t="s">
        <v>733</v>
      </c>
      <c r="D21" s="263"/>
      <c r="E21" s="263"/>
      <c r="F21" s="263">
        <f>+F14+F19</f>
        <v>0</v>
      </c>
    </row>
    <row r="22" spans="1:14">
      <c r="A22" s="735">
        <f t="shared" si="0"/>
        <v>10</v>
      </c>
      <c r="D22" s="263"/>
      <c r="E22" s="263"/>
      <c r="F22" s="263"/>
    </row>
    <row r="23" spans="1:14">
      <c r="A23" s="735">
        <f t="shared" si="0"/>
        <v>11</v>
      </c>
      <c r="D23" s="263"/>
      <c r="E23" s="263"/>
      <c r="F23" s="263"/>
    </row>
    <row r="24" spans="1:14">
      <c r="A24" s="735">
        <f t="shared" si="0"/>
        <v>12</v>
      </c>
      <c r="B24" s="227" t="s">
        <v>535</v>
      </c>
      <c r="C24" s="227" t="s">
        <v>731</v>
      </c>
      <c r="D24" s="263"/>
      <c r="E24" s="263"/>
      <c r="F24" s="263">
        <f>+F19</f>
        <v>0</v>
      </c>
    </row>
    <row r="25" spans="1:14">
      <c r="A25" s="735">
        <f t="shared" si="0"/>
        <v>13</v>
      </c>
    </row>
    <row r="26" spans="1:14">
      <c r="A26" s="735">
        <f t="shared" si="0"/>
        <v>14</v>
      </c>
      <c r="B26" s="227" t="s">
        <v>739</v>
      </c>
      <c r="C26" s="227" t="s">
        <v>316</v>
      </c>
      <c r="F26" s="758"/>
    </row>
    <row r="27" spans="1:14">
      <c r="A27" s="735">
        <f t="shared" si="0"/>
        <v>15</v>
      </c>
      <c r="B27" s="227" t="s">
        <v>737</v>
      </c>
      <c r="C27" s="227" t="s">
        <v>317</v>
      </c>
      <c r="F27" s="740">
        <v>30</v>
      </c>
    </row>
    <row r="28" spans="1:14">
      <c r="A28" s="735">
        <f t="shared" si="0"/>
        <v>16</v>
      </c>
      <c r="B28" s="227" t="s">
        <v>536</v>
      </c>
      <c r="C28" s="227" t="s">
        <v>738</v>
      </c>
      <c r="F28" s="741">
        <f>+F24*F26*F27</f>
        <v>0</v>
      </c>
    </row>
    <row r="29" spans="1:14">
      <c r="A29" s="735">
        <f t="shared" si="0"/>
        <v>17</v>
      </c>
    </row>
    <row r="30" spans="1:14">
      <c r="A30" s="735">
        <f t="shared" si="0"/>
        <v>18</v>
      </c>
      <c r="B30" s="743" t="s">
        <v>734</v>
      </c>
      <c r="C30" s="743" t="s">
        <v>735</v>
      </c>
      <c r="D30" s="743"/>
      <c r="E30" s="743"/>
      <c r="F30" s="263">
        <f>+F24+F28</f>
        <v>0</v>
      </c>
      <c r="G30" s="743"/>
    </row>
    <row r="31" spans="1:14">
      <c r="A31" s="735"/>
      <c r="B31" s="743"/>
      <c r="C31" s="743"/>
      <c r="D31" s="743"/>
      <c r="E31" s="743"/>
      <c r="F31" s="743"/>
      <c r="G31" s="743"/>
    </row>
    <row r="33" spans="1:8">
      <c r="A33" s="760" t="s">
        <v>182</v>
      </c>
    </row>
    <row r="34" spans="1:8" ht="56.25" customHeight="1">
      <c r="A34" s="761" t="s">
        <v>62</v>
      </c>
      <c r="B34" s="944" t="s">
        <v>729</v>
      </c>
      <c r="C34" s="944"/>
      <c r="D34" s="944"/>
      <c r="E34" s="944"/>
      <c r="F34" s="944"/>
      <c r="G34" s="855"/>
      <c r="H34" s="855"/>
    </row>
    <row r="35" spans="1:8" ht="86.25" customHeight="1">
      <c r="A35" s="761" t="s">
        <v>63</v>
      </c>
      <c r="B35" s="944" t="s">
        <v>736</v>
      </c>
      <c r="C35" s="944"/>
      <c r="D35" s="944"/>
      <c r="E35" s="944"/>
      <c r="F35" s="944"/>
      <c r="G35" s="855"/>
      <c r="H35" s="855"/>
    </row>
    <row r="36" spans="1:8">
      <c r="A36" s="759"/>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8"/>
  <sheetViews>
    <sheetView view="pageBreakPreview" zoomScaleNormal="100" zoomScaleSheetLayoutView="100" workbookViewId="0">
      <selection sqref="A1:G1"/>
    </sheetView>
  </sheetViews>
  <sheetFormatPr defaultColWidth="8.88671875" defaultRowHeight="15.75"/>
  <cols>
    <col min="1" max="1" width="7.33203125" style="351" customWidth="1"/>
    <col min="2" max="2" width="49.6640625" style="351" customWidth="1"/>
    <col min="3" max="3" width="14.77734375" style="351" customWidth="1"/>
    <col min="4" max="4" width="11.6640625" style="351" customWidth="1"/>
    <col min="5" max="5" width="10.88671875" style="830" bestFit="1" customWidth="1"/>
    <col min="6" max="6" width="10.44140625" style="351" customWidth="1"/>
    <col min="7" max="16384" width="8.88671875" style="351"/>
  </cols>
  <sheetData>
    <row r="1" spans="1:9" ht="12.75">
      <c r="A1" s="926" t="s">
        <v>765</v>
      </c>
      <c r="B1" s="926"/>
      <c r="C1" s="926"/>
      <c r="D1" s="926"/>
      <c r="E1" s="926"/>
      <c r="F1" s="926"/>
      <c r="G1" s="926"/>
      <c r="H1" s="410"/>
      <c r="I1" s="410"/>
    </row>
    <row r="2" spans="1:9" ht="12.75">
      <c r="A2" s="942" t="s">
        <v>766</v>
      </c>
      <c r="B2" s="942"/>
      <c r="C2" s="942"/>
      <c r="D2" s="942"/>
      <c r="E2" s="942"/>
      <c r="F2" s="942"/>
      <c r="G2" s="942"/>
      <c r="H2" s="767"/>
      <c r="I2" s="767"/>
    </row>
    <row r="3" spans="1:9" ht="12.75">
      <c r="A3" s="943" t="str">
        <f>+'Attachment H-26'!D5</f>
        <v>Transource West Virginia, LLC</v>
      </c>
      <c r="B3" s="943"/>
      <c r="C3" s="943"/>
      <c r="D3" s="943"/>
      <c r="E3" s="943"/>
      <c r="F3" s="943"/>
      <c r="G3" s="943"/>
      <c r="H3" s="372"/>
      <c r="I3" s="372"/>
    </row>
    <row r="4" spans="1:9" ht="12.75">
      <c r="A4" s="766"/>
      <c r="B4" s="766"/>
      <c r="C4" s="766"/>
      <c r="D4" s="766"/>
      <c r="E4" s="766"/>
      <c r="F4" s="766"/>
      <c r="G4" s="766"/>
      <c r="H4" s="372"/>
      <c r="I4" s="372"/>
    </row>
    <row r="5" spans="1:9">
      <c r="A5" s="811"/>
      <c r="D5" s="812"/>
      <c r="E5" s="813"/>
      <c r="F5" s="811"/>
      <c r="H5" s="814"/>
    </row>
    <row r="6" spans="1:9" ht="12.75">
      <c r="A6" s="764" t="s">
        <v>154</v>
      </c>
      <c r="B6" s="582" t="s">
        <v>779</v>
      </c>
      <c r="C6" s="582"/>
      <c r="D6" s="218" t="s">
        <v>196</v>
      </c>
      <c r="E6" s="218" t="s">
        <v>197</v>
      </c>
      <c r="F6" s="381" t="s">
        <v>777</v>
      </c>
      <c r="G6" s="815"/>
      <c r="H6" s="815"/>
      <c r="I6" s="815"/>
    </row>
    <row r="7" spans="1:9" ht="25.5">
      <c r="A7" s="350">
        <v>1</v>
      </c>
      <c r="B7" s="816" t="s">
        <v>757</v>
      </c>
      <c r="C7" s="401" t="s">
        <v>205</v>
      </c>
      <c r="D7" s="833" t="s">
        <v>18</v>
      </c>
      <c r="E7" s="380" t="s">
        <v>776</v>
      </c>
      <c r="F7" s="380" t="s">
        <v>775</v>
      </c>
    </row>
    <row r="8" spans="1:9" ht="12.75">
      <c r="A8" s="350">
        <f>+A7+1</f>
        <v>2</v>
      </c>
      <c r="B8" s="336" t="s">
        <v>760</v>
      </c>
      <c r="C8" s="336" t="s">
        <v>768</v>
      </c>
      <c r="D8" s="819">
        <v>0</v>
      </c>
      <c r="E8" s="819">
        <v>0</v>
      </c>
      <c r="F8" s="832">
        <f>+D8-E8</f>
        <v>0</v>
      </c>
    </row>
    <row r="9" spans="1:9" ht="12.75">
      <c r="A9" s="350">
        <f>+A8+1</f>
        <v>3</v>
      </c>
      <c r="B9" s="336" t="s">
        <v>761</v>
      </c>
      <c r="C9" s="336" t="s">
        <v>768</v>
      </c>
      <c r="D9" s="819">
        <v>0</v>
      </c>
      <c r="E9" s="819">
        <v>0</v>
      </c>
      <c r="F9" s="832">
        <f t="shared" ref="F9:F14" si="0">+D9-E9</f>
        <v>0</v>
      </c>
    </row>
    <row r="10" spans="1:9" ht="12.75">
      <c r="A10" s="350">
        <f t="shared" ref="A10:A14" si="1">+A9+1</f>
        <v>4</v>
      </c>
      <c r="B10" s="336" t="s">
        <v>762</v>
      </c>
      <c r="C10" s="336" t="s">
        <v>768</v>
      </c>
      <c r="D10" s="819">
        <v>0</v>
      </c>
      <c r="E10" s="819">
        <v>0</v>
      </c>
      <c r="F10" s="832">
        <f t="shared" si="0"/>
        <v>0</v>
      </c>
    </row>
    <row r="11" spans="1:9" ht="12.75">
      <c r="A11" s="350">
        <f t="shared" si="1"/>
        <v>5</v>
      </c>
      <c r="B11" s="336" t="s">
        <v>763</v>
      </c>
      <c r="C11" s="336" t="s">
        <v>768</v>
      </c>
      <c r="D11" s="819">
        <v>0</v>
      </c>
      <c r="E11" s="819">
        <v>0</v>
      </c>
      <c r="F11" s="832">
        <f t="shared" si="0"/>
        <v>0</v>
      </c>
    </row>
    <row r="12" spans="1:9" ht="12.75">
      <c r="A12" s="350">
        <f t="shared" si="1"/>
        <v>6</v>
      </c>
      <c r="B12" s="336" t="s">
        <v>764</v>
      </c>
      <c r="C12" s="336" t="s">
        <v>768</v>
      </c>
      <c r="D12" s="820">
        <v>0</v>
      </c>
      <c r="E12" s="820">
        <v>0</v>
      </c>
      <c r="F12" s="832">
        <f t="shared" si="0"/>
        <v>0</v>
      </c>
    </row>
    <row r="13" spans="1:9" ht="12.75">
      <c r="A13" s="350">
        <f t="shared" si="1"/>
        <v>7</v>
      </c>
      <c r="B13" s="336" t="s">
        <v>764</v>
      </c>
      <c r="C13" s="336" t="s">
        <v>768</v>
      </c>
      <c r="D13" s="820">
        <v>0</v>
      </c>
      <c r="E13" s="820">
        <v>0</v>
      </c>
      <c r="F13" s="832">
        <f t="shared" si="0"/>
        <v>0</v>
      </c>
    </row>
    <row r="14" spans="1:9" ht="12.75">
      <c r="A14" s="350">
        <f t="shared" si="1"/>
        <v>8</v>
      </c>
      <c r="B14" s="822" t="s">
        <v>774</v>
      </c>
      <c r="C14" s="336" t="s">
        <v>772</v>
      </c>
      <c r="D14" s="821">
        <f>+SUM(D8:D13)</f>
        <v>0</v>
      </c>
      <c r="E14" s="821">
        <f>+SUM(E8:E13)</f>
        <v>0</v>
      </c>
      <c r="F14" s="834">
        <f t="shared" si="0"/>
        <v>0</v>
      </c>
    </row>
    <row r="15" spans="1:9" ht="12.75">
      <c r="A15" s="350"/>
      <c r="B15" s="822"/>
      <c r="C15" s="822"/>
      <c r="D15" s="824"/>
      <c r="E15" s="824"/>
    </row>
    <row r="16" spans="1:9" ht="12.75">
      <c r="A16" s="305">
        <f>+A14+1</f>
        <v>9</v>
      </c>
      <c r="B16" s="822" t="s">
        <v>784</v>
      </c>
      <c r="C16" s="817"/>
      <c r="D16" s="818"/>
      <c r="E16" s="351"/>
    </row>
    <row r="17" spans="1:9" ht="12.75">
      <c r="A17" s="350">
        <f>+A16+1</f>
        <v>10</v>
      </c>
      <c r="B17" s="336" t="s">
        <v>770</v>
      </c>
      <c r="C17" s="336" t="s">
        <v>768</v>
      </c>
      <c r="D17" s="819">
        <v>0</v>
      </c>
      <c r="E17" s="819">
        <v>0</v>
      </c>
      <c r="F17" s="832">
        <f t="shared" ref="F17:F25" si="2">+D17-E17</f>
        <v>0</v>
      </c>
    </row>
    <row r="18" spans="1:9" ht="12.75">
      <c r="A18" s="350">
        <f>+A17+1</f>
        <v>11</v>
      </c>
      <c r="B18" s="336" t="s">
        <v>771</v>
      </c>
      <c r="C18" s="336" t="s">
        <v>768</v>
      </c>
      <c r="D18" s="819">
        <v>0</v>
      </c>
      <c r="E18" s="819">
        <v>0</v>
      </c>
      <c r="F18" s="832">
        <f t="shared" si="2"/>
        <v>0</v>
      </c>
    </row>
    <row r="19" spans="1:9" ht="12.75">
      <c r="A19" s="350">
        <f t="shared" ref="A19:A21" si="3">+A18+1</f>
        <v>12</v>
      </c>
      <c r="B19" s="336" t="s">
        <v>769</v>
      </c>
      <c r="C19" s="336" t="s">
        <v>768</v>
      </c>
      <c r="D19" s="819">
        <v>911679.4</v>
      </c>
      <c r="E19" s="819">
        <v>0</v>
      </c>
      <c r="F19" s="832">
        <f t="shared" si="2"/>
        <v>911679.4</v>
      </c>
    </row>
    <row r="20" spans="1:9" ht="12.75">
      <c r="A20" s="350">
        <f t="shared" si="3"/>
        <v>13</v>
      </c>
      <c r="B20" s="336" t="s">
        <v>778</v>
      </c>
      <c r="C20" s="336" t="s">
        <v>768</v>
      </c>
      <c r="D20" s="819">
        <v>7352030.4400000004</v>
      </c>
      <c r="E20" s="819">
        <v>0</v>
      </c>
      <c r="F20" s="832">
        <f t="shared" si="2"/>
        <v>7352030.4400000004</v>
      </c>
    </row>
    <row r="21" spans="1:9" ht="12.75">
      <c r="A21" s="350">
        <f t="shared" si="3"/>
        <v>14</v>
      </c>
      <c r="B21" s="336" t="s">
        <v>435</v>
      </c>
      <c r="C21" s="336" t="s">
        <v>768</v>
      </c>
      <c r="D21" s="820">
        <v>0</v>
      </c>
      <c r="E21" s="820">
        <v>0</v>
      </c>
      <c r="F21" s="832">
        <f t="shared" si="2"/>
        <v>0</v>
      </c>
    </row>
    <row r="22" spans="1:9" ht="12.75">
      <c r="A22" s="350">
        <f>+A21+1</f>
        <v>15</v>
      </c>
      <c r="B22" s="336" t="s">
        <v>782</v>
      </c>
      <c r="C22" s="336" t="s">
        <v>773</v>
      </c>
      <c r="D22" s="821">
        <f>+SUM(D17:D21)</f>
        <v>8263709.8400000008</v>
      </c>
      <c r="E22" s="821"/>
      <c r="F22" s="834">
        <f t="shared" si="2"/>
        <v>8263709.8400000008</v>
      </c>
    </row>
    <row r="23" spans="1:9" ht="12.75">
      <c r="A23" s="350">
        <f>+A22+1</f>
        <v>16</v>
      </c>
      <c r="B23" s="336" t="s">
        <v>780</v>
      </c>
      <c r="C23" s="822"/>
      <c r="D23" s="819">
        <v>7352030.4400000004</v>
      </c>
      <c r="E23" s="823"/>
      <c r="F23" s="832">
        <f t="shared" si="2"/>
        <v>7352030.4400000004</v>
      </c>
    </row>
    <row r="24" spans="1:9" ht="12.75">
      <c r="A24" s="350">
        <f t="shared" ref="A24:A25" si="4">+A23+1</f>
        <v>17</v>
      </c>
      <c r="B24" s="336" t="s">
        <v>788</v>
      </c>
      <c r="C24" s="822"/>
      <c r="D24" s="823">
        <v>911679.4</v>
      </c>
      <c r="E24" s="823"/>
      <c r="F24" s="832">
        <f t="shared" si="2"/>
        <v>911679.4</v>
      </c>
    </row>
    <row r="25" spans="1:9" ht="12.75">
      <c r="A25" s="350">
        <f t="shared" si="4"/>
        <v>18</v>
      </c>
      <c r="B25" s="822" t="s">
        <v>785</v>
      </c>
      <c r="C25" s="553" t="str">
        <f>"(Line "&amp;A22&amp;" - line "&amp;A23&amp;")"</f>
        <v>(Line 15 - line 16)</v>
      </c>
      <c r="D25" s="821">
        <f>+D22-D23-D24</f>
        <v>0</v>
      </c>
      <c r="E25" s="821">
        <f>+E22-E23-E24</f>
        <v>0</v>
      </c>
      <c r="F25" s="834">
        <f t="shared" si="2"/>
        <v>0</v>
      </c>
    </row>
    <row r="26" spans="1:9" ht="12.75">
      <c r="A26" s="350"/>
      <c r="B26" s="822"/>
      <c r="C26" s="822"/>
      <c r="D26" s="824"/>
      <c r="E26" s="824"/>
    </row>
    <row r="27" spans="1:9" ht="12.75">
      <c r="A27" s="765">
        <f>+A25+1</f>
        <v>19</v>
      </c>
      <c r="B27" s="835" t="s">
        <v>758</v>
      </c>
      <c r="C27" s="553" t="str">
        <f>"(Line "&amp;A14&amp;" + line "&amp;A25&amp;")"</f>
        <v>(Line 8 + line 18)</v>
      </c>
      <c r="D27" s="826">
        <f>+D14+D25</f>
        <v>0</v>
      </c>
      <c r="E27" s="826">
        <f>+E14+E25</f>
        <v>0</v>
      </c>
      <c r="F27" s="826">
        <f>+F14+F25</f>
        <v>0</v>
      </c>
    </row>
    <row r="28" spans="1:9" ht="14.25" customHeight="1">
      <c r="A28" s="336"/>
      <c r="B28" s="336"/>
      <c r="C28" s="336"/>
      <c r="E28" s="831"/>
      <c r="F28" s="350"/>
    </row>
    <row r="29" spans="1:9" s="827" customFormat="1" ht="12.75">
      <c r="A29" s="336"/>
      <c r="B29" s="336"/>
      <c r="C29" s="336"/>
      <c r="D29" s="336"/>
      <c r="E29" s="826"/>
      <c r="F29" s="824"/>
    </row>
    <row r="30" spans="1:9" ht="41.25" customHeight="1">
      <c r="A30" s="828" t="s">
        <v>759</v>
      </c>
      <c r="B30" s="935" t="s">
        <v>786</v>
      </c>
      <c r="C30" s="935"/>
      <c r="D30" s="935"/>
      <c r="E30" s="935"/>
      <c r="F30" s="935"/>
      <c r="G30" s="935"/>
    </row>
    <row r="31" spans="1:9" ht="12.75">
      <c r="A31" s="582"/>
      <c r="B31" s="582"/>
      <c r="C31" s="582"/>
      <c r="D31" s="582"/>
      <c r="E31" s="582"/>
      <c r="F31" s="582"/>
      <c r="G31" s="582"/>
      <c r="H31" s="582"/>
      <c r="I31" s="582"/>
    </row>
    <row r="35" spans="1:5" ht="12.75">
      <c r="A35" s="350"/>
      <c r="B35" s="336"/>
      <c r="C35" s="336"/>
      <c r="D35" s="829"/>
      <c r="E35" s="351"/>
    </row>
    <row r="106" spans="5:5">
      <c r="E106" s="227"/>
    </row>
    <row r="225" spans="4:8">
      <c r="D225" s="825"/>
      <c r="F225" s="825"/>
      <c r="G225" s="825"/>
      <c r="H225" s="825"/>
    </row>
    <row r="226" spans="4:8" ht="99.75" customHeight="1">
      <c r="D226" s="825"/>
      <c r="F226" s="825"/>
      <c r="G226" s="825"/>
      <c r="H226" s="825"/>
    </row>
    <row r="227" spans="4:8">
      <c r="D227" s="825"/>
      <c r="F227" s="825"/>
      <c r="G227" s="825"/>
      <c r="H227" s="825"/>
    </row>
    <row r="228" spans="4:8">
      <c r="D228" s="825"/>
      <c r="F228" s="825"/>
      <c r="G228" s="825"/>
      <c r="H228" s="825"/>
    </row>
    <row r="229" spans="4:8">
      <c r="D229" s="825"/>
      <c r="F229" s="825"/>
      <c r="G229" s="825"/>
      <c r="H229" s="825"/>
    </row>
    <row r="230" spans="4:8">
      <c r="D230" s="825"/>
      <c r="F230" s="825"/>
      <c r="G230" s="825"/>
      <c r="H230" s="825"/>
    </row>
    <row r="231" spans="4:8">
      <c r="D231" s="825"/>
      <c r="F231" s="825"/>
      <c r="G231" s="825"/>
      <c r="H231" s="825"/>
    </row>
    <row r="232" spans="4:8">
      <c r="D232" s="825"/>
      <c r="F232" s="825"/>
      <c r="G232" s="825"/>
      <c r="H232" s="825"/>
    </row>
    <row r="233" spans="4:8">
      <c r="D233" s="825"/>
      <c r="F233" s="825"/>
      <c r="G233" s="825"/>
      <c r="H233" s="825"/>
    </row>
    <row r="234" spans="4:8">
      <c r="D234" s="825"/>
      <c r="F234" s="825"/>
      <c r="G234" s="825"/>
      <c r="H234" s="825"/>
    </row>
    <row r="235" spans="4:8">
      <c r="D235" s="825"/>
      <c r="F235" s="825"/>
      <c r="G235" s="825"/>
      <c r="H235" s="825"/>
    </row>
    <row r="236" spans="4:8">
      <c r="D236" s="825"/>
      <c r="F236" s="825"/>
      <c r="G236" s="825"/>
      <c r="H236" s="825"/>
    </row>
    <row r="237" spans="4:8">
      <c r="D237" s="825"/>
      <c r="F237" s="825"/>
      <c r="G237" s="825"/>
      <c r="H237" s="825"/>
    </row>
    <row r="238" spans="4:8">
      <c r="D238" s="825"/>
      <c r="F238" s="825"/>
      <c r="G238" s="825"/>
      <c r="H238" s="825"/>
    </row>
    <row r="239" spans="4:8">
      <c r="D239" s="825"/>
      <c r="F239" s="825"/>
      <c r="G239" s="825"/>
      <c r="H239" s="825"/>
    </row>
    <row r="240" spans="4:8">
      <c r="D240" s="825"/>
      <c r="F240" s="825"/>
      <c r="G240" s="825"/>
      <c r="H240" s="825"/>
    </row>
    <row r="241" spans="4:8">
      <c r="D241" s="825"/>
      <c r="F241" s="825"/>
      <c r="G241" s="825"/>
      <c r="H241" s="825"/>
    </row>
    <row r="242" spans="4:8">
      <c r="D242" s="825"/>
      <c r="F242" s="825"/>
      <c r="G242" s="825"/>
      <c r="H242" s="825"/>
    </row>
    <row r="243" spans="4:8">
      <c r="D243" s="825"/>
      <c r="F243" s="825"/>
      <c r="G243" s="825"/>
      <c r="H243" s="825"/>
    </row>
    <row r="244" spans="4:8">
      <c r="D244" s="825"/>
      <c r="F244" s="825"/>
      <c r="G244" s="825"/>
      <c r="H244" s="825"/>
    </row>
    <row r="245" spans="4:8">
      <c r="D245" s="825"/>
      <c r="F245" s="825"/>
      <c r="G245" s="825"/>
      <c r="H245" s="825"/>
    </row>
    <row r="246" spans="4:8">
      <c r="D246" s="825"/>
      <c r="F246" s="825"/>
      <c r="G246" s="825"/>
      <c r="H246" s="825"/>
    </row>
    <row r="247" spans="4:8" ht="40.5" customHeight="1">
      <c r="D247" s="825"/>
      <c r="F247" s="825"/>
      <c r="G247" s="825"/>
      <c r="H247" s="825"/>
    </row>
    <row r="248" spans="4:8">
      <c r="D248" s="825"/>
      <c r="F248" s="825"/>
      <c r="G248" s="825"/>
      <c r="H248" s="82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zoomScale="90" zoomScaleNormal="90" zoomScaleSheetLayoutView="90" workbookViewId="0"/>
  </sheetViews>
  <sheetFormatPr defaultColWidth="8.88671875" defaultRowHeight="12.75"/>
  <cols>
    <col min="1" max="1" width="6" style="21" customWidth="1"/>
    <col min="2" max="2" width="1.44140625" style="21" customWidth="1"/>
    <col min="3" max="3" width="13.44140625" style="21" customWidth="1"/>
    <col min="4" max="4" width="13.5546875" style="551" customWidth="1"/>
    <col min="5" max="5" width="12.5546875" style="21" bestFit="1" customWidth="1"/>
    <col min="6" max="6" width="17.21875" style="21" customWidth="1"/>
    <col min="7" max="7" width="10.33203125" style="21" customWidth="1"/>
    <col min="8" max="8" width="11.44140625" style="21" customWidth="1"/>
    <col min="9" max="9" width="11.21875" style="21" bestFit="1" customWidth="1"/>
    <col min="10" max="10" width="9.109375" style="21" customWidth="1"/>
    <col min="11" max="11" width="10.33203125" style="21" customWidth="1"/>
    <col min="12" max="12" width="5.77734375" style="414" customWidth="1"/>
    <col min="13" max="13" width="13.5546875" style="21" customWidth="1"/>
    <col min="14" max="14" width="12.5546875" style="21" customWidth="1"/>
    <col min="15" max="15" width="12.44140625" style="21" bestFit="1" customWidth="1"/>
    <col min="16" max="16" width="12.44140625" style="21" customWidth="1"/>
    <col min="17" max="17" width="11.6640625" style="21" bestFit="1" customWidth="1"/>
    <col min="18" max="18" width="10.33203125" style="21" bestFit="1" customWidth="1"/>
    <col min="19" max="19" width="11.77734375" style="21" customWidth="1"/>
    <col min="20" max="20" width="9.33203125" style="21" customWidth="1"/>
    <col min="21" max="21" width="10.77734375" style="21" customWidth="1"/>
    <col min="22" max="16384" width="8.88671875" style="21"/>
  </cols>
  <sheetData>
    <row r="1" spans="1:23">
      <c r="S1" s="49"/>
    </row>
    <row r="2" spans="1:23">
      <c r="K2" s="21" t="s">
        <v>329</v>
      </c>
      <c r="S2" s="49"/>
    </row>
    <row r="3" spans="1:23">
      <c r="F3" s="17" t="s">
        <v>187</v>
      </c>
      <c r="S3" s="49"/>
    </row>
    <row r="4" spans="1:23">
      <c r="E4" s="16"/>
      <c r="F4" s="17" t="s">
        <v>651</v>
      </c>
      <c r="G4" s="16"/>
      <c r="I4" s="16"/>
      <c r="J4" s="16"/>
      <c r="K4" s="16"/>
      <c r="L4" s="410"/>
      <c r="M4" s="20"/>
      <c r="N4" s="50"/>
      <c r="O4" s="51"/>
      <c r="P4" s="51"/>
      <c r="Q4" s="51"/>
      <c r="R4" s="51"/>
      <c r="S4" s="51"/>
      <c r="T4" s="22"/>
      <c r="U4" s="52"/>
      <c r="V4" s="52"/>
      <c r="W4" s="22"/>
    </row>
    <row r="5" spans="1:23">
      <c r="E5" s="16"/>
      <c r="F5" s="214" t="str">
        <f>+'Attachment H-26'!D5</f>
        <v>Transource West Virginia, LLC</v>
      </c>
      <c r="G5" s="18"/>
      <c r="I5" s="18"/>
      <c r="J5" s="18"/>
      <c r="K5" s="18"/>
      <c r="L5" s="412"/>
      <c r="M5" s="20"/>
      <c r="R5" s="22"/>
      <c r="S5" s="20"/>
      <c r="T5" s="22"/>
      <c r="U5" s="53"/>
      <c r="V5" s="52"/>
      <c r="W5" s="22"/>
    </row>
    <row r="6" spans="1:23">
      <c r="C6" s="22"/>
      <c r="D6" s="552"/>
      <c r="E6" s="22"/>
      <c r="G6" s="22"/>
      <c r="I6" s="22"/>
      <c r="J6" s="22"/>
      <c r="K6" s="22"/>
      <c r="L6" s="22"/>
      <c r="M6" s="22"/>
      <c r="R6" s="22"/>
      <c r="S6" s="22"/>
      <c r="T6" s="22"/>
      <c r="U6" s="52"/>
      <c r="V6" s="52"/>
      <c r="W6" s="22"/>
    </row>
    <row r="7" spans="1:23">
      <c r="A7" s="17"/>
      <c r="C7" s="22"/>
      <c r="D7" s="552"/>
      <c r="E7" s="22"/>
      <c r="F7" s="22"/>
      <c r="G7" s="22"/>
      <c r="H7" s="54"/>
      <c r="I7" s="22"/>
      <c r="J7" s="22"/>
      <c r="K7" s="22"/>
      <c r="L7" s="22"/>
      <c r="M7" s="22"/>
      <c r="N7" s="22"/>
      <c r="O7" s="22"/>
      <c r="P7" s="22"/>
      <c r="Q7" s="22"/>
      <c r="R7" s="22"/>
      <c r="S7" s="22"/>
      <c r="T7" s="22"/>
      <c r="U7" s="52"/>
      <c r="V7" s="52"/>
      <c r="W7" s="22"/>
    </row>
    <row r="8" spans="1:23">
      <c r="A8" s="17"/>
      <c r="C8" s="22" t="s">
        <v>817</v>
      </c>
      <c r="D8" s="552"/>
      <c r="E8" s="22"/>
      <c r="F8" s="22"/>
      <c r="G8" s="22"/>
      <c r="H8" s="54"/>
      <c r="I8" s="22"/>
      <c r="J8" s="22"/>
      <c r="K8" s="22"/>
      <c r="L8" s="22"/>
      <c r="M8" s="22"/>
      <c r="N8" s="22"/>
      <c r="O8" s="22"/>
      <c r="P8" s="22"/>
      <c r="Q8" s="22"/>
      <c r="R8" s="22"/>
      <c r="S8" s="22"/>
      <c r="T8" s="22"/>
      <c r="U8" s="52"/>
      <c r="V8" s="52"/>
      <c r="W8" s="22"/>
    </row>
    <row r="9" spans="1:23">
      <c r="A9" s="17"/>
      <c r="C9" s="22"/>
      <c r="D9" s="552"/>
      <c r="E9" s="22"/>
      <c r="F9" s="22"/>
      <c r="G9" s="22"/>
      <c r="H9" s="22"/>
      <c r="N9" s="55"/>
      <c r="O9" s="55"/>
      <c r="P9" s="55"/>
      <c r="Q9" s="55"/>
      <c r="R9" s="22"/>
      <c r="S9" s="22"/>
      <c r="T9" s="22"/>
      <c r="U9" s="22"/>
      <c r="V9" s="22"/>
      <c r="W9" s="22"/>
    </row>
    <row r="10" spans="1:23">
      <c r="C10" s="56" t="s">
        <v>3</v>
      </c>
      <c r="D10" s="559"/>
      <c r="E10" s="56"/>
      <c r="F10" s="56" t="s">
        <v>4</v>
      </c>
      <c r="G10" s="56"/>
      <c r="I10" s="56" t="s">
        <v>5</v>
      </c>
      <c r="K10" s="57" t="s">
        <v>6</v>
      </c>
      <c r="L10" s="57"/>
      <c r="O10" s="57"/>
      <c r="P10" s="57"/>
      <c r="Q10" s="57"/>
      <c r="R10" s="18"/>
      <c r="S10" s="57"/>
      <c r="T10" s="18"/>
      <c r="U10" s="57"/>
      <c r="V10" s="18"/>
      <c r="W10" s="58"/>
    </row>
    <row r="11" spans="1:23">
      <c r="C11" s="58"/>
      <c r="D11" s="560"/>
      <c r="E11" s="58"/>
      <c r="F11" s="59" t="s">
        <v>822</v>
      </c>
      <c r="G11" s="59"/>
      <c r="I11" s="18"/>
      <c r="R11" s="18"/>
      <c r="T11" s="18"/>
      <c r="U11" s="56"/>
      <c r="V11" s="56"/>
      <c r="W11" s="58"/>
    </row>
    <row r="12" spans="1:23">
      <c r="A12" s="17" t="s">
        <v>8</v>
      </c>
      <c r="C12" s="58"/>
      <c r="D12" s="560"/>
      <c r="E12" s="58"/>
      <c r="F12" s="60" t="s">
        <v>17</v>
      </c>
      <c r="G12" s="60"/>
      <c r="I12" s="61" t="s">
        <v>16</v>
      </c>
      <c r="K12" s="61" t="s">
        <v>14</v>
      </c>
      <c r="L12" s="61"/>
      <c r="O12" s="61"/>
      <c r="P12" s="61"/>
      <c r="Q12" s="61"/>
      <c r="R12" s="18"/>
      <c r="T12" s="22"/>
      <c r="U12" s="62"/>
      <c r="V12" s="56"/>
      <c r="W12" s="58"/>
    </row>
    <row r="13" spans="1:23">
      <c r="A13" s="17" t="s">
        <v>10</v>
      </c>
      <c r="C13" s="63"/>
      <c r="D13" s="561"/>
      <c r="E13" s="63"/>
      <c r="F13" s="18"/>
      <c r="G13" s="18"/>
      <c r="I13" s="18"/>
      <c r="K13" s="18"/>
      <c r="L13" s="412"/>
      <c r="O13" s="18"/>
      <c r="P13" s="18"/>
      <c r="Q13" s="18"/>
      <c r="R13" s="18"/>
      <c r="S13" s="18"/>
      <c r="T13" s="22"/>
      <c r="U13" s="18"/>
      <c r="V13" s="18"/>
      <c r="W13" s="58"/>
    </row>
    <row r="14" spans="1:23">
      <c r="A14" s="64"/>
      <c r="C14" s="58"/>
      <c r="D14" s="560"/>
      <c r="E14" s="58"/>
      <c r="F14" s="18"/>
      <c r="G14" s="18"/>
      <c r="I14" s="18"/>
      <c r="K14" s="18"/>
      <c r="L14" s="412"/>
      <c r="O14" s="18"/>
      <c r="P14" s="18"/>
      <c r="Q14" s="18"/>
      <c r="R14" s="18"/>
      <c r="S14" s="18"/>
      <c r="T14" s="22"/>
      <c r="U14" s="18"/>
      <c r="V14" s="18"/>
      <c r="W14" s="58"/>
    </row>
    <row r="15" spans="1:23">
      <c r="A15" s="19">
        <v>1</v>
      </c>
      <c r="C15" s="58" t="s">
        <v>538</v>
      </c>
      <c r="D15" s="560"/>
      <c r="E15" s="58"/>
      <c r="F15" s="65" t="s">
        <v>841</v>
      </c>
      <c r="G15" s="19"/>
      <c r="I15" s="45">
        <f>+'Attachment H-26'!I65+'Attachment H-26'!I91</f>
        <v>73204229.108461529</v>
      </c>
      <c r="R15" s="18"/>
      <c r="S15" s="18"/>
      <c r="T15" s="22"/>
      <c r="U15" s="18"/>
      <c r="V15" s="18"/>
      <c r="W15" s="58"/>
    </row>
    <row r="16" spans="1:23">
      <c r="A16" s="19">
        <v>2</v>
      </c>
      <c r="C16" s="58" t="s">
        <v>539</v>
      </c>
      <c r="D16" s="560"/>
      <c r="E16" s="58"/>
      <c r="F16" s="65" t="s">
        <v>842</v>
      </c>
      <c r="G16" s="19"/>
      <c r="I16" s="45">
        <f>+'Attachment H-26'!I79+'Attachment H-26'!I91+'Attachment H-26'!I93</f>
        <v>73088616.459230766</v>
      </c>
      <c r="R16" s="18"/>
      <c r="S16" s="18"/>
      <c r="T16" s="22"/>
      <c r="U16" s="18"/>
      <c r="V16" s="18"/>
      <c r="W16" s="58"/>
    </row>
    <row r="17" spans="1:23">
      <c r="A17" s="19"/>
      <c r="F17" s="65"/>
      <c r="G17" s="19"/>
      <c r="R17" s="18"/>
      <c r="S17" s="18"/>
      <c r="T17" s="22"/>
      <c r="U17" s="18"/>
      <c r="V17" s="18"/>
      <c r="W17" s="58"/>
    </row>
    <row r="18" spans="1:23">
      <c r="A18" s="19"/>
      <c r="C18" s="58" t="s">
        <v>127</v>
      </c>
      <c r="D18" s="560"/>
      <c r="E18" s="58"/>
      <c r="F18" s="65"/>
      <c r="G18" s="19"/>
      <c r="I18" s="18"/>
      <c r="K18" s="18"/>
      <c r="L18" s="412"/>
      <c r="O18" s="18"/>
      <c r="P18" s="18"/>
      <c r="Q18" s="18"/>
      <c r="R18" s="18"/>
      <c r="S18" s="18"/>
      <c r="T18" s="18"/>
      <c r="U18" s="18"/>
      <c r="V18" s="18"/>
      <c r="W18" s="58"/>
    </row>
    <row r="19" spans="1:23">
      <c r="A19" s="19">
        <v>3</v>
      </c>
      <c r="C19" s="58" t="s">
        <v>128</v>
      </c>
      <c r="D19" s="560"/>
      <c r="E19" s="58"/>
      <c r="F19" s="65" t="s">
        <v>843</v>
      </c>
      <c r="G19" s="19"/>
      <c r="I19" s="45">
        <f>+'Attachment H-26'!I133</f>
        <v>416613.14003321115</v>
      </c>
      <c r="R19" s="18"/>
      <c r="S19" s="18"/>
      <c r="T19" s="18"/>
      <c r="U19" s="18"/>
      <c r="V19" s="18"/>
      <c r="W19" s="58"/>
    </row>
    <row r="20" spans="1:23">
      <c r="A20" s="19">
        <v>4</v>
      </c>
      <c r="C20" s="58" t="s">
        <v>129</v>
      </c>
      <c r="D20" s="560"/>
      <c r="E20" s="58"/>
      <c r="F20" s="65" t="s">
        <v>130</v>
      </c>
      <c r="G20" s="19"/>
      <c r="I20" s="506">
        <f>IF(I19=0,0,+I19/I15)</f>
        <v>5.6911075371881168E-3</v>
      </c>
      <c r="J20" s="392"/>
      <c r="K20" s="66">
        <f>I20</f>
        <v>5.6911075371881168E-3</v>
      </c>
      <c r="L20" s="394"/>
      <c r="O20" s="66"/>
      <c r="P20" s="66"/>
      <c r="Q20" s="66"/>
      <c r="R20" s="18"/>
      <c r="S20" s="67"/>
      <c r="T20" s="68"/>
      <c r="U20" s="69"/>
      <c r="V20" s="18"/>
      <c r="W20" s="58"/>
    </row>
    <row r="21" spans="1:23">
      <c r="A21" s="19"/>
      <c r="C21" s="58"/>
      <c r="D21" s="560"/>
      <c r="E21" s="58"/>
      <c r="F21" s="65"/>
      <c r="G21" s="19"/>
      <c r="I21" s="70"/>
      <c r="K21" s="66"/>
      <c r="L21" s="394"/>
      <c r="O21" s="66"/>
      <c r="P21" s="66"/>
      <c r="Q21" s="66"/>
      <c r="R21" s="18"/>
      <c r="S21" s="67"/>
      <c r="T21" s="68"/>
      <c r="U21" s="69"/>
      <c r="V21" s="18"/>
      <c r="W21" s="58"/>
    </row>
    <row r="22" spans="1:23">
      <c r="A22" s="57"/>
      <c r="C22" s="58" t="s">
        <v>554</v>
      </c>
      <c r="D22" s="560"/>
      <c r="E22" s="58"/>
      <c r="F22" s="213"/>
      <c r="G22" s="48"/>
      <c r="I22" s="18"/>
      <c r="K22" s="506"/>
      <c r="L22" s="393"/>
      <c r="O22" s="18"/>
      <c r="P22" s="18"/>
      <c r="Q22" s="18"/>
      <c r="R22" s="18"/>
      <c r="S22" s="67"/>
      <c r="T22" s="68"/>
      <c r="U22" s="69"/>
      <c r="V22" s="18"/>
      <c r="W22" s="58"/>
    </row>
    <row r="23" spans="1:23">
      <c r="A23" s="57" t="s">
        <v>131</v>
      </c>
      <c r="C23" s="58" t="s">
        <v>553</v>
      </c>
      <c r="D23" s="560"/>
      <c r="E23" s="58"/>
      <c r="F23" s="65" t="s">
        <v>844</v>
      </c>
      <c r="G23" s="19"/>
      <c r="I23" s="45">
        <f>+'Attachment H-26'!I137</f>
        <v>31007.32</v>
      </c>
      <c r="K23" s="506"/>
      <c r="L23" s="393"/>
      <c r="R23" s="18"/>
      <c r="S23" s="67"/>
      <c r="T23" s="68"/>
      <c r="U23" s="69"/>
      <c r="V23" s="18"/>
      <c r="W23" s="58"/>
    </row>
    <row r="24" spans="1:23">
      <c r="A24" s="57" t="s">
        <v>132</v>
      </c>
      <c r="C24" s="58" t="s">
        <v>349</v>
      </c>
      <c r="D24" s="560"/>
      <c r="E24" s="58"/>
      <c r="F24" s="65" t="s">
        <v>133</v>
      </c>
      <c r="G24" s="19"/>
      <c r="I24" s="506">
        <f>IF(I23=0,0,I23/I15)</f>
        <v>4.2357279596590857E-4</v>
      </c>
      <c r="J24" s="46"/>
      <c r="K24" s="66">
        <f>I24</f>
        <v>4.2357279596590857E-4</v>
      </c>
      <c r="L24" s="394"/>
      <c r="O24" s="66"/>
      <c r="P24" s="66"/>
      <c r="Q24" s="66"/>
      <c r="R24" s="18"/>
      <c r="S24" s="67"/>
      <c r="T24" s="68"/>
      <c r="U24" s="69"/>
      <c r="V24" s="18"/>
      <c r="W24" s="58"/>
    </row>
    <row r="25" spans="1:23">
      <c r="A25" s="19"/>
      <c r="C25" s="58"/>
      <c r="D25" s="560"/>
      <c r="E25" s="58"/>
      <c r="F25" s="65"/>
      <c r="G25" s="19"/>
      <c r="I25" s="46"/>
      <c r="J25" s="46"/>
      <c r="K25" s="66"/>
      <c r="L25" s="394"/>
      <c r="O25" s="66"/>
      <c r="P25" s="66"/>
      <c r="Q25" s="66"/>
      <c r="R25" s="18"/>
      <c r="S25" s="67"/>
      <c r="T25" s="68"/>
      <c r="U25" s="69"/>
      <c r="V25" s="18"/>
      <c r="W25" s="58"/>
    </row>
    <row r="26" spans="1:23">
      <c r="A26" s="57"/>
      <c r="C26" s="58" t="s">
        <v>134</v>
      </c>
      <c r="D26" s="560"/>
      <c r="E26" s="58"/>
      <c r="F26" s="213"/>
      <c r="G26" s="48"/>
      <c r="I26" s="46"/>
      <c r="J26" s="46"/>
      <c r="K26" s="506"/>
      <c r="L26" s="393"/>
      <c r="O26" s="18"/>
      <c r="P26" s="18"/>
      <c r="Q26" s="18"/>
      <c r="R26" s="18"/>
      <c r="S26" s="18"/>
      <c r="T26" s="18"/>
      <c r="U26" s="18"/>
      <c r="V26" s="18"/>
      <c r="W26" s="58"/>
    </row>
    <row r="27" spans="1:23">
      <c r="A27" s="57" t="s">
        <v>135</v>
      </c>
      <c r="C27" s="58" t="s">
        <v>136</v>
      </c>
      <c r="D27" s="560"/>
      <c r="E27" s="58"/>
      <c r="F27" s="65" t="s">
        <v>845</v>
      </c>
      <c r="G27" s="19"/>
      <c r="I27" s="45">
        <f>+'Attachment H-26'!I150</f>
        <v>0</v>
      </c>
      <c r="J27" s="46"/>
      <c r="K27" s="506"/>
      <c r="L27" s="393"/>
      <c r="R27" s="18"/>
      <c r="S27" s="62"/>
      <c r="T27" s="18"/>
      <c r="U27" s="19"/>
      <c r="V27" s="56"/>
      <c r="W27" s="58"/>
    </row>
    <row r="28" spans="1:23">
      <c r="A28" s="57" t="s">
        <v>137</v>
      </c>
      <c r="C28" s="58" t="s">
        <v>138</v>
      </c>
      <c r="D28" s="560"/>
      <c r="E28" s="58"/>
      <c r="F28" s="65" t="s">
        <v>139</v>
      </c>
      <c r="G28" s="19"/>
      <c r="I28" s="506">
        <f>IF(I27=0,0,I27/I15)</f>
        <v>0</v>
      </c>
      <c r="J28" s="46"/>
      <c r="K28" s="66">
        <f>I28</f>
        <v>0</v>
      </c>
      <c r="L28" s="394"/>
      <c r="O28" s="66"/>
      <c r="P28" s="66"/>
      <c r="Q28" s="66"/>
      <c r="R28" s="18"/>
      <c r="S28" s="67"/>
      <c r="T28" s="18"/>
      <c r="U28" s="69"/>
      <c r="V28" s="56"/>
      <c r="W28" s="58"/>
    </row>
    <row r="29" spans="1:23">
      <c r="A29" s="57"/>
      <c r="C29" s="58"/>
      <c r="D29" s="560"/>
      <c r="E29" s="58"/>
      <c r="F29" s="65"/>
      <c r="G29" s="19"/>
      <c r="I29" s="18"/>
      <c r="K29" s="506"/>
      <c r="L29" s="393"/>
      <c r="O29" s="18"/>
      <c r="P29" s="18"/>
      <c r="Q29" s="18"/>
      <c r="R29" s="18"/>
      <c r="V29" s="18"/>
      <c r="W29" s="58"/>
    </row>
    <row r="30" spans="1:23">
      <c r="A30" s="57" t="s">
        <v>140</v>
      </c>
      <c r="C30" s="58" t="s">
        <v>181</v>
      </c>
      <c r="D30" s="560"/>
      <c r="E30" s="58"/>
      <c r="F30" s="65" t="s">
        <v>846</v>
      </c>
      <c r="G30" s="19"/>
      <c r="I30" s="45">
        <f>-'Attachment H-26'!I18</f>
        <v>0</v>
      </c>
      <c r="K30" s="506"/>
      <c r="L30" s="393"/>
      <c r="O30" s="18"/>
      <c r="P30" s="18"/>
      <c r="Q30" s="18"/>
      <c r="R30" s="18"/>
      <c r="V30" s="18"/>
      <c r="W30" s="58"/>
    </row>
    <row r="31" spans="1:23">
      <c r="A31" s="57" t="s">
        <v>143</v>
      </c>
      <c r="C31" s="58" t="s">
        <v>409</v>
      </c>
      <c r="D31" s="560"/>
      <c r="E31" s="58"/>
      <c r="F31" s="65" t="s">
        <v>176</v>
      </c>
      <c r="G31" s="19"/>
      <c r="I31" s="505">
        <f>IF(I30=0,0,I30/I15)</f>
        <v>0</v>
      </c>
      <c r="K31" s="506">
        <f>+I31</f>
        <v>0</v>
      </c>
      <c r="L31" s="393"/>
      <c r="O31" s="18"/>
      <c r="P31" s="18"/>
      <c r="Q31" s="18"/>
      <c r="R31" s="18"/>
      <c r="V31" s="18"/>
      <c r="W31" s="58"/>
    </row>
    <row r="32" spans="1:23">
      <c r="A32" s="57"/>
      <c r="C32" s="58"/>
      <c r="D32" s="560"/>
      <c r="E32" s="58"/>
      <c r="F32" s="65"/>
      <c r="G32" s="19"/>
      <c r="I32" s="18"/>
      <c r="K32" s="506"/>
      <c r="L32" s="393"/>
      <c r="O32" s="18"/>
      <c r="P32" s="18"/>
      <c r="Q32" s="18"/>
      <c r="R32" s="18"/>
      <c r="V32" s="18"/>
      <c r="W32" s="58"/>
    </row>
    <row r="33" spans="1:23">
      <c r="A33" s="71" t="s">
        <v>144</v>
      </c>
      <c r="B33" s="72"/>
      <c r="C33" s="63" t="s">
        <v>141</v>
      </c>
      <c r="D33" s="561"/>
      <c r="E33" s="63"/>
      <c r="F33" s="73" t="s">
        <v>177</v>
      </c>
      <c r="G33" s="59"/>
      <c r="I33" s="68"/>
      <c r="K33" s="74">
        <f>K20+K24+K28+K31</f>
        <v>6.1146803331540251E-3</v>
      </c>
      <c r="L33" s="395"/>
      <c r="O33" s="74"/>
      <c r="P33" s="74"/>
      <c r="Q33" s="74"/>
      <c r="R33" s="18"/>
      <c r="V33" s="18"/>
      <c r="W33" s="58"/>
    </row>
    <row r="34" spans="1:23">
      <c r="A34" s="57"/>
      <c r="C34" s="58"/>
      <c r="D34" s="560"/>
      <c r="E34" s="58"/>
      <c r="F34" s="65"/>
      <c r="G34" s="19"/>
      <c r="I34" s="18"/>
      <c r="K34" s="506"/>
      <c r="L34" s="393"/>
      <c r="O34" s="18"/>
      <c r="P34" s="18"/>
      <c r="Q34" s="18"/>
      <c r="R34" s="18"/>
      <c r="S34" s="18"/>
      <c r="T34" s="18"/>
      <c r="U34" s="75"/>
      <c r="V34" s="18"/>
      <c r="W34" s="58"/>
    </row>
    <row r="35" spans="1:23">
      <c r="A35" s="57"/>
      <c r="B35" s="76"/>
      <c r="C35" s="18" t="s">
        <v>142</v>
      </c>
      <c r="D35" s="550"/>
      <c r="E35" s="18"/>
      <c r="F35" s="65"/>
      <c r="G35" s="19"/>
      <c r="I35" s="18"/>
      <c r="K35" s="506"/>
      <c r="L35" s="393"/>
      <c r="O35" s="18"/>
      <c r="P35" s="18"/>
      <c r="Q35" s="18"/>
      <c r="R35" s="77"/>
      <c r="S35" s="76"/>
      <c r="V35" s="56"/>
      <c r="W35" s="18" t="s">
        <v>2</v>
      </c>
    </row>
    <row r="36" spans="1:23">
      <c r="A36" s="57" t="s">
        <v>146</v>
      </c>
      <c r="B36" s="76"/>
      <c r="C36" s="18" t="s">
        <v>42</v>
      </c>
      <c r="D36" s="550"/>
      <c r="E36" s="18"/>
      <c r="F36" s="65" t="s">
        <v>847</v>
      </c>
      <c r="G36" s="19"/>
      <c r="I36" s="45">
        <f>+'Attachment H-26'!I165</f>
        <v>1642189.6662015966</v>
      </c>
      <c r="K36" s="506"/>
      <c r="L36" s="393"/>
      <c r="O36" s="18"/>
      <c r="P36" s="18"/>
      <c r="Q36" s="18"/>
      <c r="R36" s="77"/>
      <c r="S36" s="76"/>
      <c r="V36" s="56"/>
      <c r="W36" s="18"/>
    </row>
    <row r="37" spans="1:23">
      <c r="A37" s="57" t="s">
        <v>148</v>
      </c>
      <c r="B37" s="76"/>
      <c r="C37" s="18" t="s">
        <v>145</v>
      </c>
      <c r="D37" s="550"/>
      <c r="E37" s="18"/>
      <c r="F37" s="65" t="s">
        <v>150</v>
      </c>
      <c r="G37" s="19"/>
      <c r="I37" s="506">
        <f>IF(I16=0,0,I36/I16)</f>
        <v>2.2468473830225245E-2</v>
      </c>
      <c r="K37" s="66">
        <f>I37</f>
        <v>2.2468473830225245E-2</v>
      </c>
      <c r="L37" s="394"/>
      <c r="O37" s="66"/>
      <c r="P37" s="66"/>
      <c r="Q37" s="66"/>
      <c r="R37" s="77"/>
      <c r="S37" s="76"/>
      <c r="T37" s="18"/>
      <c r="U37" s="18"/>
      <c r="V37" s="56"/>
      <c r="W37" s="18"/>
    </row>
    <row r="38" spans="1:23">
      <c r="A38" s="57"/>
      <c r="C38" s="18"/>
      <c r="D38" s="550"/>
      <c r="E38" s="18"/>
      <c r="F38" s="65"/>
      <c r="G38" s="19"/>
      <c r="I38" s="18"/>
      <c r="K38" s="506"/>
      <c r="L38" s="393"/>
      <c r="O38" s="18"/>
      <c r="P38" s="18"/>
      <c r="Q38" s="18"/>
      <c r="R38" s="18"/>
      <c r="T38" s="22"/>
      <c r="U38" s="18"/>
      <c r="V38" s="22"/>
      <c r="W38" s="58"/>
    </row>
    <row r="39" spans="1:23">
      <c r="A39" s="57"/>
      <c r="C39" s="58" t="s">
        <v>43</v>
      </c>
      <c r="D39" s="560"/>
      <c r="E39" s="58"/>
      <c r="F39" s="78"/>
      <c r="G39" s="79"/>
      <c r="K39" s="506"/>
      <c r="L39" s="393"/>
      <c r="R39" s="18"/>
      <c r="T39" s="18"/>
      <c r="U39" s="18"/>
      <c r="V39" s="18"/>
      <c r="W39" s="58"/>
    </row>
    <row r="40" spans="1:23">
      <c r="A40" s="57" t="s">
        <v>151</v>
      </c>
      <c r="C40" s="58" t="s">
        <v>147</v>
      </c>
      <c r="D40" s="560"/>
      <c r="E40" s="58"/>
      <c r="F40" s="65" t="s">
        <v>848</v>
      </c>
      <c r="G40" s="19"/>
      <c r="I40" s="45">
        <f>+'Attachment H-26'!I168</f>
        <v>5602814.5214965334</v>
      </c>
      <c r="K40" s="506"/>
      <c r="L40" s="393"/>
      <c r="O40" s="18"/>
      <c r="P40" s="18"/>
      <c r="Q40" s="18"/>
      <c r="R40" s="18"/>
      <c r="T40" s="18"/>
      <c r="U40" s="18"/>
      <c r="V40" s="18"/>
      <c r="W40" s="58"/>
    </row>
    <row r="41" spans="1:23">
      <c r="A41" s="57" t="s">
        <v>174</v>
      </c>
      <c r="B41" s="76"/>
      <c r="C41" s="18" t="s">
        <v>149</v>
      </c>
      <c r="D41" s="550"/>
      <c r="E41" s="18"/>
      <c r="F41" s="65" t="s">
        <v>357</v>
      </c>
      <c r="G41" s="19"/>
      <c r="I41" s="506">
        <f>IF(I16=0,0,I40/I16)</f>
        <v>7.6657827072452722E-2</v>
      </c>
      <c r="K41" s="66">
        <f>I41</f>
        <v>7.6657827072452722E-2</v>
      </c>
      <c r="L41" s="394"/>
      <c r="O41" s="66"/>
      <c r="P41" s="66"/>
      <c r="Q41" s="66"/>
      <c r="R41" s="18"/>
      <c r="U41" s="80"/>
      <c r="V41" s="56"/>
      <c r="W41" s="18"/>
    </row>
    <row r="42" spans="1:23">
      <c r="A42" s="57"/>
      <c r="C42" s="58"/>
      <c r="D42" s="560"/>
      <c r="E42" s="58"/>
      <c r="F42" s="65"/>
      <c r="G42" s="19"/>
      <c r="I42" s="392"/>
      <c r="K42" s="506"/>
      <c r="L42" s="393"/>
      <c r="O42" s="18"/>
      <c r="P42" s="18"/>
      <c r="Q42" s="18"/>
      <c r="R42" s="18"/>
      <c r="S42" s="79"/>
      <c r="T42" s="18"/>
      <c r="U42" s="18"/>
      <c r="V42" s="18"/>
      <c r="W42" s="58"/>
    </row>
    <row r="43" spans="1:23">
      <c r="A43" s="71" t="s">
        <v>175</v>
      </c>
      <c r="B43" s="72"/>
      <c r="C43" s="63" t="s">
        <v>152</v>
      </c>
      <c r="D43" s="561"/>
      <c r="E43" s="63"/>
      <c r="F43" s="73" t="s">
        <v>178</v>
      </c>
      <c r="G43" s="59"/>
      <c r="I43" s="506">
        <f>+I41+I37</f>
        <v>9.9126300902677961E-2</v>
      </c>
      <c r="K43" s="74">
        <f>K37+K41</f>
        <v>9.9126300902677961E-2</v>
      </c>
      <c r="L43" s="395"/>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351</v>
      </c>
      <c r="S47" s="49"/>
      <c r="U47" s="21" t="s">
        <v>350</v>
      </c>
    </row>
    <row r="48" spans="1:23">
      <c r="A48" s="17"/>
      <c r="C48" s="58"/>
      <c r="D48" s="560"/>
      <c r="E48" s="58"/>
      <c r="F48" s="48" t="str">
        <f>+F3</f>
        <v>Attachment 1</v>
      </c>
      <c r="I48" s="48"/>
      <c r="P48" s="48" t="str">
        <f>+F48</f>
        <v>Attachment 1</v>
      </c>
      <c r="R48" s="18"/>
      <c r="S48" s="49"/>
      <c r="T48" s="18"/>
      <c r="U48" s="22"/>
      <c r="V48" s="18"/>
      <c r="W48" s="58"/>
    </row>
    <row r="49" spans="1:23">
      <c r="A49" s="17"/>
      <c r="C49" s="58"/>
      <c r="D49" s="560"/>
      <c r="E49" s="58"/>
      <c r="F49" s="48" t="str">
        <f>+F4</f>
        <v>Project Revenue Requirement Worksheet</v>
      </c>
      <c r="I49" s="48"/>
      <c r="N49" s="18"/>
      <c r="O49" s="18"/>
      <c r="P49" s="558" t="str">
        <f t="shared" ref="P49:P50" si="0">+F49</f>
        <v>Project Revenue Requirement Worksheet</v>
      </c>
      <c r="Q49" s="18"/>
      <c r="R49" s="18"/>
      <c r="T49" s="18"/>
      <c r="U49" s="22"/>
      <c r="V49" s="18"/>
      <c r="W49" s="58"/>
    </row>
    <row r="50" spans="1:23" ht="14.25" customHeight="1">
      <c r="A50" s="17"/>
      <c r="F50" s="48" t="str">
        <f>+F5</f>
        <v>Transource West Virginia, LLC</v>
      </c>
      <c r="P50" s="558" t="str">
        <f t="shared" si="0"/>
        <v>Transource West Virginia, LLC</v>
      </c>
      <c r="R50" s="18"/>
      <c r="T50" s="18"/>
      <c r="U50" s="22"/>
      <c r="V50" s="18"/>
      <c r="W50" s="58"/>
    </row>
    <row r="51" spans="1:23" s="414" customFormat="1">
      <c r="A51" s="449"/>
      <c r="D51" s="551"/>
      <c r="F51" s="63"/>
      <c r="G51" s="63"/>
      <c r="I51" s="22"/>
      <c r="J51" s="22"/>
      <c r="K51" s="22"/>
      <c r="L51" s="22"/>
      <c r="M51" s="22"/>
      <c r="N51" s="22"/>
      <c r="O51" s="22"/>
      <c r="P51" s="22"/>
      <c r="Q51" s="22"/>
      <c r="R51" s="412"/>
      <c r="S51" s="412"/>
      <c r="T51" s="412"/>
      <c r="U51" s="22"/>
      <c r="V51" s="412"/>
      <c r="W51" s="58"/>
    </row>
    <row r="52" spans="1:23" s="414" customFormat="1" ht="53.25" customHeight="1">
      <c r="A52" s="449"/>
      <c r="C52" s="911" t="s">
        <v>818</v>
      </c>
      <c r="D52" s="911"/>
      <c r="E52" s="911"/>
      <c r="F52" s="911"/>
      <c r="G52" s="911"/>
      <c r="H52" s="911"/>
      <c r="I52" s="911"/>
      <c r="J52" s="911"/>
      <c r="K52" s="911"/>
      <c r="L52" s="448"/>
      <c r="M52" s="22"/>
      <c r="N52" s="22"/>
      <c r="O52" s="22"/>
      <c r="P52" s="22"/>
      <c r="Q52" s="22"/>
      <c r="R52" s="412"/>
      <c r="S52" s="412"/>
      <c r="T52" s="412"/>
      <c r="U52" s="22"/>
      <c r="V52" s="412"/>
      <c r="W52" s="58"/>
    </row>
    <row r="53" spans="1:23" s="414" customFormat="1" ht="28.5" customHeight="1">
      <c r="A53" s="449"/>
      <c r="C53" s="912" t="s">
        <v>753</v>
      </c>
      <c r="D53" s="912"/>
      <c r="E53" s="912"/>
      <c r="F53" s="912"/>
      <c r="G53" s="912"/>
      <c r="H53" s="912"/>
      <c r="I53" s="912"/>
      <c r="J53" s="912"/>
      <c r="K53" s="912"/>
      <c r="L53" s="22"/>
      <c r="M53" s="22"/>
      <c r="N53" s="22"/>
      <c r="O53" s="22"/>
      <c r="P53" s="22"/>
      <c r="Q53" s="22"/>
      <c r="R53" s="412"/>
      <c r="S53" s="412"/>
      <c r="T53" s="412"/>
      <c r="U53" s="22"/>
      <c r="V53" s="412"/>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62"/>
      <c r="E55" s="82">
        <v>-2</v>
      </c>
      <c r="F55" s="82">
        <v>-3</v>
      </c>
      <c r="G55" s="82">
        <v>-4</v>
      </c>
      <c r="H55" s="82">
        <v>-5</v>
      </c>
      <c r="I55" s="82">
        <v>-6</v>
      </c>
      <c r="J55" s="82">
        <v>-7</v>
      </c>
      <c r="K55" s="82">
        <v>-8</v>
      </c>
      <c r="L55" s="82"/>
      <c r="M55" s="82">
        <v>-9</v>
      </c>
      <c r="N55" s="82">
        <v>-10</v>
      </c>
      <c r="O55" s="82">
        <v>-11</v>
      </c>
      <c r="P55" s="82">
        <v>-12</v>
      </c>
      <c r="Q55" s="82" t="s">
        <v>314</v>
      </c>
      <c r="R55" s="82">
        <v>-13</v>
      </c>
      <c r="S55" s="211" t="s">
        <v>276</v>
      </c>
      <c r="T55" s="211" t="s">
        <v>277</v>
      </c>
      <c r="U55" s="211" t="s">
        <v>288</v>
      </c>
      <c r="V55" s="18"/>
      <c r="W55" s="58"/>
    </row>
    <row r="56" spans="1:23" ht="53.25" customHeight="1">
      <c r="A56" s="563" t="s">
        <v>154</v>
      </c>
      <c r="B56" s="83"/>
      <c r="C56" s="83" t="s">
        <v>336</v>
      </c>
      <c r="D56" s="564" t="s">
        <v>652</v>
      </c>
      <c r="E56" s="406" t="s">
        <v>610</v>
      </c>
      <c r="F56" s="84" t="s">
        <v>155</v>
      </c>
      <c r="G56" s="84" t="s">
        <v>141</v>
      </c>
      <c r="H56" s="85" t="s">
        <v>156</v>
      </c>
      <c r="I56" s="84" t="s">
        <v>157</v>
      </c>
      <c r="J56" s="84" t="s">
        <v>152</v>
      </c>
      <c r="K56" s="85" t="s">
        <v>158</v>
      </c>
      <c r="L56" s="563" t="s">
        <v>154</v>
      </c>
      <c r="M56" s="84" t="s">
        <v>179</v>
      </c>
      <c r="N56" s="86" t="s">
        <v>159</v>
      </c>
      <c r="O56" s="86" t="s">
        <v>537</v>
      </c>
      <c r="P56" s="86" t="s">
        <v>180</v>
      </c>
      <c r="Q56" s="86" t="s">
        <v>312</v>
      </c>
      <c r="R56" s="86" t="s">
        <v>756</v>
      </c>
      <c r="S56" s="86" t="s">
        <v>186</v>
      </c>
      <c r="T56" s="86" t="s">
        <v>160</v>
      </c>
      <c r="U56" s="86" t="s">
        <v>632</v>
      </c>
      <c r="V56" s="18"/>
      <c r="W56" s="58"/>
    </row>
    <row r="57" spans="1:23" ht="46.5" customHeight="1">
      <c r="A57" s="565"/>
      <c r="B57" s="87"/>
      <c r="C57" s="87"/>
      <c r="D57" s="566"/>
      <c r="E57" s="87"/>
      <c r="F57" s="88" t="s">
        <v>109</v>
      </c>
      <c r="G57" s="88" t="s">
        <v>281</v>
      </c>
      <c r="H57" s="89" t="s">
        <v>161</v>
      </c>
      <c r="I57" s="88" t="s">
        <v>526</v>
      </c>
      <c r="J57" s="226" t="s">
        <v>282</v>
      </c>
      <c r="K57" s="285" t="s">
        <v>162</v>
      </c>
      <c r="L57" s="565"/>
      <c r="M57" s="88" t="s">
        <v>164</v>
      </c>
      <c r="N57" s="285" t="s">
        <v>163</v>
      </c>
      <c r="O57" s="88" t="s">
        <v>244</v>
      </c>
      <c r="P57" s="285" t="s">
        <v>310</v>
      </c>
      <c r="Q57" s="90" t="s">
        <v>313</v>
      </c>
      <c r="R57" s="226" t="s">
        <v>229</v>
      </c>
      <c r="S57" s="90" t="s">
        <v>289</v>
      </c>
      <c r="T57" s="91" t="s">
        <v>611</v>
      </c>
      <c r="U57" s="90" t="s">
        <v>660</v>
      </c>
      <c r="V57" s="18"/>
      <c r="W57" s="58"/>
    </row>
    <row r="58" spans="1:23">
      <c r="A58" s="567"/>
      <c r="B58" s="22"/>
      <c r="C58" s="22"/>
      <c r="D58" s="552"/>
      <c r="E58" s="22"/>
      <c r="F58" s="22"/>
      <c r="G58" s="22"/>
      <c r="H58" s="92"/>
      <c r="I58" s="22"/>
      <c r="J58" s="22"/>
      <c r="K58" s="92"/>
      <c r="L58" s="567"/>
      <c r="M58" s="22"/>
      <c r="N58" s="92"/>
      <c r="O58" s="282"/>
      <c r="P58" s="92"/>
      <c r="Q58" s="92"/>
      <c r="R58" s="22"/>
      <c r="S58" s="225"/>
      <c r="T58" s="18"/>
      <c r="U58" s="93"/>
      <c r="V58" s="18"/>
      <c r="W58" s="58"/>
    </row>
    <row r="59" spans="1:23">
      <c r="A59" s="521" t="s">
        <v>542</v>
      </c>
      <c r="B59" s="94"/>
      <c r="C59" s="570" t="s">
        <v>856</v>
      </c>
      <c r="D59" s="570" t="s">
        <v>653</v>
      </c>
      <c r="E59" s="881" t="s">
        <v>857</v>
      </c>
      <c r="F59" s="581">
        <f>+I15</f>
        <v>73204229.108461529</v>
      </c>
      <c r="G59" s="393">
        <f>$K$33</f>
        <v>6.1146803331540251E-3</v>
      </c>
      <c r="H59" s="268">
        <f>F59*G59</f>
        <v>447620.4600332111</v>
      </c>
      <c r="I59" s="97">
        <f>+I16</f>
        <v>73088616.459230766</v>
      </c>
      <c r="J59" s="393">
        <f>$K$43</f>
        <v>9.9126300902677961E-2</v>
      </c>
      <c r="K59" s="586">
        <f>I59*J59</f>
        <v>7245004.1876981296</v>
      </c>
      <c r="L59" s="521" t="str">
        <f>+A59</f>
        <v>1a</v>
      </c>
      <c r="M59" s="581">
        <f>+'Attachment H-26'!I136</f>
        <v>506329.04000000004</v>
      </c>
      <c r="N59" s="268">
        <f>H59+K59+M59</f>
        <v>8198953.6877313405</v>
      </c>
      <c r="O59" s="283">
        <v>0</v>
      </c>
      <c r="P59" s="268">
        <f>O59/100*'2-Incentive ROE'!$J$38*I59</f>
        <v>0</v>
      </c>
      <c r="Q59" s="268">
        <f>+N59+P59</f>
        <v>8198953.6877313405</v>
      </c>
      <c r="R59" s="581">
        <v>0</v>
      </c>
      <c r="S59" s="586">
        <f>+N59+P59-R59</f>
        <v>8198953.6877313405</v>
      </c>
      <c r="T59" s="581">
        <f>'Attachment H-26'!D21</f>
        <v>-485909.7790634571</v>
      </c>
      <c r="U59" s="268">
        <f>+S59+T59</f>
        <v>7713043.9086678838</v>
      </c>
    </row>
    <row r="60" spans="1:23">
      <c r="A60" s="521" t="s">
        <v>543</v>
      </c>
      <c r="B60" s="94"/>
      <c r="C60" s="95"/>
      <c r="D60" s="570"/>
      <c r="E60" s="96"/>
      <c r="F60" s="581">
        <v>0</v>
      </c>
      <c r="G60" s="393">
        <f>$K$33</f>
        <v>6.1146803331540251E-3</v>
      </c>
      <c r="H60" s="268">
        <f>F60*G60</f>
        <v>0</v>
      </c>
      <c r="I60" s="97">
        <v>0</v>
      </c>
      <c r="J60" s="393">
        <f>$K$43</f>
        <v>9.9126300902677961E-2</v>
      </c>
      <c r="K60" s="586">
        <f>I60*J60</f>
        <v>0</v>
      </c>
      <c r="L60" s="521" t="str">
        <f>+A60</f>
        <v>1b</v>
      </c>
      <c r="M60" s="581">
        <v>0</v>
      </c>
      <c r="N60" s="268">
        <f>H60+K60+M60</f>
        <v>0</v>
      </c>
      <c r="O60" s="283">
        <v>0</v>
      </c>
      <c r="P60" s="268">
        <f>O60/100*'2-Incentive ROE'!$J$38*I60</f>
        <v>0</v>
      </c>
      <c r="Q60" s="268">
        <f>+N60+P60</f>
        <v>0</v>
      </c>
      <c r="R60" s="581">
        <v>0</v>
      </c>
      <c r="S60" s="586">
        <f>+N60+P60-R60</f>
        <v>0</v>
      </c>
      <c r="T60" s="581">
        <f>+'3-Project True-up'!L20</f>
        <v>0</v>
      </c>
      <c r="U60" s="268">
        <f>+S60+T60</f>
        <v>0</v>
      </c>
    </row>
    <row r="61" spans="1:23" s="551" customFormat="1">
      <c r="A61" s="525">
        <v>2</v>
      </c>
      <c r="B61" s="526"/>
      <c r="C61" s="526" t="s">
        <v>655</v>
      </c>
      <c r="D61" s="526"/>
      <c r="E61" s="546"/>
      <c r="F61" s="548">
        <f>+F59+F60</f>
        <v>73204229.108461529</v>
      </c>
      <c r="G61" s="519"/>
      <c r="H61" s="520">
        <f>+H59+H60</f>
        <v>447620.4600332111</v>
      </c>
      <c r="I61" s="547">
        <f>+I59+I60</f>
        <v>73088616.459230766</v>
      </c>
      <c r="J61" s="519"/>
      <c r="K61" s="520">
        <f>+K59+K60</f>
        <v>7245004.1876981296</v>
      </c>
      <c r="L61" s="544">
        <f>+A61</f>
        <v>2</v>
      </c>
      <c r="M61" s="548">
        <f>+M59+M60</f>
        <v>506329.04000000004</v>
      </c>
      <c r="N61" s="520">
        <f>+N59+N60</f>
        <v>8198953.6877313405</v>
      </c>
      <c r="O61" s="523"/>
      <c r="P61" s="520">
        <f t="shared" ref="P61:U61" si="1">+P59+P60</f>
        <v>0</v>
      </c>
      <c r="Q61" s="520">
        <f t="shared" si="1"/>
        <v>8198953.6877313405</v>
      </c>
      <c r="R61" s="548">
        <f t="shared" si="1"/>
        <v>0</v>
      </c>
      <c r="S61" s="520">
        <f t="shared" si="1"/>
        <v>8198953.6877313405</v>
      </c>
      <c r="T61" s="548">
        <f t="shared" si="1"/>
        <v>-485909.7790634571</v>
      </c>
      <c r="U61" s="520">
        <f t="shared" si="1"/>
        <v>7713043.9086678838</v>
      </c>
    </row>
    <row r="62" spans="1:23" s="551" customFormat="1">
      <c r="A62" s="521"/>
      <c r="B62" s="569"/>
      <c r="C62" s="569"/>
      <c r="D62" s="569"/>
      <c r="E62" s="538"/>
      <c r="F62" s="557"/>
      <c r="G62" s="606"/>
      <c r="H62" s="586"/>
      <c r="I62" s="539"/>
      <c r="J62" s="606"/>
      <c r="K62" s="586"/>
      <c r="L62" s="521"/>
      <c r="M62" s="557"/>
      <c r="N62" s="586"/>
      <c r="O62" s="522"/>
      <c r="P62" s="586"/>
      <c r="Q62" s="586"/>
      <c r="R62" s="557"/>
      <c r="S62" s="586"/>
      <c r="T62" s="557"/>
      <c r="U62" s="586"/>
    </row>
    <row r="63" spans="1:23">
      <c r="A63" s="521" t="s">
        <v>358</v>
      </c>
      <c r="B63" s="94"/>
      <c r="C63" s="570"/>
      <c r="D63" s="570" t="s">
        <v>654</v>
      </c>
      <c r="E63" s="881"/>
      <c r="F63" s="581">
        <v>0</v>
      </c>
      <c r="G63" s="393">
        <f>$K$33</f>
        <v>6.1146803331540251E-3</v>
      </c>
      <c r="H63" s="268">
        <f>F63*G63</f>
        <v>0</v>
      </c>
      <c r="I63" s="97">
        <v>0</v>
      </c>
      <c r="J63" s="393">
        <f>$K$43</f>
        <v>9.9126300902677961E-2</v>
      </c>
      <c r="K63" s="586">
        <f>I63*J63</f>
        <v>0</v>
      </c>
      <c r="L63" s="521" t="str">
        <f t="shared" ref="L63:L69" si="2">+A63</f>
        <v>3a</v>
      </c>
      <c r="M63" s="581">
        <v>0</v>
      </c>
      <c r="N63" s="268">
        <f>H63+K63+M63</f>
        <v>0</v>
      </c>
      <c r="O63" s="283">
        <v>0</v>
      </c>
      <c r="P63" s="268">
        <f>O63/100*'2-Incentive ROE'!$J$38*I63</f>
        <v>0</v>
      </c>
      <c r="Q63" s="268">
        <f>+N63+P63</f>
        <v>0</v>
      </c>
      <c r="R63" s="581">
        <v>0</v>
      </c>
      <c r="S63" s="586">
        <f>+N63+P63-R63</f>
        <v>0</v>
      </c>
      <c r="T63" s="581">
        <f>+'3-Project True-up'!L23</f>
        <v>0</v>
      </c>
      <c r="U63" s="268">
        <f>+S63+T63</f>
        <v>0</v>
      </c>
    </row>
    <row r="64" spans="1:23">
      <c r="A64" s="521" t="s">
        <v>359</v>
      </c>
      <c r="B64" s="94"/>
      <c r="C64" s="570"/>
      <c r="D64" s="570"/>
      <c r="E64" s="96"/>
      <c r="F64" s="581">
        <v>0</v>
      </c>
      <c r="G64" s="393">
        <f>$K$33</f>
        <v>6.1146803331540251E-3</v>
      </c>
      <c r="H64" s="268">
        <f>F64*G64</f>
        <v>0</v>
      </c>
      <c r="I64" s="97">
        <v>0</v>
      </c>
      <c r="J64" s="393">
        <f>$K$43</f>
        <v>9.9126300902677961E-2</v>
      </c>
      <c r="K64" s="586">
        <f>I64*J64</f>
        <v>0</v>
      </c>
      <c r="L64" s="521" t="str">
        <f t="shared" si="2"/>
        <v>3b</v>
      </c>
      <c r="M64" s="581">
        <v>0</v>
      </c>
      <c r="N64" s="268">
        <f>H64+K64+M64</f>
        <v>0</v>
      </c>
      <c r="O64" s="283">
        <v>0</v>
      </c>
      <c r="P64" s="268">
        <f>O64/100*'2-Incentive ROE'!$J$38*I64</f>
        <v>0</v>
      </c>
      <c r="Q64" s="268">
        <f>+N64+P64</f>
        <v>0</v>
      </c>
      <c r="R64" s="581">
        <v>0</v>
      </c>
      <c r="S64" s="586">
        <f>+N64+P64-R64</f>
        <v>0</v>
      </c>
      <c r="T64" s="581">
        <f>+'3-Project True-up'!L24</f>
        <v>0</v>
      </c>
      <c r="U64" s="268">
        <f>+S64+T64</f>
        <v>0</v>
      </c>
    </row>
    <row r="65" spans="1:21" s="551" customFormat="1">
      <c r="A65" s="525">
        <v>4</v>
      </c>
      <c r="B65" s="526"/>
      <c r="C65" s="526" t="s">
        <v>656</v>
      </c>
      <c r="D65" s="526"/>
      <c r="E65" s="546"/>
      <c r="F65" s="548">
        <f>+F63+F64</f>
        <v>0</v>
      </c>
      <c r="G65" s="519"/>
      <c r="H65" s="520">
        <f>+H63+H64</f>
        <v>0</v>
      </c>
      <c r="I65" s="547">
        <f>+I63+I64</f>
        <v>0</v>
      </c>
      <c r="J65" s="519"/>
      <c r="K65" s="520">
        <f>+K63+K64</f>
        <v>0</v>
      </c>
      <c r="L65" s="544">
        <f t="shared" si="2"/>
        <v>4</v>
      </c>
      <c r="M65" s="548">
        <f>+M63+M64</f>
        <v>0</v>
      </c>
      <c r="N65" s="520">
        <f>+N63+N64</f>
        <v>0</v>
      </c>
      <c r="O65" s="523"/>
      <c r="P65" s="520">
        <f t="shared" ref="P65:U65" si="3">+P63+P64</f>
        <v>0</v>
      </c>
      <c r="Q65" s="520">
        <f t="shared" si="3"/>
        <v>0</v>
      </c>
      <c r="R65" s="548">
        <f t="shared" si="3"/>
        <v>0</v>
      </c>
      <c r="S65" s="520">
        <f t="shared" si="3"/>
        <v>0</v>
      </c>
      <c r="T65" s="548">
        <f t="shared" si="3"/>
        <v>0</v>
      </c>
      <c r="U65" s="520">
        <f t="shared" si="3"/>
        <v>0</v>
      </c>
    </row>
    <row r="66" spans="1:21" s="551" customFormat="1">
      <c r="A66" s="524"/>
      <c r="B66" s="569"/>
      <c r="C66" s="569"/>
      <c r="D66" s="569"/>
      <c r="E66" s="538"/>
      <c r="F66" s="557"/>
      <c r="G66" s="606"/>
      <c r="H66" s="586"/>
      <c r="I66" s="539"/>
      <c r="J66" s="606"/>
      <c r="K66" s="586"/>
      <c r="L66" s="568"/>
      <c r="M66" s="557"/>
      <c r="N66" s="586"/>
      <c r="O66" s="522"/>
      <c r="P66" s="586"/>
      <c r="Q66" s="586"/>
      <c r="R66" s="557"/>
      <c r="S66" s="586"/>
      <c r="T66" s="557"/>
      <c r="U66" s="586"/>
    </row>
    <row r="67" spans="1:21" s="551" customFormat="1">
      <c r="A67" s="524">
        <f>+A65+1</f>
        <v>5</v>
      </c>
      <c r="B67" s="569"/>
      <c r="C67" s="570"/>
      <c r="D67" s="570"/>
      <c r="E67" s="571"/>
      <c r="F67" s="581"/>
      <c r="G67" s="606"/>
      <c r="H67" s="586"/>
      <c r="I67" s="572"/>
      <c r="J67" s="606"/>
      <c r="K67" s="586"/>
      <c r="L67" s="524">
        <f t="shared" si="2"/>
        <v>5</v>
      </c>
      <c r="M67" s="581"/>
      <c r="N67" s="586"/>
      <c r="O67" s="588"/>
      <c r="P67" s="586"/>
      <c r="Q67" s="586"/>
      <c r="R67" s="581"/>
      <c r="S67" s="586"/>
      <c r="T67" s="581"/>
      <c r="U67" s="586"/>
    </row>
    <row r="68" spans="1:21">
      <c r="A68" s="598"/>
      <c r="B68" s="44"/>
      <c r="C68" s="44"/>
      <c r="D68" s="556"/>
      <c r="E68" s="44"/>
      <c r="F68" s="518"/>
      <c r="G68" s="44"/>
      <c r="H68" s="420"/>
      <c r="I68" s="44"/>
      <c r="J68" s="44"/>
      <c r="K68" s="420"/>
      <c r="L68" s="598"/>
      <c r="M68" s="44"/>
      <c r="N68" s="420"/>
      <c r="O68" s="284"/>
      <c r="P68" s="489"/>
      <c r="Q68" s="489"/>
      <c r="R68" s="210"/>
      <c r="S68" s="209"/>
      <c r="T68" s="44"/>
      <c r="U68" s="269">
        <f>N68+T68</f>
        <v>0</v>
      </c>
    </row>
    <row r="69" spans="1:21">
      <c r="A69" s="705">
        <f>+A67+1</f>
        <v>6</v>
      </c>
      <c r="B69" s="706"/>
      <c r="C69" s="707" t="s">
        <v>165</v>
      </c>
      <c r="D69" s="707"/>
      <c r="E69" s="707"/>
      <c r="F69" s="708">
        <f>+F61+F65+F67</f>
        <v>73204229.108461529</v>
      </c>
      <c r="G69" s="709"/>
      <c r="H69" s="712">
        <f t="shared" ref="H69:I69" si="4">+H61+H65+H67</f>
        <v>447620.4600332111</v>
      </c>
      <c r="I69" s="708">
        <f t="shared" si="4"/>
        <v>73088616.459230766</v>
      </c>
      <c r="J69" s="710"/>
      <c r="K69" s="712">
        <f>+K61+K65+K67</f>
        <v>7245004.1876981296</v>
      </c>
      <c r="L69" s="705">
        <f t="shared" si="2"/>
        <v>6</v>
      </c>
      <c r="M69" s="708">
        <f t="shared" ref="M69" si="5">+M61+M65+M67</f>
        <v>506329.04000000004</v>
      </c>
      <c r="N69" s="712">
        <f>+N61+N65+N67</f>
        <v>8198953.6877313405</v>
      </c>
      <c r="O69" s="711"/>
      <c r="P69" s="712">
        <f t="shared" ref="P69:U69" si="6">+P61+P65+P67</f>
        <v>0</v>
      </c>
      <c r="Q69" s="712">
        <f t="shared" si="6"/>
        <v>8198953.6877313405</v>
      </c>
      <c r="R69" s="712">
        <f t="shared" si="6"/>
        <v>0</v>
      </c>
      <c r="S69" s="712">
        <f t="shared" si="6"/>
        <v>8198953.6877313405</v>
      </c>
      <c r="T69" s="712">
        <f t="shared" si="6"/>
        <v>-485909.7790634571</v>
      </c>
      <c r="U69" s="712">
        <f t="shared" si="6"/>
        <v>7713043.9086678838</v>
      </c>
    </row>
    <row r="70" spans="1:21">
      <c r="M70" s="47"/>
      <c r="N70" s="47"/>
      <c r="O70" s="47"/>
      <c r="P70" s="47"/>
      <c r="Q70" s="47"/>
    </row>
    <row r="71" spans="1:21">
      <c r="M71" s="47"/>
      <c r="N71" s="47"/>
      <c r="O71" s="47"/>
      <c r="P71" s="47"/>
      <c r="Q71" s="47"/>
    </row>
    <row r="72" spans="1:21">
      <c r="A72" s="558"/>
      <c r="L72" s="558"/>
    </row>
    <row r="73" spans="1:21" ht="13.5" thickBot="1">
      <c r="A73" s="545" t="s">
        <v>579</v>
      </c>
      <c r="L73" s="545" t="str">
        <f>+A73</f>
        <v>Notes</v>
      </c>
    </row>
    <row r="74" spans="1:21" s="414" customFormat="1" ht="27.75" customHeight="1">
      <c r="A74" s="98" t="s">
        <v>62</v>
      </c>
      <c r="C74" s="909" t="s">
        <v>819</v>
      </c>
      <c r="D74" s="909"/>
      <c r="E74" s="909"/>
      <c r="F74" s="909"/>
      <c r="G74" s="909"/>
      <c r="H74" s="909"/>
      <c r="I74" s="909"/>
      <c r="J74" s="909"/>
      <c r="K74" s="909"/>
      <c r="L74" s="573" t="str">
        <f>+A74</f>
        <v>A</v>
      </c>
      <c r="M74" s="909" t="str">
        <f>+C74</f>
        <v>Gross Transmission Plant is that identified on page 2 line 2 of Attachment H-26 inclusive of any CWIP or unamortized abandoned plant included in rate base when authorized by FERC order.</v>
      </c>
      <c r="N74" s="909"/>
      <c r="O74" s="909"/>
      <c r="P74" s="909"/>
      <c r="Q74" s="909"/>
      <c r="R74" s="909"/>
      <c r="S74" s="909"/>
      <c r="T74" s="909"/>
      <c r="U74" s="909"/>
    </row>
    <row r="75" spans="1:21" ht="29.25" customHeight="1">
      <c r="A75" s="98" t="s">
        <v>63</v>
      </c>
      <c r="C75" s="909" t="s">
        <v>820</v>
      </c>
      <c r="D75" s="909"/>
      <c r="E75" s="909"/>
      <c r="F75" s="909"/>
      <c r="G75" s="909"/>
      <c r="H75" s="909"/>
      <c r="I75" s="909"/>
      <c r="J75" s="909"/>
      <c r="K75" s="909"/>
      <c r="L75" s="573" t="str">
        <f t="shared" ref="L75:L82" si="7">+A75</f>
        <v>B</v>
      </c>
      <c r="M75" s="909" t="str">
        <f t="shared" ref="M75:M82" si="8">+C75</f>
        <v>Net Plant is that identified on page 2 line 14 of Attachment H-26 inclusive of any CWIP or unamortized Abandoned Plant included in rate base when authorized by FERC order less any prefunded AFUDC, if applicable.</v>
      </c>
      <c r="N75" s="909"/>
      <c r="O75" s="909"/>
      <c r="P75" s="909"/>
      <c r="Q75" s="909"/>
      <c r="R75" s="909"/>
      <c r="S75" s="909"/>
      <c r="T75" s="909"/>
      <c r="U75" s="909"/>
    </row>
    <row r="76" spans="1:21" s="414" customFormat="1" ht="15" customHeight="1">
      <c r="A76" s="98" t="s">
        <v>64</v>
      </c>
      <c r="B76" s="481"/>
      <c r="C76" s="909" t="s">
        <v>718</v>
      </c>
      <c r="D76" s="909"/>
      <c r="E76" s="909"/>
      <c r="F76" s="909"/>
      <c r="G76" s="909"/>
      <c r="H76" s="909"/>
      <c r="I76" s="909"/>
      <c r="J76" s="909"/>
      <c r="K76" s="909"/>
      <c r="L76" s="573" t="str">
        <f t="shared" si="7"/>
        <v>C</v>
      </c>
      <c r="M76" s="909" t="str">
        <f t="shared" si="8"/>
        <v>General and Intangible Depreciation and Amortization Expense includes all expense not directly associated with a project, which is entered on page 3 , column 9.</v>
      </c>
      <c r="N76" s="909"/>
      <c r="O76" s="909"/>
      <c r="P76" s="909"/>
      <c r="Q76" s="909"/>
      <c r="R76" s="909"/>
      <c r="S76" s="909"/>
      <c r="T76" s="909"/>
      <c r="U76" s="909"/>
    </row>
    <row r="77" spans="1:21" ht="30" customHeight="1">
      <c r="A77" s="98" t="s">
        <v>65</v>
      </c>
      <c r="C77" s="909" t="s">
        <v>540</v>
      </c>
      <c r="D77" s="909"/>
      <c r="E77" s="909"/>
      <c r="F77" s="909"/>
      <c r="G77" s="909"/>
      <c r="H77" s="909"/>
      <c r="I77" s="909"/>
      <c r="J77" s="909"/>
      <c r="K77" s="909"/>
      <c r="L77" s="573" t="str">
        <f t="shared" si="7"/>
        <v>D</v>
      </c>
      <c r="M77" s="909"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909"/>
      <c r="O77" s="909"/>
      <c r="P77" s="909"/>
      <c r="Q77" s="909"/>
      <c r="R77" s="909"/>
      <c r="S77" s="909"/>
      <c r="T77" s="909"/>
      <c r="U77" s="909"/>
    </row>
    <row r="78" spans="1:21" ht="29.25" customHeight="1">
      <c r="A78" s="98" t="s">
        <v>66</v>
      </c>
      <c r="C78" s="909" t="s">
        <v>612</v>
      </c>
      <c r="D78" s="909"/>
      <c r="E78" s="909"/>
      <c r="F78" s="909"/>
      <c r="G78" s="909"/>
      <c r="H78" s="909"/>
      <c r="I78" s="909"/>
      <c r="J78" s="909"/>
      <c r="K78" s="909"/>
      <c r="L78" s="573" t="str">
        <f t="shared" si="7"/>
        <v>E</v>
      </c>
      <c r="M78" s="909" t="str">
        <f t="shared" si="8"/>
        <v>Project Net Plant is the Project Gross Plant Identified in Column 3 less the associated Accumulated Depreciation plus CWIP in rate base if applicable and Unamortized Abandoned Plant.</v>
      </c>
      <c r="N78" s="909"/>
      <c r="O78" s="909"/>
      <c r="P78" s="909"/>
      <c r="Q78" s="909"/>
      <c r="R78" s="909"/>
      <c r="S78" s="909"/>
      <c r="T78" s="909"/>
      <c r="U78" s="909"/>
    </row>
    <row r="79" spans="1:21" ht="27" customHeight="1">
      <c r="A79" s="98" t="s">
        <v>67</v>
      </c>
      <c r="C79" s="909" t="s">
        <v>821</v>
      </c>
      <c r="D79" s="909"/>
      <c r="E79" s="909"/>
      <c r="F79" s="909"/>
      <c r="G79" s="909"/>
      <c r="H79" s="909"/>
      <c r="I79" s="909"/>
      <c r="J79" s="909"/>
      <c r="K79" s="909"/>
      <c r="L79" s="573" t="str">
        <f t="shared" si="7"/>
        <v>F</v>
      </c>
      <c r="M79" s="909" t="str">
        <f t="shared" si="8"/>
        <v>Project Depreciation Expense is the actual value booked for the project (excluding General and Intangible depreciation) at Attachment H-26, page 3, line 19, plus amortization of Abandoned Plant at Attachment H-26, page 3, line 21.</v>
      </c>
      <c r="N79" s="909"/>
      <c r="O79" s="909"/>
      <c r="P79" s="909"/>
      <c r="Q79" s="909"/>
      <c r="R79" s="909"/>
      <c r="S79" s="909"/>
      <c r="T79" s="909"/>
      <c r="U79" s="909"/>
    </row>
    <row r="80" spans="1:21">
      <c r="A80" s="488" t="s">
        <v>68</v>
      </c>
      <c r="C80" s="487" t="s">
        <v>541</v>
      </c>
      <c r="D80" s="620"/>
      <c r="E80" s="487"/>
      <c r="F80" s="487"/>
      <c r="G80" s="487"/>
      <c r="H80" s="487"/>
      <c r="I80" s="487"/>
      <c r="J80" s="487"/>
      <c r="K80" s="487"/>
      <c r="L80" s="573" t="str">
        <f t="shared" si="7"/>
        <v>G</v>
      </c>
      <c r="M80" s="909" t="str">
        <f t="shared" si="8"/>
        <v>Requires approval by FERC of incentive return applicable to the specified project(s).</v>
      </c>
      <c r="N80" s="909"/>
      <c r="O80" s="909"/>
      <c r="P80" s="909"/>
      <c r="Q80" s="909"/>
      <c r="R80" s="909"/>
      <c r="S80" s="909"/>
      <c r="T80" s="909"/>
      <c r="U80" s="909"/>
    </row>
    <row r="81" spans="1:21" ht="25.5" customHeight="1">
      <c r="A81" s="98" t="s">
        <v>69</v>
      </c>
      <c r="C81" s="910" t="s">
        <v>791</v>
      </c>
      <c r="D81" s="910"/>
      <c r="E81" s="910"/>
      <c r="F81" s="910"/>
      <c r="G81" s="910"/>
      <c r="H81" s="910"/>
      <c r="I81" s="910"/>
      <c r="J81" s="910"/>
      <c r="K81" s="910"/>
      <c r="L81" s="573" t="str">
        <f t="shared" si="7"/>
        <v>H</v>
      </c>
      <c r="M81" s="909"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909"/>
      <c r="O81" s="909"/>
      <c r="P81" s="909"/>
      <c r="Q81" s="909"/>
      <c r="R81" s="909"/>
      <c r="S81" s="909"/>
      <c r="T81" s="909"/>
      <c r="U81" s="909"/>
    </row>
    <row r="82" spans="1:21">
      <c r="A82" s="98" t="s">
        <v>70</v>
      </c>
      <c r="C82" s="910" t="s">
        <v>659</v>
      </c>
      <c r="D82" s="910"/>
      <c r="E82" s="910"/>
      <c r="F82" s="910"/>
      <c r="G82" s="910"/>
      <c r="H82" s="910"/>
      <c r="I82" s="910"/>
      <c r="J82" s="910"/>
      <c r="K82" s="910"/>
      <c r="L82" s="573" t="str">
        <f t="shared" si="7"/>
        <v>I</v>
      </c>
      <c r="M82" s="909" t="str">
        <f t="shared" si="8"/>
        <v>True-Up Adjustment is calculated on the Project True-up Schedule for the relevant true-up year.</v>
      </c>
      <c r="N82" s="909"/>
      <c r="O82" s="909"/>
      <c r="P82" s="909"/>
      <c r="Q82" s="909"/>
      <c r="R82" s="909"/>
      <c r="S82" s="909"/>
      <c r="T82" s="909"/>
      <c r="U82" s="909"/>
    </row>
    <row r="83" spans="1:21" ht="15.75" customHeight="1">
      <c r="A83" s="98"/>
      <c r="C83" s="909"/>
      <c r="D83" s="909"/>
      <c r="E83" s="909"/>
      <c r="F83" s="909"/>
      <c r="G83" s="909"/>
      <c r="H83" s="909"/>
      <c r="I83" s="909"/>
      <c r="J83" s="909"/>
      <c r="K83" s="909"/>
      <c r="L83" s="447"/>
      <c r="M83" s="487"/>
      <c r="N83" s="487"/>
      <c r="O83" s="487"/>
      <c r="P83" s="487"/>
      <c r="Q83" s="487"/>
      <c r="R83" s="487"/>
      <c r="S83" s="487"/>
    </row>
    <row r="85" spans="1:21">
      <c r="C85" s="323"/>
      <c r="D85" s="601"/>
    </row>
    <row r="86" spans="1:21">
      <c r="C86" s="323"/>
      <c r="D86" s="601"/>
    </row>
  </sheetData>
  <customSheetViews>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1"/>
    </customSheetView>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2"/>
      <headerFooter alignWithMargins="0"/>
    </customSheetView>
  </customSheetViews>
  <mergeCells count="20">
    <mergeCell ref="M74:U74"/>
    <mergeCell ref="M75:U75"/>
    <mergeCell ref="M76:U76"/>
    <mergeCell ref="M77:U77"/>
    <mergeCell ref="M78:U78"/>
    <mergeCell ref="C83:K83"/>
    <mergeCell ref="C52:K52"/>
    <mergeCell ref="C77:K77"/>
    <mergeCell ref="C76:K76"/>
    <mergeCell ref="C79:K79"/>
    <mergeCell ref="C78:K78"/>
    <mergeCell ref="C81:K81"/>
    <mergeCell ref="C75:K75"/>
    <mergeCell ref="C74:K74"/>
    <mergeCell ref="C53:K53"/>
    <mergeCell ref="M79:U79"/>
    <mergeCell ref="M80:U80"/>
    <mergeCell ref="M81:U81"/>
    <mergeCell ref="M82:U82"/>
    <mergeCell ref="C82:K82"/>
  </mergeCells>
  <phoneticPr fontId="0" type="noConversion"/>
  <pageMargins left="0.75" right="0.25" top="0.75" bottom="0.75" header="0.3" footer="0.3"/>
  <pageSetup scale="74" fitToWidth="2" fitToHeight="2" orientation="landscape" r:id="rId3"/>
  <rowBreaks count="1" manualBreakCount="1">
    <brk id="46" max="10" man="1"/>
  </rowBreaks>
  <colBreaks count="1" manualBreakCount="1">
    <brk id="11"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75" zoomScaleNormal="80" zoomScaleSheetLayoutView="75" workbookViewId="0">
      <selection activeCell="D117" sqref="D117"/>
    </sheetView>
  </sheetViews>
  <sheetFormatPr defaultColWidth="8.88671875" defaultRowHeight="15.75"/>
  <cols>
    <col min="1" max="1" width="5.5546875" style="263" customWidth="1"/>
    <col min="2" max="2" width="21.5546875" style="227" customWidth="1"/>
    <col min="3" max="3" width="30.5546875" style="227" customWidth="1"/>
    <col min="4" max="4" width="25.21875" style="227" customWidth="1"/>
    <col min="5" max="5" width="11" style="227" customWidth="1"/>
    <col min="6" max="6" width="6.5546875" style="227" customWidth="1"/>
    <col min="7" max="7" width="4.77734375" style="227" customWidth="1"/>
    <col min="8" max="8" width="8.109375" style="227" customWidth="1"/>
    <col min="9" max="9" width="10" style="233" customWidth="1"/>
    <col min="10" max="10" width="12.88671875" style="227" bestFit="1" customWidth="1"/>
    <col min="11" max="16384" width="8.88671875" style="227"/>
  </cols>
  <sheetData>
    <row r="1" spans="1:10">
      <c r="B1" s="913" t="s">
        <v>247</v>
      </c>
      <c r="C1" s="913"/>
      <c r="D1" s="913"/>
      <c r="E1" s="913"/>
      <c r="F1" s="913"/>
      <c r="G1" s="913"/>
      <c r="H1" s="913"/>
      <c r="I1" s="913"/>
      <c r="J1" s="913"/>
    </row>
    <row r="2" spans="1:10">
      <c r="B2" s="913" t="s">
        <v>311</v>
      </c>
      <c r="C2" s="913"/>
      <c r="D2" s="913"/>
      <c r="E2" s="913"/>
      <c r="F2" s="913"/>
      <c r="G2" s="913"/>
      <c r="H2" s="913"/>
      <c r="I2" s="913"/>
      <c r="J2" s="913"/>
    </row>
    <row r="3" spans="1:10">
      <c r="B3" s="913" t="str">
        <f>+'Attachment H-26'!D5</f>
        <v>Transource West Virginia, LLC</v>
      </c>
      <c r="C3" s="913"/>
      <c r="D3" s="913"/>
      <c r="E3" s="913"/>
      <c r="F3" s="913"/>
      <c r="G3" s="913"/>
      <c r="H3" s="913"/>
      <c r="I3" s="913"/>
      <c r="J3" s="913"/>
    </row>
    <row r="5" spans="1:10">
      <c r="A5" s="263">
        <v>1</v>
      </c>
      <c r="B5" s="227" t="s">
        <v>304</v>
      </c>
      <c r="C5" s="227" t="s">
        <v>827</v>
      </c>
      <c r="I5" s="227"/>
      <c r="J5" s="263">
        <f>+'Attachment H-26'!I104</f>
        <v>73147175.715004146</v>
      </c>
    </row>
    <row r="6" spans="1:10">
      <c r="I6" s="227"/>
      <c r="J6" s="233"/>
    </row>
    <row r="7" spans="1:10" ht="16.5" thickBot="1">
      <c r="A7" s="229">
        <f>+A5+1</f>
        <v>2</v>
      </c>
      <c r="B7" s="230" t="s">
        <v>248</v>
      </c>
      <c r="C7" s="231"/>
      <c r="D7" s="231"/>
      <c r="E7" s="231"/>
      <c r="F7" s="231"/>
      <c r="G7" s="231"/>
      <c r="H7" s="231"/>
      <c r="I7" s="232" t="s">
        <v>48</v>
      </c>
      <c r="J7" s="233"/>
    </row>
    <row r="8" spans="1:10">
      <c r="A8" s="229"/>
      <c r="B8" s="234"/>
      <c r="C8" s="231"/>
      <c r="D8" s="231"/>
      <c r="E8" s="231"/>
      <c r="F8" s="231"/>
      <c r="G8" s="231"/>
      <c r="H8" s="235" t="s">
        <v>57</v>
      </c>
      <c r="I8" s="231"/>
      <c r="J8" s="233"/>
    </row>
    <row r="9" spans="1:10" ht="16.5" thickBot="1">
      <c r="A9" s="229"/>
      <c r="B9" s="234"/>
      <c r="C9" s="231"/>
      <c r="D9" s="231"/>
      <c r="E9" s="236" t="s">
        <v>48</v>
      </c>
      <c r="F9" s="236" t="s">
        <v>58</v>
      </c>
      <c r="G9" s="231"/>
      <c r="H9" s="236"/>
      <c r="I9" s="236" t="s">
        <v>59</v>
      </c>
      <c r="J9" s="233"/>
    </row>
    <row r="10" spans="1:10">
      <c r="A10" s="229">
        <f>+A7+1</f>
        <v>3</v>
      </c>
      <c r="B10" s="230" t="s">
        <v>236</v>
      </c>
      <c r="C10" s="30" t="s">
        <v>828</v>
      </c>
      <c r="D10" s="237"/>
      <c r="E10" s="474">
        <f>+'Attachment H-26'!D202</f>
        <v>25779101.923076924</v>
      </c>
      <c r="F10" s="476">
        <f>+'Attachment H-26'!E202</f>
        <v>0.39569992056738423</v>
      </c>
      <c r="G10" s="477"/>
      <c r="H10" s="480">
        <f>+'Attachment H-26'!G202</f>
        <v>3.3219488504888393E-2</v>
      </c>
      <c r="I10" s="478">
        <f>F10*H10</f>
        <v>1.3144948962673471E-2</v>
      </c>
      <c r="J10" s="233"/>
    </row>
    <row r="11" spans="1:10">
      <c r="A11" s="229">
        <f>+A10+1</f>
        <v>4</v>
      </c>
      <c r="B11" s="230" t="s">
        <v>305</v>
      </c>
      <c r="C11" s="30" t="s">
        <v>828</v>
      </c>
      <c r="D11" s="237"/>
      <c r="E11" s="474">
        <f>+'Attachment H-26'!D203</f>
        <v>0</v>
      </c>
      <c r="F11" s="476">
        <f>+'Attachment H-26'!E203</f>
        <v>0</v>
      </c>
      <c r="G11" s="477"/>
      <c r="H11" s="480">
        <f>+'Attachment H-26'!G203</f>
        <v>0</v>
      </c>
      <c r="I11" s="478">
        <f>F11*H11</f>
        <v>0</v>
      </c>
      <c r="J11" s="233"/>
    </row>
    <row r="12" spans="1:10" ht="32.25" thickBot="1">
      <c r="A12" s="229">
        <f>+A11+1</f>
        <v>5</v>
      </c>
      <c r="B12" s="230" t="s">
        <v>278</v>
      </c>
      <c r="C12" s="30" t="s">
        <v>829</v>
      </c>
      <c r="D12" s="278" t="s">
        <v>830</v>
      </c>
      <c r="E12" s="474">
        <f>+'Attachment H-26'!D204</f>
        <v>39369008.003538467</v>
      </c>
      <c r="F12" s="476">
        <f>+'Attachment H-26'!E204</f>
        <v>0.60430007943261588</v>
      </c>
      <c r="G12" s="477"/>
      <c r="H12" s="480">
        <f>+'Attachment H-26'!G204+0.01</f>
        <v>0.115</v>
      </c>
      <c r="I12" s="479">
        <f>F12*H12</f>
        <v>6.9494509134750831E-2</v>
      </c>
      <c r="J12" s="233"/>
    </row>
    <row r="13" spans="1:10">
      <c r="A13" s="229">
        <f>+A12+1</f>
        <v>6</v>
      </c>
      <c r="B13" s="234" t="s">
        <v>555</v>
      </c>
      <c r="C13" s="238"/>
      <c r="D13" s="238"/>
      <c r="E13" s="474">
        <f>SUM(E10:E12)</f>
        <v>65148109.926615387</v>
      </c>
      <c r="F13" s="228" t="s">
        <v>2</v>
      </c>
      <c r="G13" s="228"/>
      <c r="H13" s="475"/>
      <c r="I13" s="478">
        <f>SUM(I10:I12)</f>
        <v>8.2639458097424304E-2</v>
      </c>
      <c r="J13" s="233"/>
    </row>
    <row r="14" spans="1:10">
      <c r="A14" s="229">
        <f t="shared" ref="A14:A38" si="0">+A13+1</f>
        <v>7</v>
      </c>
      <c r="B14" s="234" t="s">
        <v>255</v>
      </c>
      <c r="C14" s="238"/>
      <c r="D14" s="238"/>
      <c r="E14" s="239"/>
      <c r="F14" s="231"/>
      <c r="G14" s="231"/>
      <c r="H14" s="231"/>
      <c r="I14" s="490"/>
      <c r="J14" s="263">
        <f>+I13*J5</f>
        <v>6044842.9624450179</v>
      </c>
    </row>
    <row r="15" spans="1:10">
      <c r="A15" s="229"/>
      <c r="I15" s="491"/>
      <c r="J15" s="491"/>
    </row>
    <row r="16" spans="1:10">
      <c r="A16" s="229">
        <f>+A14+1</f>
        <v>8</v>
      </c>
      <c r="B16" s="234" t="s">
        <v>40</v>
      </c>
      <c r="C16" s="240"/>
      <c r="D16" s="240"/>
      <c r="E16" s="231"/>
      <c r="F16" s="231"/>
      <c r="G16" s="238"/>
      <c r="H16" s="241"/>
      <c r="I16" s="490"/>
      <c r="J16" s="491"/>
    </row>
    <row r="17" spans="1:10">
      <c r="A17" s="229">
        <f t="shared" si="0"/>
        <v>9</v>
      </c>
      <c r="B17" s="242" t="s">
        <v>309</v>
      </c>
      <c r="C17" s="231"/>
      <c r="D17" s="511"/>
      <c r="E17" s="716">
        <f>IF('Attachment H-26'!D236&gt;0,1-(((1-'Attachment H-26'!D237)*(1-'Attachment H-26'!D236))/(1-'Attachment H-26'!D236*'Attachment H-26'!D237*'Attachment H-26'!D238)),0)</f>
        <v>0.26134999999999997</v>
      </c>
      <c r="F17" s="716"/>
      <c r="G17" s="238"/>
      <c r="H17" s="241"/>
      <c r="I17" s="490"/>
      <c r="J17" s="491"/>
    </row>
    <row r="18" spans="1:10">
      <c r="A18" s="229">
        <f t="shared" si="0"/>
        <v>10</v>
      </c>
      <c r="B18" s="238" t="s">
        <v>41</v>
      </c>
      <c r="C18" s="231"/>
      <c r="D18" s="511"/>
      <c r="E18" s="716">
        <f>IF(I13&gt;0,(E17/(1-E17))*(1-I10/I13),0)</f>
        <v>0.29754101028007957</v>
      </c>
      <c r="F18" s="231"/>
      <c r="G18" s="238"/>
      <c r="H18" s="241"/>
      <c r="I18" s="490"/>
      <c r="J18" s="491"/>
    </row>
    <row r="19" spans="1:10">
      <c r="A19" s="229">
        <f t="shared" si="0"/>
        <v>11</v>
      </c>
      <c r="B19" s="240" t="s">
        <v>306</v>
      </c>
      <c r="C19" s="240"/>
      <c r="D19" s="511"/>
      <c r="E19" s="231"/>
      <c r="F19" s="231"/>
      <c r="G19" s="238"/>
      <c r="H19" s="241"/>
      <c r="I19" s="490"/>
      <c r="J19" s="491"/>
    </row>
    <row r="20" spans="1:10">
      <c r="A20" s="229">
        <f t="shared" si="0"/>
        <v>12</v>
      </c>
      <c r="B20" s="243" t="s">
        <v>825</v>
      </c>
      <c r="C20" s="240"/>
      <c r="D20" s="240"/>
      <c r="E20" s="231"/>
      <c r="F20" s="231"/>
      <c r="G20" s="238"/>
      <c r="H20" s="241"/>
      <c r="I20" s="490"/>
      <c r="J20" s="491"/>
    </row>
    <row r="21" spans="1:10">
      <c r="A21" s="229">
        <f t="shared" si="0"/>
        <v>13</v>
      </c>
      <c r="B21" s="244" t="str">
        <f>"      1 / (1 - T)  =  (from line "&amp;A17&amp;")"</f>
        <v xml:space="preserve">      1 / (1 - T)  =  (from line 9)</v>
      </c>
      <c r="C21" s="240"/>
      <c r="D21" s="240"/>
      <c r="E21" s="716">
        <f>IF(E17&gt;0,1/(1-E17),0)</f>
        <v>1.3538211602247343</v>
      </c>
      <c r="F21" s="231"/>
      <c r="G21" s="238"/>
      <c r="H21" s="241"/>
      <c r="I21" s="490"/>
      <c r="J21" s="491"/>
    </row>
    <row r="22" spans="1:10">
      <c r="A22" s="229">
        <f t="shared" si="0"/>
        <v>14</v>
      </c>
      <c r="B22" s="243" t="s">
        <v>249</v>
      </c>
      <c r="C22" s="240"/>
      <c r="D22" s="240" t="s">
        <v>823</v>
      </c>
      <c r="E22" s="245">
        <f>+'Attachment H-26'!D158</f>
        <v>0</v>
      </c>
      <c r="F22" s="231"/>
      <c r="G22" s="238"/>
      <c r="H22" s="241"/>
      <c r="I22" s="490"/>
      <c r="J22" s="491"/>
    </row>
    <row r="23" spans="1:10">
      <c r="A23" s="229">
        <f t="shared" si="0"/>
        <v>15</v>
      </c>
      <c r="B23" s="243" t="s">
        <v>250</v>
      </c>
      <c r="C23" s="240"/>
      <c r="D23" s="240" t="s">
        <v>824</v>
      </c>
      <c r="E23" s="245">
        <f>+'Attachment H-26'!D159</f>
        <v>0</v>
      </c>
      <c r="F23" s="231"/>
      <c r="G23" s="238"/>
      <c r="H23" s="246"/>
      <c r="I23" s="490"/>
      <c r="J23" s="491"/>
    </row>
    <row r="24" spans="1:10">
      <c r="A24" s="229">
        <f t="shared" si="0"/>
        <v>16</v>
      </c>
      <c r="B24" s="243" t="s">
        <v>307</v>
      </c>
      <c r="C24" s="240"/>
      <c r="D24" s="240" t="s">
        <v>849</v>
      </c>
      <c r="E24" s="494">
        <f>+'Attachment H-26'!D160</f>
        <v>0</v>
      </c>
      <c r="F24" s="231"/>
      <c r="G24" s="238"/>
      <c r="H24" s="241"/>
      <c r="I24" s="490"/>
      <c r="J24" s="491"/>
    </row>
    <row r="25" spans="1:10">
      <c r="A25" s="229">
        <f t="shared" si="0"/>
        <v>17</v>
      </c>
      <c r="B25" s="244" t="str">
        <f>"Income Tax Calculation = line "&amp;A14&amp;" * line "&amp;A18&amp;""</f>
        <v>Income Tax Calculation = line 7 * line 10</v>
      </c>
      <c r="C25" s="247"/>
      <c r="E25" s="266"/>
      <c r="F25" s="248"/>
      <c r="G25" s="248"/>
      <c r="H25" s="249"/>
      <c r="I25" s="492">
        <f>+E18*J14</f>
        <v>1798588.6820303197</v>
      </c>
      <c r="J25" s="491"/>
    </row>
    <row r="26" spans="1:10">
      <c r="A26" s="229">
        <f t="shared" si="0"/>
        <v>18</v>
      </c>
      <c r="B26" s="237" t="str">
        <f>"ITC adjustment (line "&amp;A21&amp;" * line "&amp;A22&amp;")"</f>
        <v>ITC adjustment (line 13 * line 14)</v>
      </c>
      <c r="C26" s="247"/>
      <c r="D26" s="247"/>
      <c r="E26" s="266">
        <f>+E$21*E22</f>
        <v>0</v>
      </c>
      <c r="F26" s="248"/>
      <c r="G26" s="250" t="s">
        <v>27</v>
      </c>
      <c r="H26" s="228">
        <f>+'Attachment H-26'!G82</f>
        <v>1</v>
      </c>
      <c r="I26" s="492">
        <f>+E26*H26</f>
        <v>0</v>
      </c>
      <c r="J26" s="491"/>
    </row>
    <row r="27" spans="1:10">
      <c r="A27" s="229">
        <f t="shared" si="0"/>
        <v>19</v>
      </c>
      <c r="B27" s="237" t="str">
        <f>"Excess Deferred Income Tax Adjustment (line "&amp;A21&amp;" * line "&amp;A23&amp;")"</f>
        <v>Excess Deferred Income Tax Adjustment (line 13 * line 15)</v>
      </c>
      <c r="C27" s="247"/>
      <c r="D27" s="247"/>
      <c r="E27" s="266">
        <f>+E$21*E23</f>
        <v>0</v>
      </c>
      <c r="F27" s="248"/>
      <c r="G27" s="250" t="s">
        <v>27</v>
      </c>
      <c r="H27" s="228">
        <f>H26</f>
        <v>1</v>
      </c>
      <c r="I27" s="492">
        <f>+E27*H27</f>
        <v>0</v>
      </c>
      <c r="J27" s="491"/>
    </row>
    <row r="28" spans="1:10">
      <c r="A28" s="229">
        <f t="shared" si="0"/>
        <v>20</v>
      </c>
      <c r="B28" s="237" t="str">
        <f>"Permanent Differences Tax Adjustment (line "&amp;A21&amp;" * "&amp;A24&amp;")"</f>
        <v>Permanent Differences Tax Adjustment (line 13 * 16)</v>
      </c>
      <c r="C28" s="247"/>
      <c r="D28" s="247"/>
      <c r="E28" s="493">
        <f>+E$21*E24</f>
        <v>0</v>
      </c>
      <c r="F28" s="248"/>
      <c r="G28" s="250" t="s">
        <v>27</v>
      </c>
      <c r="H28" s="228">
        <f>H27</f>
        <v>1</v>
      </c>
      <c r="I28" s="493">
        <f>+E28*H28</f>
        <v>0</v>
      </c>
      <c r="J28" s="491"/>
    </row>
    <row r="29" spans="1:10">
      <c r="A29" s="229">
        <f t="shared" si="0"/>
        <v>21</v>
      </c>
      <c r="B29" s="251" t="str">
        <f>"Total Income Taxes (sum lines "&amp;A25&amp;" - "&amp;A28&amp;")"</f>
        <v>Total Income Taxes (sum lines 17 - 20)</v>
      </c>
      <c r="C29" s="237"/>
      <c r="D29" s="237"/>
      <c r="E29" s="245"/>
      <c r="F29" s="248"/>
      <c r="G29" s="248" t="s">
        <v>2</v>
      </c>
      <c r="H29" s="249" t="s">
        <v>2</v>
      </c>
      <c r="I29" s="494">
        <f>SUM(I25:I28)</f>
        <v>1798588.6820303197</v>
      </c>
      <c r="J29" s="263">
        <f>+I29</f>
        <v>1798588.6820303197</v>
      </c>
    </row>
    <row r="30" spans="1:10">
      <c r="A30" s="229"/>
      <c r="I30" s="491"/>
      <c r="J30" s="491"/>
    </row>
    <row r="31" spans="1:10">
      <c r="A31" s="229">
        <f>+A29+1</f>
        <v>22</v>
      </c>
      <c r="B31" s="237" t="s">
        <v>251</v>
      </c>
      <c r="I31" s="491"/>
      <c r="J31" s="263">
        <f>+J29+J14</f>
        <v>7843431.6444753371</v>
      </c>
    </row>
    <row r="32" spans="1:10">
      <c r="A32" s="229"/>
      <c r="I32" s="491"/>
      <c r="J32" s="491"/>
    </row>
    <row r="33" spans="1:10">
      <c r="A33" s="229">
        <f>+A31+1</f>
        <v>23</v>
      </c>
      <c r="B33" s="227" t="s">
        <v>839</v>
      </c>
      <c r="I33" s="491"/>
      <c r="J33" s="263">
        <f>+'Attachment H-26'!I168</f>
        <v>5602814.5214965334</v>
      </c>
    </row>
    <row r="34" spans="1:10">
      <c r="A34" s="229">
        <f t="shared" si="0"/>
        <v>24</v>
      </c>
      <c r="B34" s="227" t="s">
        <v>840</v>
      </c>
      <c r="I34" s="491"/>
      <c r="J34" s="263">
        <f>+'Attachment H-26'!I165</f>
        <v>1642189.6662015966</v>
      </c>
    </row>
    <row r="35" spans="1:10">
      <c r="A35" s="229">
        <f t="shared" si="0"/>
        <v>25</v>
      </c>
      <c r="B35" s="237" t="s">
        <v>252</v>
      </c>
      <c r="I35" s="491"/>
      <c r="J35" s="495">
        <f>SUM(J33:J34)</f>
        <v>7245004.1876981296</v>
      </c>
    </row>
    <row r="36" spans="1:10">
      <c r="A36" s="229">
        <f t="shared" si="0"/>
        <v>26</v>
      </c>
      <c r="B36" s="237" t="s">
        <v>253</v>
      </c>
      <c r="I36" s="227"/>
      <c r="J36" s="228">
        <f>+J31-J35</f>
        <v>598427.45677720755</v>
      </c>
    </row>
    <row r="37" spans="1:10">
      <c r="A37" s="229">
        <f t="shared" si="0"/>
        <v>27</v>
      </c>
      <c r="B37" s="227" t="s">
        <v>308</v>
      </c>
      <c r="I37" s="227"/>
      <c r="J37" s="279">
        <f>+J5</f>
        <v>73147175.715004146</v>
      </c>
    </row>
    <row r="38" spans="1:10">
      <c r="A38" s="229">
        <f t="shared" si="0"/>
        <v>28</v>
      </c>
      <c r="B38" s="227" t="s">
        <v>254</v>
      </c>
      <c r="I38" s="227"/>
      <c r="J38" s="478">
        <f>IF(J37=0,0,J36/J37)</f>
        <v>8.1811423466136169E-3</v>
      </c>
    </row>
    <row r="39" spans="1:10">
      <c r="I39" s="227"/>
      <c r="J39" s="233"/>
    </row>
    <row r="40" spans="1:10">
      <c r="A40" s="718" t="s">
        <v>284</v>
      </c>
      <c r="I40" s="227"/>
      <c r="J40" s="233"/>
    </row>
    <row r="41" spans="1:10">
      <c r="A41" s="717" t="s">
        <v>62</v>
      </c>
      <c r="B41" s="263" t="s">
        <v>283</v>
      </c>
      <c r="I41" s="227"/>
      <c r="J41" s="233"/>
    </row>
    <row r="42" spans="1:10">
      <c r="A42" s="717"/>
      <c r="B42" s="227" t="s">
        <v>364</v>
      </c>
      <c r="I42" s="227"/>
      <c r="J42" s="233"/>
    </row>
    <row r="43" spans="1:10">
      <c r="A43" s="717"/>
      <c r="B43" s="227" t="s">
        <v>719</v>
      </c>
      <c r="I43" s="227"/>
      <c r="J43" s="233"/>
    </row>
    <row r="44" spans="1:10">
      <c r="A44" s="717"/>
      <c r="B44" s="227" t="s">
        <v>720</v>
      </c>
      <c r="I44" s="227"/>
      <c r="J44" s="233"/>
    </row>
    <row r="45" spans="1:10">
      <c r="A45" s="717" t="s">
        <v>63</v>
      </c>
      <c r="B45" s="227" t="s">
        <v>285</v>
      </c>
      <c r="I45" s="227"/>
      <c r="J45" s="233"/>
    </row>
    <row r="46" spans="1:10">
      <c r="B46" s="227" t="s">
        <v>826</v>
      </c>
      <c r="I46" s="227"/>
      <c r="J46" s="233"/>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view="pageBreakPreview" zoomScaleNormal="100" zoomScaleSheetLayoutView="100" workbookViewId="0"/>
  </sheetViews>
  <sheetFormatPr defaultColWidth="8.88671875" defaultRowHeight="12.75"/>
  <cols>
    <col min="1" max="1" width="6" style="440" customWidth="1"/>
    <col min="2" max="2" width="28.33203125" style="414" customWidth="1"/>
    <col min="3" max="3" width="12.109375" style="551" customWidth="1"/>
    <col min="4" max="4" width="11.21875" style="414" customWidth="1"/>
    <col min="5" max="5" width="14.6640625" style="414" customWidth="1"/>
    <col min="6" max="6" width="14.5546875" style="414" customWidth="1"/>
    <col min="7" max="7" width="15.21875" style="414" customWidth="1"/>
    <col min="8" max="8" width="13.77734375" style="414" customWidth="1"/>
    <col min="9" max="9" width="12" style="414" customWidth="1"/>
    <col min="10" max="10" width="9.5546875" style="414" customWidth="1"/>
    <col min="11" max="11" width="12" style="414" customWidth="1"/>
    <col min="12" max="12" width="10.33203125" style="414" customWidth="1"/>
    <col min="13" max="13" width="13.5546875" style="414" customWidth="1"/>
    <col min="14" max="16384" width="8.88671875" style="414"/>
  </cols>
  <sheetData>
    <row r="1" spans="1:13">
      <c r="L1" s="410" t="s">
        <v>445</v>
      </c>
      <c r="M1" s="410"/>
    </row>
    <row r="2" spans="1:13">
      <c r="F2" s="411" t="s">
        <v>188</v>
      </c>
    </row>
    <row r="3" spans="1:13">
      <c r="F3" s="422" t="s">
        <v>614</v>
      </c>
    </row>
    <row r="4" spans="1:13">
      <c r="E4" s="410"/>
      <c r="F4" s="417" t="str">
        <f>+'Attachment H-26'!D5</f>
        <v>Transource West Virginia, LLC</v>
      </c>
      <c r="G4" s="410"/>
      <c r="H4" s="410"/>
      <c r="J4" s="410"/>
      <c r="K4" s="410"/>
      <c r="L4" s="410"/>
      <c r="M4" s="413"/>
    </row>
    <row r="5" spans="1:13">
      <c r="E5" s="410"/>
      <c r="G5" s="412"/>
      <c r="H5" s="412"/>
      <c r="J5" s="412"/>
      <c r="K5" s="412"/>
      <c r="L5" s="412"/>
      <c r="M5" s="413"/>
    </row>
    <row r="6" spans="1:13" ht="70.5" customHeight="1">
      <c r="B6" s="903" t="s">
        <v>661</v>
      </c>
      <c r="C6" s="903"/>
      <c r="D6" s="903"/>
      <c r="E6" s="903"/>
      <c r="F6" s="903"/>
      <c r="G6" s="903"/>
      <c r="H6" s="903"/>
      <c r="I6" s="903"/>
      <c r="J6" s="903"/>
      <c r="K6" s="903"/>
      <c r="L6" s="903"/>
      <c r="M6" s="608"/>
    </row>
    <row r="7" spans="1:13" s="421" customFormat="1" ht="27" customHeight="1">
      <c r="A7" s="441"/>
      <c r="B7" s="912" t="s">
        <v>753</v>
      </c>
      <c r="C7" s="912"/>
      <c r="D7" s="912"/>
      <c r="E7" s="912"/>
      <c r="F7" s="912"/>
      <c r="G7" s="912"/>
      <c r="H7" s="912"/>
      <c r="I7" s="912"/>
      <c r="J7" s="912"/>
      <c r="K7" s="418"/>
      <c r="L7" s="418"/>
      <c r="M7" s="418"/>
    </row>
    <row r="8" spans="1:13" s="587" customFormat="1" ht="18" customHeight="1">
      <c r="A8" s="603"/>
      <c r="B8" s="763"/>
      <c r="C8" s="763"/>
      <c r="D8" s="763"/>
      <c r="E8" s="763"/>
      <c r="F8" s="763"/>
      <c r="G8" s="763"/>
      <c r="H8" s="763"/>
      <c r="I8" s="763"/>
      <c r="J8" s="763"/>
      <c r="K8" s="582"/>
      <c r="L8" s="582"/>
      <c r="M8" s="582"/>
    </row>
    <row r="9" spans="1:13" s="421" customFormat="1" ht="15.75" customHeight="1">
      <c r="A9" s="536" t="s">
        <v>666</v>
      </c>
      <c r="B9" s="418"/>
      <c r="C9" s="582"/>
      <c r="D9" s="418"/>
      <c r="E9" s="920" t="s">
        <v>525</v>
      </c>
      <c r="F9" s="921"/>
      <c r="G9" s="915" t="s">
        <v>613</v>
      </c>
      <c r="H9" s="453" t="s">
        <v>524</v>
      </c>
      <c r="I9" s="423"/>
      <c r="J9" s="426"/>
      <c r="K9" s="426"/>
      <c r="L9" s="424"/>
    </row>
    <row r="10" spans="1:13" s="421" customFormat="1" ht="15.75" customHeight="1">
      <c r="A10" s="441">
        <v>1</v>
      </c>
      <c r="B10" s="418" t="s">
        <v>854</v>
      </c>
      <c r="C10" s="582"/>
      <c r="D10" s="418"/>
      <c r="E10" s="917" t="s">
        <v>330</v>
      </c>
      <c r="F10" s="919"/>
      <c r="G10" s="916"/>
      <c r="H10" s="427" t="s">
        <v>616</v>
      </c>
      <c r="I10" s="917" t="s">
        <v>332</v>
      </c>
      <c r="J10" s="918"/>
      <c r="K10" s="918"/>
      <c r="L10" s="919"/>
    </row>
    <row r="11" spans="1:13" s="421" customFormat="1">
      <c r="A11" s="441">
        <v>2</v>
      </c>
      <c r="B11" s="885">
        <v>2019</v>
      </c>
      <c r="C11" s="590"/>
      <c r="D11" s="418"/>
      <c r="E11" s="428"/>
      <c r="F11" s="428"/>
      <c r="G11" s="611">
        <v>7352030.4400000004</v>
      </c>
      <c r="H11" s="429"/>
      <c r="I11" s="428"/>
      <c r="J11" s="428"/>
      <c r="K11" s="428"/>
      <c r="L11" s="428"/>
    </row>
    <row r="12" spans="1:13" s="421" customFormat="1">
      <c r="B12" s="430" t="s">
        <v>62</v>
      </c>
      <c r="C12" s="593"/>
      <c r="D12" s="430" t="s">
        <v>63</v>
      </c>
      <c r="E12" s="427" t="s">
        <v>64</v>
      </c>
      <c r="F12" s="427" t="s">
        <v>65</v>
      </c>
      <c r="G12" s="425" t="s">
        <v>66</v>
      </c>
      <c r="H12" s="431" t="s">
        <v>67</v>
      </c>
      <c r="I12" s="431" t="s">
        <v>68</v>
      </c>
      <c r="J12" s="431" t="s">
        <v>69</v>
      </c>
      <c r="K12" s="452" t="s">
        <v>70</v>
      </c>
      <c r="L12" s="431" t="s">
        <v>71</v>
      </c>
    </row>
    <row r="13" spans="1:13" s="421" customFormat="1">
      <c r="A13" s="441"/>
      <c r="B13" s="428"/>
      <c r="C13" s="591"/>
      <c r="D13" s="425"/>
      <c r="E13" s="425"/>
      <c r="F13" s="444" t="s">
        <v>333</v>
      </c>
      <c r="G13" s="425" t="s">
        <v>620</v>
      </c>
      <c r="H13" s="425"/>
      <c r="I13" s="428"/>
      <c r="J13" s="425" t="s">
        <v>519</v>
      </c>
      <c r="K13" s="428"/>
      <c r="L13" s="428"/>
    </row>
    <row r="14" spans="1:13" s="421" customFormat="1">
      <c r="A14" s="441"/>
      <c r="B14" s="429"/>
      <c r="C14" s="592"/>
      <c r="D14" s="594" t="s">
        <v>339</v>
      </c>
      <c r="E14" s="431"/>
      <c r="F14" s="442" t="s">
        <v>13</v>
      </c>
      <c r="G14" s="431" t="s">
        <v>410</v>
      </c>
      <c r="H14" s="431" t="s">
        <v>519</v>
      </c>
      <c r="I14" s="431" t="s">
        <v>411</v>
      </c>
      <c r="J14" s="431" t="s">
        <v>290</v>
      </c>
      <c r="K14" s="431" t="s">
        <v>352</v>
      </c>
      <c r="L14" s="431"/>
    </row>
    <row r="15" spans="1:13" s="421" customFormat="1">
      <c r="A15" s="441"/>
      <c r="B15" s="431"/>
      <c r="C15" s="594"/>
      <c r="D15" s="594" t="s">
        <v>657</v>
      </c>
      <c r="E15" s="431" t="s">
        <v>334</v>
      </c>
      <c r="F15" s="442" t="s">
        <v>302</v>
      </c>
      <c r="G15" s="431" t="s">
        <v>337</v>
      </c>
      <c r="H15" s="431" t="s">
        <v>334</v>
      </c>
      <c r="I15" s="431" t="s">
        <v>303</v>
      </c>
      <c r="J15" s="431" t="s">
        <v>335</v>
      </c>
      <c r="K15" s="451" t="s">
        <v>516</v>
      </c>
      <c r="L15" s="431" t="s">
        <v>361</v>
      </c>
    </row>
    <row r="16" spans="1:13" s="421" customFormat="1" ht="15.75">
      <c r="A16" s="441"/>
      <c r="B16" s="589" t="s">
        <v>336</v>
      </c>
      <c r="C16" s="589" t="s">
        <v>652</v>
      </c>
      <c r="D16" s="589" t="s">
        <v>658</v>
      </c>
      <c r="E16" s="427" t="s">
        <v>338</v>
      </c>
      <c r="F16" s="442" t="s">
        <v>331</v>
      </c>
      <c r="G16" s="445" t="s">
        <v>617</v>
      </c>
      <c r="H16" s="427" t="s">
        <v>523</v>
      </c>
      <c r="I16" s="427" t="s">
        <v>618</v>
      </c>
      <c r="J16" s="427" t="s">
        <v>520</v>
      </c>
      <c r="K16" s="450" t="s">
        <v>521</v>
      </c>
      <c r="L16" s="427" t="s">
        <v>619</v>
      </c>
    </row>
    <row r="17" spans="1:13" s="421" customFormat="1">
      <c r="A17" s="441">
        <v>3</v>
      </c>
      <c r="B17" s="471" t="s">
        <v>831</v>
      </c>
      <c r="C17" s="619"/>
      <c r="D17" s="438"/>
      <c r="E17" s="454">
        <v>0</v>
      </c>
      <c r="F17" s="467">
        <f>IF(E$29=0,0,E17/E$29)</f>
        <v>0</v>
      </c>
      <c r="G17" s="458">
        <f>IF(G$11=0,0,F17*G$11)</f>
        <v>0</v>
      </c>
      <c r="H17" s="459">
        <v>0</v>
      </c>
      <c r="I17" s="462">
        <f>+H17-G17</f>
        <v>0</v>
      </c>
      <c r="J17" s="462">
        <f>+$J$31*F17</f>
        <v>0</v>
      </c>
      <c r="K17" s="463">
        <f>+D38</f>
        <v>0</v>
      </c>
      <c r="L17" s="543">
        <f>+I17+J17+K17</f>
        <v>0</v>
      </c>
    </row>
    <row r="18" spans="1:13" s="587" customFormat="1">
      <c r="A18" s="602"/>
      <c r="B18" s="609"/>
      <c r="C18" s="609"/>
      <c r="D18" s="527"/>
      <c r="E18" s="528"/>
      <c r="F18" s="529"/>
      <c r="G18" s="530"/>
      <c r="H18" s="530"/>
      <c r="I18" s="531"/>
      <c r="J18" s="531"/>
      <c r="K18" s="531"/>
      <c r="L18" s="531"/>
    </row>
    <row r="19" spans="1:13" s="421" customFormat="1">
      <c r="A19" s="441" t="s">
        <v>662</v>
      </c>
      <c r="B19" s="619" t="s">
        <v>856</v>
      </c>
      <c r="C19" s="619" t="s">
        <v>653</v>
      </c>
      <c r="D19" s="881" t="s">
        <v>857</v>
      </c>
      <c r="E19" s="611">
        <v>7352030.4386688862</v>
      </c>
      <c r="F19" s="468">
        <f>IF(E$29=0,0,E19/E$29)</f>
        <v>1</v>
      </c>
      <c r="G19" s="458">
        <f>IF(G$11=0,0,F19*G$11)</f>
        <v>7352030.4400000004</v>
      </c>
      <c r="H19" s="896">
        <f>+'1-Project Rev Req'!U59</f>
        <v>7713043.9086678838</v>
      </c>
      <c r="I19" s="464">
        <f>+H19-G19</f>
        <v>361013.46866788343</v>
      </c>
      <c r="J19" s="462">
        <f>+$J$31*F19</f>
        <v>40855.376607570564</v>
      </c>
      <c r="K19" s="465">
        <v>0</v>
      </c>
      <c r="L19" s="614">
        <f>+I19+J19+K19</f>
        <v>401868.84527545399</v>
      </c>
    </row>
    <row r="20" spans="1:13" s="421" customFormat="1">
      <c r="A20" s="441" t="s">
        <v>663</v>
      </c>
      <c r="B20" s="471"/>
      <c r="C20" s="619"/>
      <c r="D20" s="438"/>
      <c r="E20" s="455">
        <v>0</v>
      </c>
      <c r="F20" s="468">
        <f>IF(E$29=0,0,E20/E$29)</f>
        <v>0</v>
      </c>
      <c r="G20" s="458">
        <f>IF(G$11=0,0,F20*G$11)</f>
        <v>0</v>
      </c>
      <c r="H20" s="460">
        <v>0</v>
      </c>
      <c r="I20" s="464">
        <f>+H20-G20</f>
        <v>0</v>
      </c>
      <c r="J20" s="462">
        <f>+$J$31*F20</f>
        <v>0</v>
      </c>
      <c r="K20" s="465">
        <v>0</v>
      </c>
      <c r="L20" s="614">
        <f>+I20+J20+K20</f>
        <v>0</v>
      </c>
    </row>
    <row r="21" spans="1:13" s="587" customFormat="1">
      <c r="A21" s="602">
        <v>5</v>
      </c>
      <c r="B21" s="610" t="s">
        <v>655</v>
      </c>
      <c r="C21" s="610"/>
      <c r="D21" s="533"/>
      <c r="E21" s="534">
        <f>+E19+E20</f>
        <v>7352030.4386688862</v>
      </c>
      <c r="F21" s="535"/>
      <c r="G21" s="534">
        <f t="shared" ref="G21:L21" si="0">+G19+G20</f>
        <v>7352030.4400000004</v>
      </c>
      <c r="H21" s="534">
        <f t="shared" si="0"/>
        <v>7713043.9086678838</v>
      </c>
      <c r="I21" s="534">
        <f t="shared" si="0"/>
        <v>361013.46866788343</v>
      </c>
      <c r="J21" s="534">
        <f t="shared" si="0"/>
        <v>40855.376607570564</v>
      </c>
      <c r="K21" s="534">
        <f t="shared" si="0"/>
        <v>0</v>
      </c>
      <c r="L21" s="537">
        <f t="shared" si="0"/>
        <v>401868.84527545399</v>
      </c>
    </row>
    <row r="22" spans="1:13" s="587" customFormat="1">
      <c r="A22" s="602"/>
      <c r="B22" s="609"/>
      <c r="C22" s="609"/>
      <c r="D22" s="527"/>
      <c r="E22" s="528"/>
      <c r="F22" s="529"/>
      <c r="G22" s="530"/>
      <c r="H22" s="530"/>
      <c r="I22" s="532"/>
      <c r="J22" s="531"/>
      <c r="K22" s="532"/>
      <c r="L22" s="531"/>
    </row>
    <row r="23" spans="1:13" s="421" customFormat="1">
      <c r="A23" s="441" t="s">
        <v>664</v>
      </c>
      <c r="B23" s="619"/>
      <c r="C23" s="619" t="s">
        <v>654</v>
      </c>
      <c r="D23" s="881"/>
      <c r="E23" s="455">
        <v>0</v>
      </c>
      <c r="F23" s="468">
        <f>IF(E$29=0,0,E23/E$29)</f>
        <v>0</v>
      </c>
      <c r="G23" s="458">
        <f>IF(G$11=0,0,F23*G$11)</f>
        <v>0</v>
      </c>
      <c r="H23" s="460">
        <v>0</v>
      </c>
      <c r="I23" s="464">
        <f>+H23-G23</f>
        <v>0</v>
      </c>
      <c r="J23" s="614">
        <f>+$J$31*F23</f>
        <v>0</v>
      </c>
      <c r="K23" s="465">
        <v>0</v>
      </c>
      <c r="L23" s="614">
        <f>+I23+J23+K23</f>
        <v>0</v>
      </c>
    </row>
    <row r="24" spans="1:13" s="421" customFormat="1">
      <c r="A24" s="441" t="s">
        <v>665</v>
      </c>
      <c r="B24" s="619"/>
      <c r="C24" s="619"/>
      <c r="D24" s="438"/>
      <c r="E24" s="455">
        <v>0</v>
      </c>
      <c r="F24" s="468">
        <f>IF(E$29=0,0,E24/E$29)</f>
        <v>0</v>
      </c>
      <c r="G24" s="458">
        <f>IF(G$11=0,0,F24*G$11)</f>
        <v>0</v>
      </c>
      <c r="H24" s="460">
        <v>0</v>
      </c>
      <c r="I24" s="464">
        <f>+H24-G24</f>
        <v>0</v>
      </c>
      <c r="J24" s="614">
        <f>+$J$31*F24</f>
        <v>0</v>
      </c>
      <c r="K24" s="465">
        <v>0</v>
      </c>
      <c r="L24" s="614">
        <f>+I24+J24+K24</f>
        <v>0</v>
      </c>
    </row>
    <row r="25" spans="1:13" s="587" customFormat="1">
      <c r="A25" s="602">
        <v>7</v>
      </c>
      <c r="B25" s="610" t="s">
        <v>656</v>
      </c>
      <c r="C25" s="610"/>
      <c r="D25" s="533"/>
      <c r="E25" s="534">
        <f>+E23+E24</f>
        <v>0</v>
      </c>
      <c r="F25" s="535"/>
      <c r="G25" s="537">
        <f t="shared" ref="G25:L25" si="1">+G23+G24</f>
        <v>0</v>
      </c>
      <c r="H25" s="605">
        <f t="shared" si="1"/>
        <v>0</v>
      </c>
      <c r="I25" s="534">
        <f t="shared" si="1"/>
        <v>0</v>
      </c>
      <c r="J25" s="534">
        <f t="shared" si="1"/>
        <v>0</v>
      </c>
      <c r="K25" s="534">
        <f t="shared" si="1"/>
        <v>0</v>
      </c>
      <c r="L25" s="537">
        <f t="shared" si="1"/>
        <v>0</v>
      </c>
    </row>
    <row r="26" spans="1:13" s="587" customFormat="1">
      <c r="A26" s="602"/>
      <c r="B26" s="609"/>
      <c r="C26" s="609"/>
      <c r="D26" s="527"/>
      <c r="E26" s="528"/>
      <c r="F26" s="529"/>
      <c r="G26" s="532"/>
      <c r="H26" s="530"/>
      <c r="I26" s="532"/>
      <c r="J26" s="531"/>
      <c r="K26" s="532"/>
      <c r="L26" s="531"/>
    </row>
    <row r="27" spans="1:13" s="587" customFormat="1">
      <c r="A27" s="603">
        <f>+A25+1</f>
        <v>8</v>
      </c>
      <c r="B27" s="619" t="s">
        <v>435</v>
      </c>
      <c r="C27" s="619"/>
      <c r="D27" s="599"/>
      <c r="E27" s="611"/>
      <c r="F27" s="618"/>
      <c r="G27" s="615"/>
      <c r="H27" s="613"/>
      <c r="I27" s="615"/>
      <c r="J27" s="614"/>
      <c r="K27" s="616"/>
      <c r="L27" s="614"/>
    </row>
    <row r="28" spans="1:13">
      <c r="A28" s="441"/>
      <c r="B28" s="432"/>
      <c r="C28" s="595"/>
      <c r="D28" s="432"/>
      <c r="E28" s="456"/>
      <c r="F28" s="469"/>
      <c r="G28" s="617"/>
      <c r="H28" s="461"/>
      <c r="I28" s="466"/>
      <c r="J28" s="466"/>
      <c r="K28" s="466"/>
      <c r="L28" s="617"/>
    </row>
    <row r="29" spans="1:13">
      <c r="A29" s="441">
        <f>+A27+1</f>
        <v>9</v>
      </c>
      <c r="B29" s="418" t="s">
        <v>515</v>
      </c>
      <c r="C29" s="582"/>
      <c r="D29" s="418"/>
      <c r="E29" s="457">
        <f>+E17+E21+E25+E27</f>
        <v>7352030.4386688862</v>
      </c>
      <c r="F29" s="470">
        <f t="shared" ref="F29" si="2">SUM(F17:F28)</f>
        <v>1</v>
      </c>
      <c r="G29" s="612">
        <f t="shared" ref="G29:L29" si="3">+G17+G21+G25+G27</f>
        <v>7352030.4400000004</v>
      </c>
      <c r="H29" s="612">
        <f t="shared" si="3"/>
        <v>7713043.9086678838</v>
      </c>
      <c r="I29" s="612">
        <f t="shared" si="3"/>
        <v>361013.46866788343</v>
      </c>
      <c r="J29" s="612">
        <f t="shared" si="3"/>
        <v>40855.376607570564</v>
      </c>
      <c r="K29" s="612">
        <f>+K17+K21+K25+K27</f>
        <v>0</v>
      </c>
      <c r="L29" s="612">
        <f t="shared" si="3"/>
        <v>401868.84527545399</v>
      </c>
    </row>
    <row r="30" spans="1:13">
      <c r="A30" s="441"/>
      <c r="B30" s="418"/>
      <c r="C30" s="582"/>
      <c r="D30" s="418"/>
      <c r="E30" s="433"/>
      <c r="F30" s="433"/>
      <c r="G30" s="433"/>
      <c r="H30" s="457"/>
      <c r="I30" s="433"/>
      <c r="J30" s="433"/>
      <c r="K30" s="433"/>
      <c r="L30" s="433"/>
    </row>
    <row r="31" spans="1:13">
      <c r="A31" s="441">
        <f>+A29+1</f>
        <v>10</v>
      </c>
      <c r="B31" s="418"/>
      <c r="C31" s="582"/>
      <c r="D31" s="418"/>
      <c r="E31" s="433"/>
      <c r="F31" s="433"/>
      <c r="G31" s="864"/>
      <c r="H31" s="864" t="s">
        <v>708</v>
      </c>
      <c r="I31" s="864"/>
      <c r="J31" s="367">
        <f>+'6 - True-Up Interest'!I57</f>
        <v>40855.376607570564</v>
      </c>
      <c r="K31" s="433"/>
      <c r="L31" s="433"/>
    </row>
    <row r="32" spans="1:13">
      <c r="A32" s="441"/>
      <c r="B32" s="418"/>
      <c r="C32" s="582"/>
      <c r="D32" s="418"/>
      <c r="E32" s="433"/>
      <c r="F32" s="433"/>
      <c r="G32" s="433"/>
      <c r="H32" s="433"/>
      <c r="I32" s="433"/>
      <c r="J32" s="433"/>
      <c r="K32" s="433"/>
      <c r="L32" s="433"/>
      <c r="M32" s="433"/>
    </row>
    <row r="33" spans="1:13">
      <c r="A33" s="441"/>
      <c r="B33" s="434"/>
      <c r="C33" s="596"/>
      <c r="D33" s="434"/>
      <c r="E33" s="415"/>
      <c r="F33" s="415"/>
      <c r="G33" s="415"/>
      <c r="H33" s="415"/>
      <c r="I33" s="415"/>
      <c r="J33" s="434"/>
      <c r="K33" s="434"/>
      <c r="L33" s="434"/>
    </row>
    <row r="34" spans="1:13">
      <c r="A34" s="443" t="s">
        <v>354</v>
      </c>
      <c r="D34" s="434"/>
      <c r="E34" s="415"/>
      <c r="F34" s="415"/>
      <c r="G34" s="415"/>
      <c r="H34" s="415"/>
      <c r="I34" s="415"/>
      <c r="J34" s="434"/>
      <c r="K34" s="434"/>
      <c r="L34" s="434"/>
    </row>
    <row r="35" spans="1:13" ht="15">
      <c r="A35" s="439"/>
      <c r="B35" s="407" t="s">
        <v>62</v>
      </c>
      <c r="C35" s="607"/>
      <c r="D35" s="407" t="s">
        <v>63</v>
      </c>
      <c r="E35"/>
      <c r="F35"/>
      <c r="G35"/>
      <c r="H35"/>
      <c r="L35" s="434"/>
    </row>
    <row r="36" spans="1:13" ht="15">
      <c r="A36" s="439"/>
      <c r="B36" s="435" t="str">
        <f>+A34</f>
        <v>Prior Period Adjustment</v>
      </c>
      <c r="C36" s="597"/>
      <c r="D36" s="436" t="s">
        <v>517</v>
      </c>
      <c r="E36"/>
      <c r="F36"/>
      <c r="G36"/>
      <c r="H36"/>
      <c r="L36" s="434"/>
    </row>
    <row r="37" spans="1:13" ht="15">
      <c r="A37" s="439"/>
      <c r="B37" s="714" t="s">
        <v>522</v>
      </c>
      <c r="C37" s="714" t="s">
        <v>205</v>
      </c>
      <c r="D37" s="715" t="s">
        <v>11</v>
      </c>
      <c r="E37"/>
      <c r="F37"/>
      <c r="G37"/>
      <c r="H37"/>
      <c r="L37" s="434"/>
    </row>
    <row r="38" spans="1:13" ht="15">
      <c r="A38" s="439">
        <f>+A31+1</f>
        <v>11</v>
      </c>
      <c r="B38" s="408" t="s">
        <v>615</v>
      </c>
      <c r="C38" s="865" t="s">
        <v>531</v>
      </c>
      <c r="D38" s="586">
        <f>+'11-Corrections'!F30</f>
        <v>0</v>
      </c>
      <c r="E38"/>
      <c r="F38"/>
      <c r="G38"/>
      <c r="H38"/>
      <c r="L38" s="434"/>
    </row>
    <row r="39" spans="1:13" ht="15">
      <c r="A39" s="439"/>
      <c r="B39" s="437"/>
      <c r="C39" s="598"/>
      <c r="D39" s="416"/>
      <c r="E39"/>
      <c r="F39"/>
      <c r="G39"/>
      <c r="H39"/>
      <c r="L39" s="434"/>
    </row>
    <row r="40" spans="1:13" ht="15">
      <c r="A40" s="439"/>
      <c r="D40" s="434"/>
      <c r="E40"/>
      <c r="F40"/>
      <c r="G40"/>
      <c r="H40"/>
      <c r="I40" s="409"/>
      <c r="L40" s="434"/>
    </row>
    <row r="41" spans="1:13" ht="14.25" customHeight="1">
      <c r="A41" s="536" t="s">
        <v>182</v>
      </c>
      <c r="B41" s="713"/>
      <c r="C41" s="582"/>
      <c r="D41" s="418"/>
      <c r="E41" s="418"/>
      <c r="F41" s="418"/>
      <c r="G41" s="418"/>
      <c r="H41" s="418"/>
      <c r="I41" s="418"/>
      <c r="J41" s="418"/>
      <c r="K41" s="418"/>
      <c r="L41" s="418"/>
      <c r="M41" s="418"/>
    </row>
    <row r="42" spans="1:13">
      <c r="A42" s="863" t="s">
        <v>740</v>
      </c>
      <c r="B42" s="849" t="s">
        <v>812</v>
      </c>
      <c r="C42" s="849"/>
      <c r="D42" s="849"/>
      <c r="E42" s="849"/>
      <c r="F42" s="849"/>
      <c r="G42" s="849"/>
      <c r="H42" s="849"/>
      <c r="I42" s="849"/>
      <c r="J42" s="849"/>
      <c r="K42" s="849"/>
      <c r="L42" s="849"/>
      <c r="M42" s="418"/>
    </row>
    <row r="43" spans="1:13">
      <c r="A43" s="863" t="s">
        <v>741</v>
      </c>
      <c r="B43" s="849" t="s">
        <v>748</v>
      </c>
      <c r="C43" s="849"/>
      <c r="D43" s="849"/>
      <c r="E43" s="849"/>
      <c r="F43" s="849"/>
      <c r="G43" s="849"/>
      <c r="H43" s="849"/>
      <c r="I43" s="849"/>
      <c r="J43" s="849"/>
      <c r="K43" s="849"/>
      <c r="L43" s="849"/>
      <c r="M43" s="418"/>
    </row>
    <row r="44" spans="1:13">
      <c r="A44" s="863" t="s">
        <v>742</v>
      </c>
      <c r="B44" s="849" t="s">
        <v>747</v>
      </c>
      <c r="C44" s="849"/>
      <c r="D44" s="849"/>
      <c r="E44" s="849"/>
      <c r="F44" s="849"/>
      <c r="G44" s="849"/>
      <c r="H44" s="849"/>
      <c r="I44" s="849"/>
      <c r="J44" s="849"/>
      <c r="K44" s="849"/>
      <c r="L44" s="849"/>
      <c r="M44" s="418"/>
    </row>
    <row r="45" spans="1:13" ht="28.5" customHeight="1">
      <c r="A45" s="863" t="s">
        <v>743</v>
      </c>
      <c r="B45" s="903" t="s">
        <v>746</v>
      </c>
      <c r="C45" s="903"/>
      <c r="D45" s="903"/>
      <c r="E45" s="903"/>
      <c r="F45" s="903"/>
      <c r="G45" s="903"/>
      <c r="H45" s="903"/>
      <c r="I45" s="903"/>
      <c r="J45" s="903"/>
      <c r="K45" s="903"/>
      <c r="L45" s="903"/>
      <c r="M45" s="405"/>
    </row>
    <row r="46" spans="1:13" ht="20.25" customHeight="1">
      <c r="A46" s="863" t="s">
        <v>744</v>
      </c>
      <c r="B46" s="914" t="s">
        <v>745</v>
      </c>
      <c r="C46" s="914"/>
      <c r="D46" s="914"/>
      <c r="E46" s="914"/>
      <c r="F46" s="914"/>
      <c r="G46" s="914"/>
      <c r="H46" s="914"/>
      <c r="I46" s="914"/>
      <c r="J46" s="914"/>
      <c r="K46" s="914"/>
      <c r="L46" s="914"/>
      <c r="M46" s="418"/>
    </row>
    <row r="47" spans="1:13">
      <c r="A47" s="441"/>
      <c r="B47" s="419"/>
      <c r="C47" s="584"/>
      <c r="D47" s="418"/>
      <c r="E47" s="418"/>
      <c r="F47" s="418"/>
      <c r="G47" s="418"/>
      <c r="H47" s="418"/>
      <c r="I47" s="419"/>
      <c r="J47" s="418"/>
      <c r="K47" s="418"/>
      <c r="L47" s="418"/>
      <c r="M47" s="418"/>
    </row>
    <row r="48" spans="1:13">
      <c r="A48" s="441"/>
      <c r="B48" s="419"/>
      <c r="C48" s="584"/>
      <c r="D48" s="418"/>
      <c r="E48" s="418"/>
      <c r="F48" s="418"/>
      <c r="G48" s="418"/>
      <c r="H48" s="418"/>
      <c r="I48" s="419"/>
      <c r="J48" s="418"/>
      <c r="K48" s="418"/>
      <c r="L48" s="418"/>
      <c r="M48" s="418"/>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7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zoomScale="90" zoomScaleNormal="85" zoomScaleSheetLayoutView="90" workbookViewId="0"/>
  </sheetViews>
  <sheetFormatPr defaultColWidth="8.88671875" defaultRowHeight="12.75"/>
  <cols>
    <col min="1" max="1" width="8" style="11" customWidth="1"/>
    <col min="2" max="2" width="34.77734375" style="13" customWidth="1"/>
    <col min="3" max="3" width="17.88671875" style="13" customWidth="1"/>
    <col min="4" max="4" width="17" style="13" customWidth="1"/>
    <col min="5" max="5" width="19.88671875" style="13" customWidth="1"/>
    <col min="6" max="6" width="19.5546875" style="13" customWidth="1"/>
    <col min="7" max="7" width="21.33203125" style="13" customWidth="1"/>
    <col min="8" max="8" width="18" style="13" customWidth="1"/>
    <col min="9" max="9" width="16.77734375" style="13" customWidth="1"/>
    <col min="10" max="10" width="18.6640625" style="13" customWidth="1"/>
    <col min="11" max="14" width="11.77734375" style="13" customWidth="1"/>
    <col min="15" max="16384" width="8.88671875" style="13"/>
  </cols>
  <sheetData>
    <row r="1" spans="1:12">
      <c r="B1" s="926" t="s">
        <v>189</v>
      </c>
      <c r="C1" s="926"/>
      <c r="D1" s="926"/>
      <c r="E1" s="926"/>
      <c r="F1" s="926"/>
      <c r="G1" s="926"/>
      <c r="H1" s="926"/>
      <c r="I1" s="926"/>
      <c r="J1" s="1" t="s">
        <v>686</v>
      </c>
    </row>
    <row r="2" spans="1:12">
      <c r="A2" s="220"/>
      <c r="B2" s="927" t="s">
        <v>257</v>
      </c>
      <c r="C2" s="927"/>
      <c r="D2" s="927"/>
      <c r="E2" s="927"/>
      <c r="F2" s="927"/>
      <c r="G2" s="927"/>
      <c r="H2" s="927"/>
      <c r="I2" s="927"/>
      <c r="J2" s="1"/>
      <c r="L2" s="219"/>
    </row>
    <row r="3" spans="1:12">
      <c r="A3" s="220"/>
      <c r="B3" s="928" t="str">
        <f>+'Attachment H-26'!D5</f>
        <v>Transource West Virginia, LLC</v>
      </c>
      <c r="C3" s="928"/>
      <c r="D3" s="928"/>
      <c r="E3" s="928"/>
      <c r="F3" s="928"/>
      <c r="G3" s="928"/>
      <c r="H3" s="928"/>
      <c r="I3" s="928"/>
      <c r="J3" s="1"/>
    </row>
    <row r="4" spans="1:12">
      <c r="A4" s="220"/>
      <c r="C4" s="1"/>
      <c r="D4" s="1"/>
      <c r="E4" s="1"/>
      <c r="F4" s="1"/>
      <c r="G4" s="1"/>
      <c r="H4" s="1"/>
      <c r="I4" s="1"/>
      <c r="J4" s="1"/>
    </row>
    <row r="5" spans="1:12">
      <c r="A5" s="220"/>
      <c r="B5" s="2"/>
      <c r="C5" s="2"/>
      <c r="D5" s="2"/>
      <c r="E5" s="2"/>
      <c r="F5" s="2"/>
      <c r="G5" s="2"/>
      <c r="H5" s="2"/>
      <c r="I5" s="2"/>
      <c r="J5" s="2"/>
    </row>
    <row r="6" spans="1:12">
      <c r="A6" s="220"/>
      <c r="B6" s="2"/>
      <c r="C6" s="924" t="s">
        <v>208</v>
      </c>
      <c r="D6" s="924"/>
      <c r="E6" s="9" t="s">
        <v>210</v>
      </c>
      <c r="F6" s="9" t="s">
        <v>211</v>
      </c>
      <c r="G6" s="924" t="s">
        <v>209</v>
      </c>
      <c r="H6" s="924"/>
      <c r="I6" s="923" t="s">
        <v>207</v>
      </c>
      <c r="J6" s="923"/>
    </row>
    <row r="7" spans="1:12" s="10" customFormat="1" ht="25.5">
      <c r="A7" s="221" t="s">
        <v>855</v>
      </c>
      <c r="B7" s="3" t="s">
        <v>166</v>
      </c>
      <c r="C7" s="3" t="s">
        <v>16</v>
      </c>
      <c r="D7" s="3" t="s">
        <v>173</v>
      </c>
      <c r="E7" s="3" t="s">
        <v>406</v>
      </c>
      <c r="F7" s="3" t="s">
        <v>167</v>
      </c>
      <c r="G7" s="3" t="s">
        <v>168</v>
      </c>
      <c r="H7" s="3" t="s">
        <v>169</v>
      </c>
      <c r="I7" s="3" t="s">
        <v>16</v>
      </c>
      <c r="J7" s="3" t="s">
        <v>173</v>
      </c>
    </row>
    <row r="8" spans="1:12" s="12" customFormat="1">
      <c r="A8" s="220"/>
      <c r="B8" s="9" t="s">
        <v>196</v>
      </c>
      <c r="C8" s="9" t="s">
        <v>197</v>
      </c>
      <c r="D8" s="9" t="s">
        <v>198</v>
      </c>
      <c r="E8" s="3" t="s">
        <v>199</v>
      </c>
      <c r="F8" s="3" t="s">
        <v>201</v>
      </c>
      <c r="G8" s="3" t="s">
        <v>200</v>
      </c>
      <c r="H8" s="3" t="s">
        <v>202</v>
      </c>
      <c r="I8" s="4" t="s">
        <v>203</v>
      </c>
      <c r="J8" s="4" t="s">
        <v>204</v>
      </c>
    </row>
    <row r="9" spans="1:12" s="12" customFormat="1" ht="44.25" customHeight="1">
      <c r="A9" s="220"/>
      <c r="B9" s="252" t="s">
        <v>544</v>
      </c>
      <c r="C9" s="277" t="s">
        <v>296</v>
      </c>
      <c r="D9" s="300" t="s">
        <v>315</v>
      </c>
      <c r="E9" s="326" t="s">
        <v>688</v>
      </c>
      <c r="F9" s="277" t="s">
        <v>300</v>
      </c>
      <c r="G9" s="277" t="s">
        <v>301</v>
      </c>
      <c r="H9" s="277" t="s">
        <v>299</v>
      </c>
      <c r="I9" s="277" t="s">
        <v>297</v>
      </c>
      <c r="J9" s="277" t="s">
        <v>298</v>
      </c>
    </row>
    <row r="10" spans="1:12">
      <c r="A10" s="220">
        <v>1</v>
      </c>
      <c r="B10" s="5" t="s">
        <v>193</v>
      </c>
      <c r="C10" s="897">
        <v>0</v>
      </c>
      <c r="D10" s="897">
        <v>97150.45</v>
      </c>
      <c r="E10" s="897">
        <v>53484478.240000002</v>
      </c>
      <c r="F10" s="897">
        <v>0</v>
      </c>
      <c r="G10" s="897">
        <v>0</v>
      </c>
      <c r="H10" s="897">
        <v>310273.90000000002</v>
      </c>
      <c r="I10" s="897">
        <v>0</v>
      </c>
      <c r="J10" s="897">
        <v>4012.8</v>
      </c>
    </row>
    <row r="11" spans="1:12">
      <c r="A11" s="220">
        <v>2</v>
      </c>
      <c r="B11" s="5" t="s">
        <v>85</v>
      </c>
      <c r="C11" s="897">
        <v>0</v>
      </c>
      <c r="D11" s="897">
        <v>105371.92</v>
      </c>
      <c r="E11" s="897">
        <v>55315301.310000017</v>
      </c>
      <c r="F11" s="897">
        <v>0</v>
      </c>
      <c r="G11" s="897">
        <v>0</v>
      </c>
      <c r="H11" s="897">
        <v>236959.2</v>
      </c>
      <c r="I11" s="897">
        <v>-173.98</v>
      </c>
      <c r="J11" s="897">
        <v>5631.97</v>
      </c>
    </row>
    <row r="12" spans="1:12">
      <c r="A12" s="220">
        <v>3</v>
      </c>
      <c r="B12" s="1" t="s">
        <v>84</v>
      </c>
      <c r="C12" s="897">
        <v>0</v>
      </c>
      <c r="D12" s="897">
        <v>115068.23</v>
      </c>
      <c r="E12" s="897">
        <v>59995850.000000007</v>
      </c>
      <c r="F12" s="897">
        <v>0</v>
      </c>
      <c r="G12" s="897">
        <v>0</v>
      </c>
      <c r="H12" s="897">
        <v>175644.5</v>
      </c>
      <c r="I12" s="897">
        <v>-175.1</v>
      </c>
      <c r="J12" s="897">
        <v>7388.17</v>
      </c>
    </row>
    <row r="13" spans="1:12">
      <c r="A13" s="220">
        <v>4</v>
      </c>
      <c r="B13" s="1" t="s">
        <v>170</v>
      </c>
      <c r="C13" s="897">
        <v>0</v>
      </c>
      <c r="D13" s="897">
        <v>122386.66</v>
      </c>
      <c r="E13" s="897">
        <v>64113946.859999992</v>
      </c>
      <c r="F13" s="897">
        <v>0</v>
      </c>
      <c r="G13" s="897">
        <v>0</v>
      </c>
      <c r="H13" s="897">
        <v>129096.32000000001</v>
      </c>
      <c r="I13" s="897">
        <v>-187.34</v>
      </c>
      <c r="J13" s="897">
        <v>8905.630000000001</v>
      </c>
    </row>
    <row r="14" spans="1:12">
      <c r="A14" s="220">
        <v>5</v>
      </c>
      <c r="B14" s="1" t="s">
        <v>76</v>
      </c>
      <c r="C14" s="897">
        <v>0</v>
      </c>
      <c r="D14" s="897">
        <v>133561.64000000001</v>
      </c>
      <c r="E14" s="897">
        <v>69194117.74000001</v>
      </c>
      <c r="F14" s="897">
        <v>0</v>
      </c>
      <c r="G14" s="897">
        <v>0</v>
      </c>
      <c r="H14" s="897">
        <v>58548.14</v>
      </c>
      <c r="I14" s="897">
        <v>-199.58</v>
      </c>
      <c r="J14" s="897">
        <v>10945.41</v>
      </c>
    </row>
    <row r="15" spans="1:12">
      <c r="A15" s="220">
        <v>6</v>
      </c>
      <c r="B15" s="1" t="s">
        <v>75</v>
      </c>
      <c r="C15" s="897">
        <v>5971840.4800000004</v>
      </c>
      <c r="D15" s="897">
        <v>142446.40000000002</v>
      </c>
      <c r="E15" s="897">
        <v>68199184.24000001</v>
      </c>
      <c r="F15" s="897">
        <v>0</v>
      </c>
      <c r="G15" s="897">
        <v>0</v>
      </c>
      <c r="H15" s="897">
        <v>9360.2800000000007</v>
      </c>
      <c r="I15" s="897">
        <v>-206.95</v>
      </c>
      <c r="J15" s="897">
        <v>13171.44</v>
      </c>
    </row>
    <row r="16" spans="1:12">
      <c r="A16" s="220">
        <v>7</v>
      </c>
      <c r="B16" s="1" t="s">
        <v>95</v>
      </c>
      <c r="C16" s="897">
        <v>5862867.0099999998</v>
      </c>
      <c r="D16" s="897">
        <v>156952.18</v>
      </c>
      <c r="E16" s="897">
        <v>71244355.159999996</v>
      </c>
      <c r="F16" s="897">
        <v>0</v>
      </c>
      <c r="G16" s="897">
        <v>0</v>
      </c>
      <c r="H16" s="897">
        <v>35422.43</v>
      </c>
      <c r="I16" s="897">
        <v>9002.6</v>
      </c>
      <c r="J16" s="897">
        <v>15545.550000000001</v>
      </c>
    </row>
    <row r="17" spans="1:10">
      <c r="A17" s="220">
        <v>8</v>
      </c>
      <c r="B17" s="1" t="s">
        <v>82</v>
      </c>
      <c r="C17" s="897">
        <v>67185941.510000005</v>
      </c>
      <c r="D17" s="897">
        <v>171530.13</v>
      </c>
      <c r="E17" s="897">
        <v>12185728.9</v>
      </c>
      <c r="F17" s="897">
        <v>0</v>
      </c>
      <c r="G17" s="897">
        <v>0</v>
      </c>
      <c r="H17" s="897">
        <v>20610</v>
      </c>
      <c r="I17" s="897">
        <v>18049.41</v>
      </c>
      <c r="J17" s="897">
        <v>18161.420000000002</v>
      </c>
    </row>
    <row r="18" spans="1:10">
      <c r="A18" s="220">
        <v>9</v>
      </c>
      <c r="B18" s="1" t="s">
        <v>171</v>
      </c>
      <c r="C18" s="897">
        <v>67064984.929999992</v>
      </c>
      <c r="D18" s="897">
        <v>187162.46</v>
      </c>
      <c r="E18" s="897">
        <v>13850228.370000001</v>
      </c>
      <c r="F18" s="897">
        <v>0</v>
      </c>
      <c r="G18" s="897">
        <v>0</v>
      </c>
      <c r="H18" s="897">
        <v>17797.57</v>
      </c>
      <c r="I18" s="897">
        <v>105047.24</v>
      </c>
      <c r="J18" s="897">
        <v>21020.260000000002</v>
      </c>
    </row>
    <row r="19" spans="1:10">
      <c r="A19" s="220">
        <v>10</v>
      </c>
      <c r="B19" s="1" t="s">
        <v>80</v>
      </c>
      <c r="C19" s="897">
        <v>68926336.020000011</v>
      </c>
      <c r="D19" s="897">
        <v>202926.82</v>
      </c>
      <c r="E19" s="897">
        <v>15920095.82</v>
      </c>
      <c r="F19" s="897">
        <v>0</v>
      </c>
      <c r="G19" s="897">
        <v>0</v>
      </c>
      <c r="H19" s="897">
        <v>26985.14</v>
      </c>
      <c r="I19" s="897">
        <v>191777.82</v>
      </c>
      <c r="J19" s="897">
        <v>24139.63</v>
      </c>
    </row>
    <row r="20" spans="1:10">
      <c r="A20" s="220">
        <v>11</v>
      </c>
      <c r="B20" s="1" t="s">
        <v>86</v>
      </c>
      <c r="C20" s="897">
        <v>83773132.569999993</v>
      </c>
      <c r="D20" s="897">
        <v>215666.83000000002</v>
      </c>
      <c r="E20" s="897">
        <v>194484.61000000002</v>
      </c>
      <c r="F20" s="897">
        <v>0</v>
      </c>
      <c r="G20" s="897">
        <v>0</v>
      </c>
      <c r="H20" s="897">
        <v>12172.710000000001</v>
      </c>
      <c r="I20" s="897">
        <v>280901</v>
      </c>
      <c r="J20" s="897">
        <v>27521.74</v>
      </c>
    </row>
    <row r="21" spans="1:10">
      <c r="A21" s="220">
        <v>12</v>
      </c>
      <c r="B21" s="1" t="s">
        <v>79</v>
      </c>
      <c r="C21" s="897">
        <v>84513077.960000008</v>
      </c>
      <c r="D21" s="897">
        <v>234235.91999999998</v>
      </c>
      <c r="E21" s="897">
        <v>-206.36000000001513</v>
      </c>
      <c r="F21" s="897">
        <v>0</v>
      </c>
      <c r="G21" s="897">
        <v>0</v>
      </c>
      <c r="H21" s="897">
        <v>9360.2800000000007</v>
      </c>
      <c r="I21" s="897">
        <v>393045.05</v>
      </c>
      <c r="J21" s="897">
        <v>31116.190000000002</v>
      </c>
    </row>
    <row r="22" spans="1:10">
      <c r="A22" s="220">
        <v>13</v>
      </c>
      <c r="B22" s="1" t="s">
        <v>194</v>
      </c>
      <c r="C22" s="897">
        <v>84591988.799999997</v>
      </c>
      <c r="D22" s="897">
        <v>287787.36</v>
      </c>
      <c r="E22" s="897">
        <v>67244.240000000005</v>
      </c>
      <c r="F22" s="897">
        <v>0</v>
      </c>
      <c r="G22" s="897">
        <v>0</v>
      </c>
      <c r="H22" s="897">
        <v>5624.8</v>
      </c>
      <c r="I22" s="897">
        <v>506084.26999999996</v>
      </c>
      <c r="J22" s="897">
        <v>35020.120000000003</v>
      </c>
    </row>
    <row r="23" spans="1:10" ht="13.5" thickBot="1">
      <c r="A23" s="220">
        <v>14</v>
      </c>
      <c r="B23" s="6" t="s">
        <v>258</v>
      </c>
      <c r="C23" s="656">
        <f t="shared" ref="C23:H23" si="0">SUM(C10:C22)/13</f>
        <v>35991551.483076923</v>
      </c>
      <c r="D23" s="656">
        <f>SUM(D10:D22)/13</f>
        <v>167095.92307692306</v>
      </c>
      <c r="E23" s="656">
        <f t="shared" si="0"/>
        <v>37212677.625384614</v>
      </c>
      <c r="F23" s="656">
        <f t="shared" si="0"/>
        <v>0</v>
      </c>
      <c r="G23" s="656">
        <f t="shared" si="0"/>
        <v>0</v>
      </c>
      <c r="H23" s="656">
        <f t="shared" si="0"/>
        <v>80604.251538461554</v>
      </c>
      <c r="I23" s="656">
        <f>SUM(I10:I22)/13</f>
        <v>115612.64923076922</v>
      </c>
      <c r="J23" s="656">
        <f>SUM(J10:J22)/13</f>
        <v>17121.563846153844</v>
      </c>
    </row>
    <row r="24" spans="1:10" ht="13.5" thickTop="1">
      <c r="A24" s="220"/>
      <c r="B24" s="1"/>
      <c r="C24" s="7"/>
      <c r="D24" s="14"/>
      <c r="E24" s="14"/>
      <c r="F24" s="14"/>
      <c r="G24" s="7"/>
      <c r="H24" s="7"/>
      <c r="I24" s="7"/>
    </row>
    <row r="25" spans="1:10">
      <c r="A25" s="220"/>
      <c r="B25" s="8"/>
      <c r="C25" s="923" t="s">
        <v>212</v>
      </c>
      <c r="D25" s="923"/>
      <c r="E25" s="923"/>
      <c r="F25" s="923"/>
      <c r="G25" s="923"/>
      <c r="H25" s="923"/>
      <c r="I25" s="923"/>
    </row>
    <row r="26" spans="1:10" ht="72" customHeight="1">
      <c r="A26" s="848" t="s">
        <v>855</v>
      </c>
      <c r="B26" s="9" t="s">
        <v>166</v>
      </c>
      <c r="C26" s="4" t="s">
        <v>172</v>
      </c>
      <c r="D26" s="847" t="s">
        <v>850</v>
      </c>
      <c r="E26" s="4" t="s">
        <v>547</v>
      </c>
      <c r="F26" s="4" t="s">
        <v>548</v>
      </c>
      <c r="G26" s="4" t="s">
        <v>549</v>
      </c>
      <c r="H26" s="4" t="s">
        <v>550</v>
      </c>
      <c r="I26" s="4" t="s">
        <v>260</v>
      </c>
    </row>
    <row r="27" spans="1:10" s="12" customFormat="1">
      <c r="A27" s="220"/>
      <c r="B27" s="9" t="s">
        <v>196</v>
      </c>
      <c r="C27" s="4" t="s">
        <v>197</v>
      </c>
      <c r="D27" s="4" t="s">
        <v>198</v>
      </c>
      <c r="E27" s="4" t="s">
        <v>199</v>
      </c>
      <c r="F27" s="4" t="s">
        <v>201</v>
      </c>
      <c r="G27" s="4" t="s">
        <v>200</v>
      </c>
      <c r="H27" s="4" t="s">
        <v>202</v>
      </c>
      <c r="I27" s="4" t="s">
        <v>203</v>
      </c>
    </row>
    <row r="28" spans="1:10" s="12" customFormat="1" ht="25.5">
      <c r="A28" s="220"/>
      <c r="B28" s="252" t="s">
        <v>544</v>
      </c>
      <c r="C28" s="301" t="s">
        <v>405</v>
      </c>
      <c r="D28" s="4" t="s">
        <v>546</v>
      </c>
      <c r="E28" s="4" t="s">
        <v>324</v>
      </c>
      <c r="F28" s="4" t="s">
        <v>325</v>
      </c>
      <c r="G28" s="4" t="s">
        <v>326</v>
      </c>
      <c r="H28" s="4" t="s">
        <v>327</v>
      </c>
      <c r="I28" s="4" t="s">
        <v>328</v>
      </c>
    </row>
    <row r="29" spans="1:10">
      <c r="A29" s="220">
        <v>15</v>
      </c>
      <c r="B29" s="5" t="s">
        <v>193</v>
      </c>
      <c r="C29" s="882">
        <v>136777.17000000001</v>
      </c>
      <c r="D29" s="897">
        <v>0</v>
      </c>
      <c r="E29" s="897">
        <v>0</v>
      </c>
      <c r="F29" s="897">
        <v>-1128.82</v>
      </c>
      <c r="G29" s="897">
        <v>-1551.2400000000016</v>
      </c>
      <c r="H29" s="897">
        <v>104881.92</v>
      </c>
      <c r="I29" s="897">
        <v>0</v>
      </c>
    </row>
    <row r="30" spans="1:10">
      <c r="A30" s="220">
        <v>16</v>
      </c>
      <c r="B30" s="5" t="s">
        <v>85</v>
      </c>
      <c r="C30" s="897">
        <v>131078.13</v>
      </c>
      <c r="D30" s="897">
        <v>0</v>
      </c>
      <c r="E30" s="286"/>
      <c r="F30" s="286"/>
      <c r="G30" s="286"/>
      <c r="H30" s="286"/>
      <c r="I30" s="897">
        <v>0</v>
      </c>
    </row>
    <row r="31" spans="1:10">
      <c r="A31" s="220">
        <v>17</v>
      </c>
      <c r="B31" s="1" t="s">
        <v>84</v>
      </c>
      <c r="C31" s="897">
        <v>125379.09</v>
      </c>
      <c r="D31" s="897">
        <v>0</v>
      </c>
      <c r="E31" s="286"/>
      <c r="F31" s="286"/>
      <c r="G31" s="286"/>
      <c r="H31" s="286"/>
      <c r="I31" s="897">
        <v>0</v>
      </c>
    </row>
    <row r="32" spans="1:10">
      <c r="A32" s="220">
        <v>18</v>
      </c>
      <c r="B32" s="1" t="s">
        <v>170</v>
      </c>
      <c r="C32" s="897">
        <v>119680.05</v>
      </c>
      <c r="D32" s="897">
        <v>0</v>
      </c>
      <c r="E32" s="286"/>
      <c r="F32" s="286"/>
      <c r="G32" s="286"/>
      <c r="H32" s="286"/>
      <c r="I32" s="897">
        <v>0</v>
      </c>
    </row>
    <row r="33" spans="1:15">
      <c r="A33" s="220">
        <v>19</v>
      </c>
      <c r="B33" s="1" t="s">
        <v>76</v>
      </c>
      <c r="C33" s="897">
        <v>113981.01000000001</v>
      </c>
      <c r="D33" s="897">
        <v>0</v>
      </c>
      <c r="E33" s="286"/>
      <c r="F33" s="286"/>
      <c r="G33" s="286"/>
      <c r="H33" s="286"/>
      <c r="I33" s="897">
        <v>0</v>
      </c>
    </row>
    <row r="34" spans="1:15">
      <c r="A34" s="220">
        <v>20</v>
      </c>
      <c r="B34" s="1" t="s">
        <v>75</v>
      </c>
      <c r="C34" s="897">
        <v>108281.97</v>
      </c>
      <c r="D34" s="897">
        <v>0</v>
      </c>
      <c r="E34" s="286"/>
      <c r="F34" s="286"/>
      <c r="G34" s="286"/>
      <c r="H34" s="286"/>
      <c r="I34" s="897">
        <v>0</v>
      </c>
    </row>
    <row r="35" spans="1:15">
      <c r="A35" s="220">
        <v>21</v>
      </c>
      <c r="B35" s="1" t="s">
        <v>95</v>
      </c>
      <c r="C35" s="897">
        <v>102582.93000000001</v>
      </c>
      <c r="D35" s="897">
        <v>0</v>
      </c>
      <c r="E35" s="286"/>
      <c r="F35" s="286"/>
      <c r="G35" s="286"/>
      <c r="H35" s="286"/>
      <c r="I35" s="897">
        <v>0</v>
      </c>
    </row>
    <row r="36" spans="1:15">
      <c r="A36" s="220">
        <v>22</v>
      </c>
      <c r="B36" s="1" t="s">
        <v>82</v>
      </c>
      <c r="C36" s="897">
        <v>96883.89</v>
      </c>
      <c r="D36" s="897">
        <v>0</v>
      </c>
      <c r="E36" s="286"/>
      <c r="F36" s="286"/>
      <c r="G36" s="286"/>
      <c r="H36" s="286"/>
      <c r="I36" s="897">
        <v>0</v>
      </c>
    </row>
    <row r="37" spans="1:15">
      <c r="A37" s="220">
        <v>23</v>
      </c>
      <c r="B37" s="1" t="s">
        <v>171</v>
      </c>
      <c r="C37" s="897">
        <v>91184.85</v>
      </c>
      <c r="D37" s="897">
        <v>0</v>
      </c>
      <c r="E37" s="286"/>
      <c r="F37" s="286"/>
      <c r="G37" s="286"/>
      <c r="H37" s="286"/>
      <c r="I37" s="897">
        <v>0</v>
      </c>
    </row>
    <row r="38" spans="1:15">
      <c r="A38" s="220">
        <v>24</v>
      </c>
      <c r="B38" s="1" t="s">
        <v>80</v>
      </c>
      <c r="C38" s="897">
        <v>85485.81</v>
      </c>
      <c r="D38" s="897">
        <v>0</v>
      </c>
      <c r="E38" s="286"/>
      <c r="F38" s="286"/>
      <c r="G38" s="286"/>
      <c r="H38" s="286"/>
      <c r="I38" s="897">
        <v>0</v>
      </c>
    </row>
    <row r="39" spans="1:15">
      <c r="A39" s="220">
        <v>25</v>
      </c>
      <c r="B39" s="1" t="s">
        <v>86</v>
      </c>
      <c r="C39" s="897">
        <v>79786.77</v>
      </c>
      <c r="D39" s="897">
        <v>0</v>
      </c>
      <c r="E39" s="286"/>
      <c r="F39" s="286"/>
      <c r="G39" s="286"/>
      <c r="H39" s="286"/>
      <c r="I39" s="897">
        <v>0</v>
      </c>
    </row>
    <row r="40" spans="1:15">
      <c r="A40" s="220">
        <v>26</v>
      </c>
      <c r="B40" s="1" t="s">
        <v>79</v>
      </c>
      <c r="C40" s="897">
        <v>74087.73</v>
      </c>
      <c r="D40" s="897">
        <v>0</v>
      </c>
      <c r="E40" s="286"/>
      <c r="F40" s="286"/>
      <c r="G40" s="286"/>
      <c r="H40" s="286"/>
      <c r="I40" s="897">
        <v>0</v>
      </c>
    </row>
    <row r="41" spans="1:15">
      <c r="A41" s="220">
        <v>27</v>
      </c>
      <c r="B41" s="1" t="s">
        <v>194</v>
      </c>
      <c r="C41" s="897">
        <v>68388.69</v>
      </c>
      <c r="D41" s="897">
        <v>0</v>
      </c>
      <c r="E41" s="897">
        <v>0</v>
      </c>
      <c r="F41" s="897">
        <v>750632.53999999992</v>
      </c>
      <c r="G41" s="897">
        <v>-4968.9599999999991</v>
      </c>
      <c r="H41" s="897">
        <v>1840.8700000000001</v>
      </c>
      <c r="I41" s="897">
        <v>0</v>
      </c>
    </row>
    <row r="42" spans="1:15" ht="13.5" thickBot="1">
      <c r="A42" s="220">
        <v>28</v>
      </c>
      <c r="B42" s="6" t="s">
        <v>259</v>
      </c>
      <c r="C42" s="656">
        <f t="shared" ref="C42:I42" si="1">SUM(C29:C41)/13</f>
        <v>102582.93</v>
      </c>
      <c r="D42" s="656">
        <f t="shared" si="1"/>
        <v>0</v>
      </c>
      <c r="E42" s="656">
        <f>(E29+E41)/2</f>
        <v>0</v>
      </c>
      <c r="F42" s="656">
        <f>(F29+F41)/2</f>
        <v>374751.86</v>
      </c>
      <c r="G42" s="656">
        <f>(G29+G41)/2</f>
        <v>-3260.1000000000004</v>
      </c>
      <c r="H42" s="656">
        <f>(H29+H41)/2</f>
        <v>53361.394999999997</v>
      </c>
      <c r="I42" s="656">
        <f t="shared" si="1"/>
        <v>0</v>
      </c>
    </row>
    <row r="43" spans="1:15" ht="13.5" thickTop="1">
      <c r="A43" s="220"/>
      <c r="B43" s="1"/>
      <c r="I43" s="14"/>
    </row>
    <row r="44" spans="1:15">
      <c r="A44" s="220"/>
    </row>
    <row r="45" spans="1:15">
      <c r="E45" s="218" t="str">
        <f>+B1</f>
        <v>Attachment 4</v>
      </c>
      <c r="J45" s="1" t="s">
        <v>153</v>
      </c>
    </row>
    <row r="46" spans="1:15">
      <c r="A46" s="287"/>
      <c r="B46" s="218"/>
      <c r="C46" s="288"/>
      <c r="D46" s="288"/>
      <c r="E46" s="862" t="str">
        <f>+B2</f>
        <v xml:space="preserve">Rate Base Worksheet </v>
      </c>
      <c r="F46" s="288"/>
      <c r="L46" s="12"/>
      <c r="M46" s="12"/>
      <c r="N46" s="12"/>
      <c r="O46" s="12"/>
    </row>
    <row r="47" spans="1:15" s="324" customFormat="1">
      <c r="A47" s="652"/>
      <c r="B47" s="218"/>
      <c r="C47" s="288"/>
      <c r="D47" s="288"/>
      <c r="E47" s="862" t="str">
        <f>+B3</f>
        <v>Transource West Virginia, LLC</v>
      </c>
      <c r="F47" s="288"/>
      <c r="L47" s="12"/>
      <c r="M47" s="12"/>
      <c r="N47" s="12"/>
      <c r="O47" s="12"/>
    </row>
    <row r="48" spans="1:15" s="324" customFormat="1">
      <c r="A48" s="652"/>
      <c r="B48" s="657" t="s">
        <v>809</v>
      </c>
      <c r="C48" s="288"/>
      <c r="D48" s="288"/>
      <c r="E48" s="288"/>
      <c r="F48" s="288"/>
      <c r="G48" s="288"/>
      <c r="L48" s="12"/>
      <c r="M48" s="12"/>
      <c r="N48" s="12"/>
      <c r="O48" s="12"/>
    </row>
    <row r="49" spans="1:15" s="324" customFormat="1" ht="25.5" customHeight="1">
      <c r="A49" s="652"/>
      <c r="B49" s="218"/>
      <c r="C49" s="925" t="s">
        <v>681</v>
      </c>
      <c r="D49" s="925" t="s">
        <v>685</v>
      </c>
      <c r="E49" s="925" t="s">
        <v>684</v>
      </c>
      <c r="L49" s="12"/>
      <c r="M49" s="12"/>
      <c r="N49" s="12"/>
      <c r="O49" s="12"/>
    </row>
    <row r="50" spans="1:15" s="324" customFormat="1" ht="12.75" customHeight="1">
      <c r="A50" s="652"/>
      <c r="B50" s="218"/>
      <c r="C50" s="925"/>
      <c r="D50" s="925"/>
      <c r="E50" s="925"/>
      <c r="L50" s="12"/>
      <c r="M50" s="12"/>
      <c r="N50" s="12"/>
      <c r="O50" s="12"/>
    </row>
    <row r="51" spans="1:15" s="324" customFormat="1">
      <c r="A51" s="652"/>
      <c r="B51" s="218"/>
      <c r="C51" s="3" t="s">
        <v>196</v>
      </c>
      <c r="D51" s="3" t="s">
        <v>197</v>
      </c>
      <c r="E51" s="654" t="s">
        <v>683</v>
      </c>
      <c r="L51" s="12"/>
      <c r="M51" s="12"/>
      <c r="N51" s="12"/>
      <c r="O51" s="12"/>
    </row>
    <row r="52" spans="1:15" s="324" customFormat="1" ht="25.5">
      <c r="A52" s="652"/>
      <c r="B52" s="218"/>
      <c r="C52" s="326" t="s">
        <v>680</v>
      </c>
      <c r="D52" s="326" t="s">
        <v>682</v>
      </c>
      <c r="E52" s="326"/>
      <c r="L52" s="12"/>
      <c r="M52" s="12"/>
      <c r="N52" s="12"/>
      <c r="O52" s="12"/>
    </row>
    <row r="53" spans="1:15" s="324" customFormat="1">
      <c r="A53" s="652">
        <f>+A42+1</f>
        <v>29</v>
      </c>
      <c r="B53" s="5" t="s">
        <v>193</v>
      </c>
      <c r="C53" s="882">
        <v>53495138.240000002</v>
      </c>
      <c r="D53" s="897">
        <v>10660.000000000047</v>
      </c>
      <c r="E53" s="367">
        <f t="shared" ref="E53:E65" si="2">+C53-D53</f>
        <v>53484478.240000002</v>
      </c>
      <c r="L53" s="12"/>
      <c r="M53" s="12"/>
      <c r="N53" s="12"/>
      <c r="O53" s="12"/>
    </row>
    <row r="54" spans="1:15" s="324" customFormat="1">
      <c r="A54" s="652">
        <f>+A53+1</f>
        <v>30</v>
      </c>
      <c r="B54" s="5" t="s">
        <v>85</v>
      </c>
      <c r="C54" s="882">
        <v>55042995.359999999</v>
      </c>
      <c r="D54" s="897">
        <v>-272305.95000001788</v>
      </c>
      <c r="E54" s="367">
        <f t="shared" si="2"/>
        <v>55315301.310000017</v>
      </c>
      <c r="L54" s="12"/>
      <c r="M54" s="12"/>
      <c r="N54" s="12"/>
      <c r="O54" s="12"/>
    </row>
    <row r="55" spans="1:15" s="324" customFormat="1">
      <c r="A55" s="652">
        <f t="shared" ref="A55:A65" si="3">+A54+1</f>
        <v>31</v>
      </c>
      <c r="B55" s="1" t="s">
        <v>84</v>
      </c>
      <c r="C55" s="882">
        <v>59721050</v>
      </c>
      <c r="D55" s="897">
        <v>-274800.00000000745</v>
      </c>
      <c r="E55" s="655">
        <f t="shared" si="2"/>
        <v>59995850.000000007</v>
      </c>
      <c r="L55" s="12"/>
      <c r="M55" s="12"/>
      <c r="N55" s="12"/>
      <c r="O55" s="12"/>
    </row>
    <row r="56" spans="1:15" s="324" customFormat="1">
      <c r="A56" s="652">
        <f t="shared" si="3"/>
        <v>32</v>
      </c>
      <c r="B56" s="1" t="s">
        <v>170</v>
      </c>
      <c r="C56" s="882">
        <v>63847144.289999999</v>
      </c>
      <c r="D56" s="897">
        <v>-266802.56999999285</v>
      </c>
      <c r="E56" s="655">
        <f t="shared" si="2"/>
        <v>64113946.859999992</v>
      </c>
      <c r="L56" s="12"/>
      <c r="M56" s="12"/>
      <c r="N56" s="12"/>
      <c r="O56" s="12"/>
    </row>
    <row r="57" spans="1:15" s="324" customFormat="1">
      <c r="A57" s="652">
        <f t="shared" si="3"/>
        <v>33</v>
      </c>
      <c r="B57" s="1" t="s">
        <v>76</v>
      </c>
      <c r="C57" s="882">
        <v>68927475.819999993</v>
      </c>
      <c r="D57" s="897">
        <v>-266641.92000001669</v>
      </c>
      <c r="E57" s="655">
        <f t="shared" si="2"/>
        <v>69194117.74000001</v>
      </c>
      <c r="L57" s="12"/>
      <c r="M57" s="12"/>
      <c r="N57" s="12"/>
      <c r="O57" s="12"/>
    </row>
    <row r="58" spans="1:15" s="324" customFormat="1">
      <c r="A58" s="652">
        <f t="shared" si="3"/>
        <v>34</v>
      </c>
      <c r="B58" s="1" t="s">
        <v>75</v>
      </c>
      <c r="C58" s="882">
        <v>67935997.840000004</v>
      </c>
      <c r="D58" s="897">
        <v>-263186.40000000596</v>
      </c>
      <c r="E58" s="655">
        <f t="shared" si="2"/>
        <v>68199184.24000001</v>
      </c>
      <c r="L58" s="12"/>
      <c r="M58" s="12"/>
      <c r="N58" s="12"/>
      <c r="O58" s="12"/>
    </row>
    <row r="59" spans="1:15" s="324" customFormat="1">
      <c r="A59" s="652">
        <f t="shared" si="3"/>
        <v>35</v>
      </c>
      <c r="B59" s="1" t="s">
        <v>95</v>
      </c>
      <c r="C59" s="882">
        <v>70982181.140000001</v>
      </c>
      <c r="D59" s="897">
        <v>-262174.01999999583</v>
      </c>
      <c r="E59" s="655">
        <f t="shared" si="2"/>
        <v>71244355.159999996</v>
      </c>
      <c r="L59" s="12"/>
      <c r="M59" s="12"/>
      <c r="N59" s="12"/>
      <c r="O59" s="12"/>
    </row>
    <row r="60" spans="1:15" s="324" customFormat="1">
      <c r="A60" s="652">
        <f t="shared" si="3"/>
        <v>36</v>
      </c>
      <c r="B60" s="1" t="s">
        <v>82</v>
      </c>
      <c r="C60" s="882">
        <v>11927135.57</v>
      </c>
      <c r="D60" s="897">
        <v>-258593.33000000007</v>
      </c>
      <c r="E60" s="655">
        <f t="shared" si="2"/>
        <v>12185728.9</v>
      </c>
      <c r="L60" s="12"/>
      <c r="M60" s="12"/>
      <c r="N60" s="12"/>
      <c r="O60" s="12"/>
    </row>
    <row r="61" spans="1:15" s="324" customFormat="1">
      <c r="A61" s="652">
        <f t="shared" si="3"/>
        <v>37</v>
      </c>
      <c r="B61" s="1" t="s">
        <v>171</v>
      </c>
      <c r="C61" s="882">
        <v>13594756.09</v>
      </c>
      <c r="D61" s="897">
        <v>-255472.28000000119</v>
      </c>
      <c r="E61" s="655">
        <f t="shared" si="2"/>
        <v>13850228.370000001</v>
      </c>
      <c r="L61" s="12"/>
      <c r="M61" s="12"/>
      <c r="N61" s="12"/>
      <c r="O61" s="12"/>
    </row>
    <row r="62" spans="1:15" s="324" customFormat="1">
      <c r="A62" s="652">
        <f t="shared" si="3"/>
        <v>38</v>
      </c>
      <c r="B62" s="1" t="s">
        <v>80</v>
      </c>
      <c r="C62" s="882">
        <v>15689357.4</v>
      </c>
      <c r="D62" s="897">
        <v>-230738.41999999993</v>
      </c>
      <c r="E62" s="655">
        <f t="shared" si="2"/>
        <v>15920095.82</v>
      </c>
      <c r="L62" s="12"/>
      <c r="M62" s="12"/>
      <c r="N62" s="12"/>
      <c r="O62" s="12"/>
    </row>
    <row r="63" spans="1:15" s="324" customFormat="1">
      <c r="A63" s="652">
        <f t="shared" si="3"/>
        <v>39</v>
      </c>
      <c r="B63" s="1" t="s">
        <v>86</v>
      </c>
      <c r="C63" s="882">
        <v>-53318.93</v>
      </c>
      <c r="D63" s="897">
        <v>-247803.54</v>
      </c>
      <c r="E63" s="655">
        <f t="shared" si="2"/>
        <v>194484.61000000002</v>
      </c>
      <c r="L63" s="12"/>
      <c r="M63" s="12"/>
      <c r="N63" s="12"/>
      <c r="O63" s="12"/>
    </row>
    <row r="64" spans="1:15" s="324" customFormat="1">
      <c r="A64" s="652">
        <f t="shared" si="3"/>
        <v>40</v>
      </c>
      <c r="B64" s="1" t="s">
        <v>79</v>
      </c>
      <c r="C64" s="882">
        <v>-246481.23</v>
      </c>
      <c r="D64" s="897">
        <v>-246274.87</v>
      </c>
      <c r="E64" s="655">
        <f t="shared" si="2"/>
        <v>-206.36000000001513</v>
      </c>
      <c r="L64" s="12"/>
      <c r="M64" s="12"/>
      <c r="N64" s="12"/>
      <c r="O64" s="12"/>
    </row>
    <row r="65" spans="1:16" s="324" customFormat="1">
      <c r="A65" s="652">
        <f t="shared" si="3"/>
        <v>41</v>
      </c>
      <c r="B65" s="1" t="s">
        <v>194</v>
      </c>
      <c r="C65" s="882">
        <v>99171.17</v>
      </c>
      <c r="D65" s="897">
        <v>31926.929999999993</v>
      </c>
      <c r="E65" s="655">
        <f t="shared" si="2"/>
        <v>67244.240000000005</v>
      </c>
      <c r="L65" s="12"/>
      <c r="M65" s="12"/>
      <c r="N65" s="12"/>
      <c r="O65" s="12"/>
    </row>
    <row r="66" spans="1:16" s="324" customFormat="1" ht="13.5" thickBot="1">
      <c r="A66" s="652"/>
      <c r="B66" s="218"/>
      <c r="C66" s="656">
        <f>+E66+D66</f>
        <v>36997123.289230764</v>
      </c>
      <c r="D66" s="656">
        <f>SUM(D53:D65)/13</f>
        <v>-215554.33615384906</v>
      </c>
      <c r="E66" s="656">
        <f>SUM(E53:E65)/13</f>
        <v>37212677.625384614</v>
      </c>
      <c r="L66" s="12"/>
      <c r="M66" s="12"/>
      <c r="N66" s="12"/>
      <c r="O66" s="12"/>
    </row>
    <row r="67" spans="1:16" s="324" customFormat="1" ht="13.5" thickTop="1">
      <c r="A67" s="652"/>
      <c r="B67" s="218"/>
      <c r="C67" s="288"/>
      <c r="D67" s="288"/>
      <c r="E67" s="288"/>
      <c r="F67" s="288"/>
      <c r="G67" s="288"/>
      <c r="L67" s="12"/>
      <c r="M67" s="12"/>
      <c r="N67" s="12"/>
      <c r="O67" s="12"/>
    </row>
    <row r="68" spans="1:16">
      <c r="A68" s="287"/>
      <c r="B68" s="658" t="s">
        <v>551</v>
      </c>
      <c r="C68" s="288"/>
      <c r="D68" s="288"/>
      <c r="E68" s="288"/>
      <c r="F68" s="289"/>
      <c r="G68" s="289"/>
      <c r="H68" s="217"/>
      <c r="I68" s="217"/>
      <c r="J68" s="219"/>
      <c r="K68" s="12"/>
      <c r="L68" s="12"/>
      <c r="M68" s="12"/>
      <c r="N68" s="12"/>
      <c r="O68" s="12"/>
    </row>
    <row r="69" spans="1:16">
      <c r="A69" s="287"/>
      <c r="B69" s="218" t="s">
        <v>196</v>
      </c>
      <c r="C69" s="218" t="s">
        <v>197</v>
      </c>
      <c r="D69" s="218" t="s">
        <v>198</v>
      </c>
      <c r="E69" s="218" t="s">
        <v>199</v>
      </c>
      <c r="F69" s="267" t="s">
        <v>201</v>
      </c>
      <c r="G69" s="267" t="s">
        <v>200</v>
      </c>
      <c r="H69" s="267" t="s">
        <v>202</v>
      </c>
      <c r="I69" s="267" t="s">
        <v>203</v>
      </c>
      <c r="J69" s="219"/>
      <c r="K69" s="217"/>
      <c r="L69" s="12"/>
      <c r="M69" s="12"/>
      <c r="N69" s="12"/>
      <c r="O69" s="12"/>
      <c r="P69" s="12"/>
    </row>
    <row r="70" spans="1:16" ht="63.75">
      <c r="A70" s="287"/>
      <c r="B70" s="720" t="s">
        <v>318</v>
      </c>
      <c r="C70" s="361"/>
      <c r="D70" s="721" t="s">
        <v>11</v>
      </c>
      <c r="E70" s="721" t="s">
        <v>319</v>
      </c>
      <c r="F70" s="721" t="s">
        <v>724</v>
      </c>
      <c r="G70" s="721" t="s">
        <v>722</v>
      </c>
      <c r="H70" s="363" t="s">
        <v>320</v>
      </c>
      <c r="I70" s="363" t="s">
        <v>321</v>
      </c>
      <c r="J70" s="290"/>
      <c r="K70" s="290"/>
      <c r="L70" s="290"/>
      <c r="M70" s="291"/>
      <c r="N70" s="12"/>
      <c r="O70" s="12"/>
      <c r="P70" s="12"/>
    </row>
    <row r="71" spans="1:16">
      <c r="A71" s="287" t="str">
        <f>+A65+1&amp;"a"</f>
        <v>42a</v>
      </c>
      <c r="B71" s="280"/>
      <c r="C71" s="292" t="s">
        <v>322</v>
      </c>
      <c r="D71" s="293">
        <v>0</v>
      </c>
      <c r="E71" s="293">
        <v>0</v>
      </c>
      <c r="F71" s="293">
        <v>0</v>
      </c>
      <c r="G71" s="293">
        <v>0</v>
      </c>
      <c r="H71" s="293">
        <v>0</v>
      </c>
      <c r="I71" s="294">
        <f>+D71*E71*F71*G71*H71</f>
        <v>0</v>
      </c>
      <c r="J71" s="280"/>
      <c r="K71" s="280"/>
      <c r="L71" s="280"/>
      <c r="M71" s="291"/>
      <c r="N71" s="12"/>
      <c r="O71" s="12"/>
      <c r="P71" s="12"/>
    </row>
    <row r="72" spans="1:16">
      <c r="A72" s="652" t="str">
        <f>+A65+1&amp;"b"</f>
        <v>42b</v>
      </c>
      <c r="B72" s="280"/>
      <c r="C72" s="292" t="s">
        <v>323</v>
      </c>
      <c r="D72" s="295">
        <v>0</v>
      </c>
      <c r="E72" s="295">
        <v>0</v>
      </c>
      <c r="F72" s="295">
        <v>0</v>
      </c>
      <c r="G72" s="295">
        <v>0</v>
      </c>
      <c r="H72" s="295">
        <v>0</v>
      </c>
      <c r="I72" s="294">
        <f>+D72*E72*F72*G72*H72</f>
        <v>0</v>
      </c>
      <c r="J72" s="280"/>
      <c r="K72" s="280"/>
      <c r="L72" s="280"/>
      <c r="M72" s="291"/>
      <c r="N72" s="12"/>
      <c r="O72" s="12"/>
      <c r="P72" s="12"/>
    </row>
    <row r="73" spans="1:16">
      <c r="A73" s="287">
        <f>+A65+2</f>
        <v>43</v>
      </c>
      <c r="B73" s="280"/>
      <c r="C73" s="722" t="s">
        <v>13</v>
      </c>
      <c r="D73" s="605">
        <f>SUM(D71:D72)</f>
        <v>0</v>
      </c>
      <c r="E73" s="723"/>
      <c r="F73" s="724"/>
      <c r="G73" s="724"/>
      <c r="H73" s="723"/>
      <c r="I73" s="725">
        <f>SUM(I71:I72)</f>
        <v>0</v>
      </c>
      <c r="J73" s="280"/>
      <c r="K73" s="280"/>
      <c r="L73" s="280"/>
      <c r="M73" s="291"/>
      <c r="N73" s="12"/>
      <c r="O73" s="12"/>
      <c r="P73" s="12"/>
    </row>
    <row r="74" spans="1:16">
      <c r="A74" s="222"/>
      <c r="B74" s="223"/>
      <c r="C74" s="224"/>
      <c r="D74" s="224"/>
      <c r="E74" s="224"/>
      <c r="F74" s="224"/>
      <c r="G74" s="224"/>
      <c r="I74" s="299"/>
      <c r="J74" s="299"/>
      <c r="K74" s="299"/>
    </row>
    <row r="75" spans="1:16">
      <c r="A75" s="222"/>
      <c r="B75" s="223"/>
      <c r="C75" s="224"/>
      <c r="D75" s="224"/>
      <c r="E75" s="224"/>
      <c r="F75" s="224"/>
      <c r="G75" s="224"/>
      <c r="L75" s="12"/>
      <c r="M75" s="12"/>
      <c r="N75" s="12"/>
      <c r="O75" s="12"/>
      <c r="P75" s="12"/>
    </row>
    <row r="76" spans="1:16">
      <c r="A76" s="719" t="s">
        <v>182</v>
      </c>
    </row>
    <row r="77" spans="1:16">
      <c r="A77" s="325" t="s">
        <v>62</v>
      </c>
      <c r="B77" s="271" t="s">
        <v>355</v>
      </c>
      <c r="C77" s="260"/>
      <c r="D77" s="260"/>
      <c r="E77" s="260"/>
      <c r="F77" s="260"/>
      <c r="G77" s="260"/>
      <c r="H77" s="260"/>
      <c r="I77" s="260"/>
      <c r="J77" s="260"/>
      <c r="K77" s="260"/>
    </row>
    <row r="78" spans="1:16" s="217" customFormat="1" ht="48.75" customHeight="1">
      <c r="A78" s="325" t="s">
        <v>63</v>
      </c>
      <c r="B78" s="903" t="s">
        <v>813</v>
      </c>
      <c r="C78" s="903"/>
      <c r="D78" s="903"/>
      <c r="E78" s="903"/>
      <c r="F78" s="903"/>
      <c r="G78" s="903"/>
      <c r="H78" s="903"/>
      <c r="I78" s="903"/>
      <c r="J78" s="853"/>
      <c r="K78" s="446"/>
    </row>
    <row r="79" spans="1:16" ht="27.75" customHeight="1">
      <c r="A79" s="325" t="s">
        <v>64</v>
      </c>
      <c r="B79" s="903" t="s">
        <v>545</v>
      </c>
      <c r="C79" s="903"/>
      <c r="D79" s="903"/>
      <c r="E79" s="903"/>
      <c r="F79" s="903"/>
      <c r="G79" s="903"/>
      <c r="H79" s="903"/>
      <c r="I79" s="903"/>
      <c r="J79" s="853"/>
      <c r="K79" s="853"/>
    </row>
    <row r="80" spans="1:16" ht="12.75" customHeight="1">
      <c r="A80" s="325" t="s">
        <v>65</v>
      </c>
      <c r="B80" s="903" t="s">
        <v>365</v>
      </c>
      <c r="C80" s="903"/>
      <c r="D80" s="903"/>
      <c r="E80" s="903"/>
      <c r="F80" s="903"/>
      <c r="G80" s="903"/>
      <c r="H80" s="903"/>
      <c r="I80" s="903"/>
      <c r="J80" s="853"/>
      <c r="K80" s="853"/>
      <c r="L80" s="219"/>
    </row>
    <row r="81" spans="1:11">
      <c r="A81" s="325" t="s">
        <v>66</v>
      </c>
      <c r="B81" s="903" t="s">
        <v>633</v>
      </c>
      <c r="C81" s="903"/>
      <c r="D81" s="903"/>
      <c r="E81" s="903"/>
      <c r="F81" s="903"/>
      <c r="G81" s="903"/>
      <c r="H81" s="903"/>
      <c r="I81" s="903"/>
      <c r="J81" s="850"/>
      <c r="K81" s="850"/>
    </row>
    <row r="82" spans="1:11" s="217" customFormat="1" ht="60.75" customHeight="1">
      <c r="A82" s="325" t="s">
        <v>67</v>
      </c>
      <c r="B82" s="903" t="s">
        <v>721</v>
      </c>
      <c r="C82" s="903"/>
      <c r="D82" s="903"/>
      <c r="E82" s="903"/>
      <c r="F82" s="903"/>
      <c r="G82" s="903"/>
      <c r="H82" s="903"/>
      <c r="I82" s="903"/>
      <c r="J82" s="854"/>
      <c r="K82" s="854"/>
    </row>
    <row r="83" spans="1:11" ht="24.75" customHeight="1">
      <c r="A83" s="325" t="s">
        <v>68</v>
      </c>
      <c r="B83" s="929" t="s">
        <v>810</v>
      </c>
      <c r="C83" s="929"/>
      <c r="D83" s="929"/>
      <c r="E83" s="929"/>
      <c r="F83" s="929"/>
      <c r="G83" s="929"/>
      <c r="H83" s="929"/>
      <c r="I83" s="929"/>
      <c r="J83" s="854"/>
      <c r="K83" s="849"/>
    </row>
    <row r="84" spans="1:11" ht="18" customHeight="1">
      <c r="A84" s="325" t="s">
        <v>69</v>
      </c>
      <c r="B84" s="922" t="s">
        <v>723</v>
      </c>
      <c r="C84" s="922"/>
      <c r="D84" s="922"/>
      <c r="E84" s="922"/>
      <c r="F84" s="922"/>
      <c r="G84" s="922"/>
      <c r="H84" s="922"/>
      <c r="I84" s="922"/>
      <c r="J84" s="849"/>
      <c r="K84" s="849"/>
    </row>
  </sheetData>
  <customSheetViews>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1"/>
    </customSheetView>
    <customSheetView guid="{F04A2B9A-C6FE-4FEB-AD1E-2CF9AC309BE4}" scale="85" showPageBreaks="1" printArea="1">
      <selection activeCell="E6" sqref="E6"/>
      <pageMargins left="0.7" right="0.7" top="0.75" bottom="0.75" header="0.3" footer="0.3"/>
      <pageSetup scale="55" orientation="landscape" r:id="rId2"/>
    </customSheetView>
  </customSheetViews>
  <mergeCells count="17">
    <mergeCell ref="B1:I1"/>
    <mergeCell ref="B2:I2"/>
    <mergeCell ref="B3:I3"/>
    <mergeCell ref="B82:I82"/>
    <mergeCell ref="B83:I83"/>
    <mergeCell ref="B84:I84"/>
    <mergeCell ref="C25:I25"/>
    <mergeCell ref="I6:J6"/>
    <mergeCell ref="G6:H6"/>
    <mergeCell ref="C6:D6"/>
    <mergeCell ref="C49:C50"/>
    <mergeCell ref="D49:D50"/>
    <mergeCell ref="E49:E50"/>
    <mergeCell ref="B78:I78"/>
    <mergeCell ref="B79:I79"/>
    <mergeCell ref="B80:I80"/>
    <mergeCell ref="B81:I81"/>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zoomScale="90" zoomScaleNormal="100" zoomScaleSheetLayoutView="90" workbookViewId="0">
      <selection sqref="A1:J1"/>
    </sheetView>
  </sheetViews>
  <sheetFormatPr defaultColWidth="14" defaultRowHeight="12.75"/>
  <cols>
    <col min="1" max="1" width="5.77734375" style="99" bestFit="1" customWidth="1"/>
    <col min="2" max="2" width="20.88671875" style="324" customWidth="1"/>
    <col min="3" max="3" width="14.33203125" style="324" customWidth="1"/>
    <col min="4" max="4" width="14" style="324" customWidth="1"/>
    <col min="5" max="5" width="12.5546875" style="324" customWidth="1"/>
    <col min="6" max="6" width="13.33203125" style="324" customWidth="1"/>
    <col min="7" max="7" width="12.77734375" style="324" customWidth="1"/>
    <col min="8" max="9" width="8.5546875" style="324" customWidth="1"/>
    <col min="10" max="10" width="13.6640625" style="324" bestFit="1" customWidth="1"/>
    <col min="11" max="11" width="12.5546875" style="324" bestFit="1" customWidth="1"/>
    <col min="12" max="12" width="11.21875" style="324" bestFit="1" customWidth="1"/>
    <col min="13" max="13" width="12.77734375" style="324" customWidth="1"/>
    <col min="14" max="14" width="14" style="324"/>
    <col min="15" max="15" width="10" style="324" bestFit="1" customWidth="1"/>
    <col min="16" max="16384" width="14" style="324"/>
  </cols>
  <sheetData>
    <row r="1" spans="1:15">
      <c r="A1" s="926" t="s">
        <v>190</v>
      </c>
      <c r="B1" s="926"/>
      <c r="C1" s="926"/>
      <c r="D1" s="926"/>
      <c r="E1" s="926"/>
      <c r="F1" s="926"/>
      <c r="G1" s="926"/>
      <c r="H1" s="926"/>
      <c r="I1" s="926"/>
      <c r="J1" s="926"/>
    </row>
    <row r="2" spans="1:15" ht="15" customHeight="1">
      <c r="A2" s="931" t="s">
        <v>483</v>
      </c>
      <c r="B2" s="931"/>
      <c r="C2" s="931"/>
      <c r="D2" s="931"/>
      <c r="E2" s="931"/>
      <c r="F2" s="931"/>
      <c r="G2" s="931"/>
      <c r="H2" s="931"/>
      <c r="I2" s="931"/>
      <c r="J2" s="931"/>
    </row>
    <row r="3" spans="1:15">
      <c r="A3" s="928" t="str">
        <f>+'Attachment H-26'!$D$5</f>
        <v>Transource West Virginia, LLC</v>
      </c>
      <c r="B3" s="928"/>
      <c r="C3" s="928"/>
      <c r="D3" s="928"/>
      <c r="E3" s="928"/>
      <c r="F3" s="928"/>
      <c r="G3" s="928"/>
      <c r="H3" s="928"/>
      <c r="I3" s="928"/>
      <c r="J3" s="928"/>
      <c r="K3" s="555"/>
      <c r="L3" s="555"/>
      <c r="M3" s="555"/>
      <c r="N3" s="555"/>
    </row>
    <row r="4" spans="1:15">
      <c r="B4" s="553"/>
    </row>
    <row r="5" spans="1:15">
      <c r="A5" s="261"/>
      <c r="B5" s="24" t="s">
        <v>468</v>
      </c>
      <c r="C5" s="553"/>
      <c r="F5" s="553"/>
      <c r="G5" s="553"/>
      <c r="H5" s="553"/>
      <c r="I5" s="553"/>
      <c r="J5" s="553"/>
      <c r="K5" s="272"/>
      <c r="L5" s="553"/>
      <c r="N5" s="102"/>
      <c r="O5" s="102"/>
    </row>
    <row r="6" spans="1:15" ht="16.5" thickBot="1">
      <c r="A6" s="261"/>
      <c r="B6" s="24"/>
      <c r="C6" s="553"/>
      <c r="D6" s="273"/>
      <c r="E6" s="273"/>
      <c r="F6" s="396" t="s">
        <v>48</v>
      </c>
      <c r="G6" s="273"/>
      <c r="H6" s="273"/>
      <c r="I6" s="273"/>
      <c r="K6" s="272"/>
      <c r="L6" s="553"/>
      <c r="N6" s="102"/>
      <c r="O6" s="102"/>
    </row>
    <row r="7" spans="1:15" ht="15.75">
      <c r="A7" s="261">
        <v>1</v>
      </c>
      <c r="B7" s="24" t="s">
        <v>292</v>
      </c>
      <c r="C7" s="24"/>
      <c r="F7" s="147">
        <v>839385.10000000009</v>
      </c>
      <c r="G7" s="273"/>
      <c r="H7" s="273"/>
      <c r="I7" s="273"/>
      <c r="N7" s="103"/>
      <c r="O7" s="103"/>
    </row>
    <row r="8" spans="1:15" ht="15.75">
      <c r="A8" s="261"/>
      <c r="B8" s="24"/>
      <c r="C8" s="24"/>
      <c r="F8" s="159"/>
      <c r="G8" s="273"/>
      <c r="H8" s="273"/>
      <c r="I8" s="273"/>
      <c r="N8" s="103"/>
      <c r="O8" s="103"/>
    </row>
    <row r="9" spans="1:15" ht="15.75">
      <c r="A9" s="261">
        <f>+A7+1</f>
        <v>2</v>
      </c>
      <c r="B9" s="24" t="s">
        <v>293</v>
      </c>
      <c r="C9" s="24"/>
      <c r="F9" s="147">
        <v>0</v>
      </c>
      <c r="G9" s="273"/>
      <c r="H9" s="273"/>
      <c r="I9" s="274"/>
      <c r="N9" s="102"/>
      <c r="O9" s="102"/>
    </row>
    <row r="10" spans="1:15" ht="15.75">
      <c r="A10" s="261"/>
      <c r="B10" s="24"/>
      <c r="C10" s="24"/>
      <c r="F10" s="409"/>
      <c r="G10" s="273"/>
      <c r="H10" s="273"/>
      <c r="I10" s="273"/>
      <c r="N10" s="102"/>
      <c r="O10" s="102"/>
    </row>
    <row r="11" spans="1:15" ht="15.75">
      <c r="A11" s="261">
        <f>+A9+1</f>
        <v>3</v>
      </c>
      <c r="B11" s="24" t="s">
        <v>858</v>
      </c>
      <c r="C11" s="24"/>
      <c r="F11" s="159">
        <f>+E40</f>
        <v>39369008.003538467</v>
      </c>
      <c r="G11" s="273"/>
      <c r="H11" s="273"/>
      <c r="I11" s="273"/>
    </row>
    <row r="12" spans="1:15" ht="15.75">
      <c r="A12" s="261">
        <f t="shared" ref="A12:A22" si="0">+A11+1</f>
        <v>4</v>
      </c>
      <c r="B12" s="24" t="s">
        <v>484</v>
      </c>
      <c r="C12" s="24"/>
      <c r="F12" s="397">
        <f>-D40</f>
        <v>0</v>
      </c>
      <c r="G12" s="273"/>
      <c r="H12" s="273"/>
      <c r="I12" s="273"/>
    </row>
    <row r="13" spans="1:15" ht="15.75">
      <c r="A13" s="261">
        <f t="shared" si="0"/>
        <v>5</v>
      </c>
      <c r="B13" s="24" t="s">
        <v>494</v>
      </c>
      <c r="C13" s="24"/>
      <c r="F13" s="397">
        <f>-F40</f>
        <v>0</v>
      </c>
      <c r="G13" s="273"/>
      <c r="H13" s="273"/>
      <c r="I13" s="273"/>
    </row>
    <row r="14" spans="1:15" ht="16.5" thickBot="1">
      <c r="A14" s="261">
        <f t="shared" si="0"/>
        <v>6</v>
      </c>
      <c r="B14" s="24" t="s">
        <v>495</v>
      </c>
      <c r="C14" s="24"/>
      <c r="F14" s="171">
        <f>-G40</f>
        <v>0</v>
      </c>
      <c r="G14" s="273"/>
      <c r="H14" s="273"/>
      <c r="I14" s="273"/>
    </row>
    <row r="15" spans="1:15" ht="15.75">
      <c r="A15" s="261">
        <f t="shared" si="0"/>
        <v>7</v>
      </c>
      <c r="B15" s="24" t="s">
        <v>295</v>
      </c>
      <c r="C15" s="32" t="s">
        <v>493</v>
      </c>
      <c r="F15" s="557">
        <f>+SUM(F11:F14)</f>
        <v>39369008.003538467</v>
      </c>
      <c r="G15" s="275"/>
      <c r="H15" s="276"/>
      <c r="I15" s="275"/>
    </row>
    <row r="16" spans="1:15">
      <c r="A16" s="261"/>
      <c r="B16" s="24"/>
      <c r="C16" s="553"/>
      <c r="J16" s="409"/>
    </row>
    <row r="17" spans="1:10">
      <c r="A17" s="261"/>
      <c r="B17" s="554"/>
      <c r="C17" s="553"/>
      <c r="F17" s="553"/>
      <c r="G17" s="553"/>
      <c r="I17" s="553"/>
      <c r="J17" s="553"/>
    </row>
    <row r="18" spans="1:10" ht="13.5" thickBot="1">
      <c r="A18" s="261"/>
      <c r="B18" s="554"/>
      <c r="C18" s="553"/>
      <c r="F18" s="29" t="s">
        <v>48</v>
      </c>
      <c r="G18" s="29" t="s">
        <v>58</v>
      </c>
      <c r="H18" s="29" t="s">
        <v>57</v>
      </c>
      <c r="I18" s="29" t="s">
        <v>59</v>
      </c>
      <c r="J18" s="553"/>
    </row>
    <row r="19" spans="1:10">
      <c r="A19" s="261">
        <f>+A15+1</f>
        <v>8</v>
      </c>
      <c r="B19" s="24" t="s">
        <v>236</v>
      </c>
      <c r="C19" s="30" t="s">
        <v>832</v>
      </c>
      <c r="F19" s="194">
        <f>+C40</f>
        <v>25779101.923076924</v>
      </c>
      <c r="G19" s="898">
        <f>F19/F22</f>
        <v>0.39569992056738423</v>
      </c>
      <c r="H19" s="372">
        <f>+'9- Cost of Debt True-up'!D35</f>
        <v>3.3219488504888393E-2</v>
      </c>
      <c r="I19" s="215">
        <f>G19*H19</f>
        <v>1.3144948962673471E-2</v>
      </c>
      <c r="J19" s="193" t="s">
        <v>60</v>
      </c>
    </row>
    <row r="20" spans="1:10">
      <c r="A20" s="261">
        <f t="shared" si="0"/>
        <v>9</v>
      </c>
      <c r="B20" s="24" t="s">
        <v>490</v>
      </c>
      <c r="C20" s="32" t="s">
        <v>833</v>
      </c>
      <c r="F20" s="194">
        <f>+D40</f>
        <v>0</v>
      </c>
      <c r="G20" s="898">
        <f t="shared" ref="G20" si="1">F20/$F$22</f>
        <v>0</v>
      </c>
      <c r="H20" s="372">
        <f>IFERROR(+F9/F20,0)</f>
        <v>0</v>
      </c>
      <c r="I20" s="215">
        <f>G20*H20</f>
        <v>0</v>
      </c>
      <c r="J20" s="553"/>
    </row>
    <row r="21" spans="1:10" ht="13.5" thickBot="1">
      <c r="A21" s="261">
        <f t="shared" si="0"/>
        <v>10</v>
      </c>
      <c r="B21" s="24" t="s">
        <v>278</v>
      </c>
      <c r="C21" s="32" t="s">
        <v>834</v>
      </c>
      <c r="F21" s="281">
        <f>+E40</f>
        <v>39369008.003538467</v>
      </c>
      <c r="G21" s="898">
        <f>F21/F22</f>
        <v>0.60430007943261588</v>
      </c>
      <c r="H21" s="883">
        <f>0.1+0.005</f>
        <v>0.10500000000000001</v>
      </c>
      <c r="I21" s="335">
        <f>G21*H21</f>
        <v>6.3451508340424678E-2</v>
      </c>
      <c r="J21" s="553"/>
    </row>
    <row r="22" spans="1:10">
      <c r="A22" s="261">
        <f t="shared" si="0"/>
        <v>11</v>
      </c>
      <c r="B22" s="554" t="s">
        <v>228</v>
      </c>
      <c r="C22" s="32" t="s">
        <v>492</v>
      </c>
      <c r="F22" s="194">
        <f>SUM(F19:F21)</f>
        <v>65148109.926615387</v>
      </c>
      <c r="G22" s="553" t="s">
        <v>2</v>
      </c>
      <c r="H22" s="511"/>
      <c r="I22" s="215">
        <f>SUM(I19:I21)</f>
        <v>7.659645730309815E-2</v>
      </c>
      <c r="J22" s="193" t="s">
        <v>61</v>
      </c>
    </row>
    <row r="23" spans="1:10">
      <c r="A23" s="261"/>
    </row>
    <row r="24" spans="1:10">
      <c r="A24" s="253"/>
    </row>
    <row r="25" spans="1:10">
      <c r="C25" s="218" t="s">
        <v>196</v>
      </c>
      <c r="D25" s="218" t="s">
        <v>197</v>
      </c>
      <c r="E25" s="381" t="s">
        <v>482</v>
      </c>
      <c r="F25" s="218" t="s">
        <v>199</v>
      </c>
      <c r="G25" s="218" t="s">
        <v>201</v>
      </c>
    </row>
    <row r="26" spans="1:10" ht="45.75" customHeight="1">
      <c r="A26" s="373"/>
      <c r="B26" s="375" t="s">
        <v>478</v>
      </c>
      <c r="C26" s="380" t="s">
        <v>486</v>
      </c>
      <c r="D26" s="852" t="s">
        <v>851</v>
      </c>
      <c r="E26" s="380" t="s">
        <v>294</v>
      </c>
      <c r="F26" s="363" t="s">
        <v>487</v>
      </c>
      <c r="G26" s="363" t="s">
        <v>489</v>
      </c>
    </row>
    <row r="27" spans="1:10">
      <c r="A27" s="374">
        <f>+A22+1</f>
        <v>12</v>
      </c>
      <c r="B27" s="376" t="s">
        <v>479</v>
      </c>
      <c r="C27" s="295">
        <v>16956025</v>
      </c>
      <c r="D27" s="295">
        <v>0</v>
      </c>
      <c r="E27" s="295">
        <v>28482521.155999999</v>
      </c>
      <c r="F27" s="295">
        <v>0</v>
      </c>
      <c r="G27" s="295">
        <v>0</v>
      </c>
    </row>
    <row r="28" spans="1:10">
      <c r="A28" s="374">
        <f>+A27+1</f>
        <v>13</v>
      </c>
      <c r="B28" s="377" t="s">
        <v>85</v>
      </c>
      <c r="C28" s="295">
        <v>18356025</v>
      </c>
      <c r="D28" s="295">
        <v>0</v>
      </c>
      <c r="E28" s="295">
        <v>30967078.536000002</v>
      </c>
      <c r="F28" s="295">
        <v>0</v>
      </c>
      <c r="G28" s="295">
        <v>0</v>
      </c>
    </row>
    <row r="29" spans="1:10">
      <c r="A29" s="374">
        <f t="shared" ref="A29:A40" si="2">+A28+1</f>
        <v>14</v>
      </c>
      <c r="B29" s="378" t="s">
        <v>84</v>
      </c>
      <c r="C29" s="295">
        <v>21556025</v>
      </c>
      <c r="D29" s="295">
        <v>0</v>
      </c>
      <c r="E29" s="295">
        <v>32735171.696000002</v>
      </c>
      <c r="F29" s="295">
        <v>0</v>
      </c>
      <c r="G29" s="295">
        <v>0</v>
      </c>
    </row>
    <row r="30" spans="1:10">
      <c r="A30" s="374">
        <f t="shared" si="2"/>
        <v>15</v>
      </c>
      <c r="B30" s="378" t="s">
        <v>83</v>
      </c>
      <c r="C30" s="295">
        <v>21556025</v>
      </c>
      <c r="D30" s="295">
        <v>0</v>
      </c>
      <c r="E30" s="295">
        <v>34791070.752999999</v>
      </c>
      <c r="F30" s="295">
        <v>0</v>
      </c>
      <c r="G30" s="295">
        <v>0</v>
      </c>
    </row>
    <row r="31" spans="1:10">
      <c r="A31" s="374">
        <f t="shared" si="2"/>
        <v>16</v>
      </c>
      <c r="B31" s="377" t="s">
        <v>76</v>
      </c>
      <c r="C31" s="295">
        <v>24056025</v>
      </c>
      <c r="D31" s="295">
        <v>0</v>
      </c>
      <c r="E31" s="295">
        <v>36132612.023000002</v>
      </c>
      <c r="F31" s="295">
        <v>0</v>
      </c>
      <c r="G31" s="295">
        <v>0</v>
      </c>
    </row>
    <row r="32" spans="1:10">
      <c r="A32" s="374">
        <f t="shared" si="2"/>
        <v>17</v>
      </c>
      <c r="B32" s="378" t="s">
        <v>75</v>
      </c>
      <c r="C32" s="295">
        <v>25356025</v>
      </c>
      <c r="D32" s="295">
        <v>0</v>
      </c>
      <c r="E32" s="295">
        <v>38373647.213</v>
      </c>
      <c r="F32" s="295">
        <v>0</v>
      </c>
      <c r="G32" s="295">
        <v>0</v>
      </c>
    </row>
    <row r="33" spans="1:13">
      <c r="A33" s="374">
        <f t="shared" si="2"/>
        <v>18</v>
      </c>
      <c r="B33" s="378" t="s">
        <v>480</v>
      </c>
      <c r="C33" s="295">
        <v>27656025</v>
      </c>
      <c r="D33" s="295">
        <v>0</v>
      </c>
      <c r="E33" s="295">
        <v>41779739.995000005</v>
      </c>
      <c r="F33" s="295">
        <v>0</v>
      </c>
      <c r="G33" s="295">
        <v>0</v>
      </c>
    </row>
    <row r="34" spans="1:13">
      <c r="A34" s="374">
        <f t="shared" si="2"/>
        <v>19</v>
      </c>
      <c r="B34" s="377" t="s">
        <v>82</v>
      </c>
      <c r="C34" s="295">
        <v>29556025</v>
      </c>
      <c r="D34" s="295">
        <v>0</v>
      </c>
      <c r="E34" s="295">
        <v>42170739.797000006</v>
      </c>
      <c r="F34" s="295">
        <v>0</v>
      </c>
      <c r="G34" s="295">
        <v>0</v>
      </c>
    </row>
    <row r="35" spans="1:13">
      <c r="A35" s="374">
        <f t="shared" si="2"/>
        <v>20</v>
      </c>
      <c r="B35" s="378" t="s">
        <v>81</v>
      </c>
      <c r="C35" s="295">
        <v>29556025</v>
      </c>
      <c r="D35" s="295">
        <v>0</v>
      </c>
      <c r="E35" s="295">
        <v>43868820.767000005</v>
      </c>
      <c r="F35" s="295">
        <v>0</v>
      </c>
      <c r="G35" s="295">
        <v>0</v>
      </c>
    </row>
    <row r="36" spans="1:13">
      <c r="A36" s="374">
        <f t="shared" si="2"/>
        <v>21</v>
      </c>
      <c r="B36" s="378" t="s">
        <v>80</v>
      </c>
      <c r="C36" s="295">
        <v>29556025</v>
      </c>
      <c r="D36" s="295">
        <v>0</v>
      </c>
      <c r="E36" s="295">
        <v>44263476.350000001</v>
      </c>
      <c r="F36" s="295">
        <v>0</v>
      </c>
      <c r="G36" s="295">
        <v>0</v>
      </c>
    </row>
    <row r="37" spans="1:13">
      <c r="A37" s="374">
        <f t="shared" si="2"/>
        <v>22</v>
      </c>
      <c r="B37" s="377" t="s">
        <v>481</v>
      </c>
      <c r="C37" s="295">
        <v>29556025</v>
      </c>
      <c r="D37" s="295">
        <v>0</v>
      </c>
      <c r="E37" s="295">
        <v>44703254.420000002</v>
      </c>
      <c r="F37" s="295">
        <v>0</v>
      </c>
      <c r="G37" s="295">
        <v>0</v>
      </c>
    </row>
    <row r="38" spans="1:13">
      <c r="A38" s="374">
        <f t="shared" si="2"/>
        <v>23</v>
      </c>
      <c r="B38" s="377" t="s">
        <v>79</v>
      </c>
      <c r="C38" s="295">
        <v>30256025</v>
      </c>
      <c r="D38" s="295">
        <v>0</v>
      </c>
      <c r="E38" s="295">
        <v>45809402.140000001</v>
      </c>
      <c r="F38" s="295">
        <v>0</v>
      </c>
      <c r="G38" s="295">
        <v>0</v>
      </c>
    </row>
    <row r="39" spans="1:13">
      <c r="A39" s="374">
        <f t="shared" si="2"/>
        <v>24</v>
      </c>
      <c r="B39" s="378" t="s">
        <v>78</v>
      </c>
      <c r="C39" s="295">
        <v>31156025</v>
      </c>
      <c r="D39" s="295">
        <v>0</v>
      </c>
      <c r="E39" s="295">
        <v>47719569.199999996</v>
      </c>
      <c r="F39" s="295">
        <v>0</v>
      </c>
      <c r="G39" s="295">
        <v>0</v>
      </c>
    </row>
    <row r="40" spans="1:13">
      <c r="A40" s="374">
        <f t="shared" si="2"/>
        <v>25</v>
      </c>
      <c r="B40" s="379" t="s">
        <v>631</v>
      </c>
      <c r="C40" s="605">
        <f>+SUM(C27:C39)/13</f>
        <v>25779101.923076924</v>
      </c>
      <c r="D40" s="605">
        <f>+SUM(D27:D39)/13</f>
        <v>0</v>
      </c>
      <c r="E40" s="605">
        <f>+SUM(E27:E39)/13</f>
        <v>39369008.003538467</v>
      </c>
      <c r="F40" s="605">
        <f>+SUM(F27:F39)/13</f>
        <v>0</v>
      </c>
      <c r="G40" s="605">
        <f>+SUM(G27:G39)/13</f>
        <v>0</v>
      </c>
    </row>
    <row r="42" spans="1:13">
      <c r="A42" s="703" t="s">
        <v>579</v>
      </c>
    </row>
    <row r="43" spans="1:13" ht="15" customHeight="1">
      <c r="A43" s="262" t="s">
        <v>62</v>
      </c>
      <c r="B43" s="911" t="s">
        <v>491</v>
      </c>
      <c r="C43" s="911"/>
      <c r="D43" s="911"/>
      <c r="E43" s="911"/>
      <c r="F43" s="911"/>
      <c r="G43" s="911"/>
      <c r="H43" s="911"/>
      <c r="I43" s="911"/>
    </row>
    <row r="44" spans="1:13" s="583" customFormat="1">
      <c r="B44" s="911"/>
      <c r="C44" s="911"/>
      <c r="D44" s="911"/>
      <c r="E44" s="911"/>
      <c r="F44" s="911"/>
      <c r="G44" s="911"/>
      <c r="H44" s="911"/>
      <c r="I44" s="911"/>
    </row>
    <row r="45" spans="1:13" s="583" customFormat="1">
      <c r="A45" s="262" t="s">
        <v>63</v>
      </c>
      <c r="B45" s="583" t="s">
        <v>407</v>
      </c>
    </row>
    <row r="46" spans="1:13" s="583" customFormat="1">
      <c r="A46" s="262" t="s">
        <v>64</v>
      </c>
      <c r="B46" s="583" t="s">
        <v>496</v>
      </c>
    </row>
    <row r="47" spans="1:13" s="583" customFormat="1">
      <c r="A47" s="327"/>
      <c r="B47" s="930"/>
      <c r="C47" s="930"/>
      <c r="D47" s="930"/>
      <c r="E47" s="930"/>
      <c r="F47" s="930"/>
      <c r="G47" s="930"/>
      <c r="H47" s="930"/>
      <c r="I47" s="930"/>
      <c r="J47" s="930"/>
      <c r="K47" s="930"/>
      <c r="L47" s="930"/>
      <c r="M47" s="930"/>
    </row>
    <row r="48" spans="1:13" s="583" customFormat="1">
      <c r="A48" s="327"/>
      <c r="B48" s="704"/>
      <c r="C48" s="704"/>
      <c r="D48" s="704"/>
      <c r="E48" s="704"/>
      <c r="F48" s="704"/>
      <c r="G48" s="704"/>
      <c r="H48" s="704"/>
      <c r="I48" s="704"/>
      <c r="J48" s="704"/>
      <c r="K48" s="704"/>
      <c r="L48" s="704"/>
      <c r="M48" s="704"/>
    </row>
    <row r="49" spans="1:13" s="583" customFormat="1">
      <c r="A49" s="327"/>
      <c r="B49" s="704"/>
      <c r="C49" s="704"/>
      <c r="D49" s="704"/>
      <c r="E49" s="704"/>
      <c r="F49" s="704"/>
      <c r="G49" s="704"/>
      <c r="H49" s="704"/>
      <c r="I49" s="704"/>
      <c r="J49" s="704"/>
      <c r="K49" s="704"/>
      <c r="L49" s="704"/>
      <c r="M49" s="704"/>
    </row>
    <row r="50" spans="1:13" s="583" customFormat="1">
      <c r="A50" s="327"/>
      <c r="B50" s="704"/>
      <c r="C50" s="704"/>
      <c r="D50" s="704"/>
      <c r="E50" s="704"/>
      <c r="F50" s="704"/>
      <c r="G50" s="704"/>
      <c r="H50" s="704"/>
      <c r="I50" s="704"/>
      <c r="J50" s="704"/>
      <c r="K50" s="704"/>
      <c r="L50" s="704"/>
      <c r="M50" s="704"/>
    </row>
    <row r="51" spans="1:13" s="583" customFormat="1">
      <c r="A51" s="327"/>
      <c r="B51" s="704"/>
      <c r="C51" s="704"/>
      <c r="D51" s="704"/>
      <c r="E51" s="704"/>
      <c r="F51" s="704"/>
      <c r="G51" s="704"/>
      <c r="H51" s="704"/>
      <c r="I51" s="704"/>
      <c r="J51" s="704"/>
      <c r="K51" s="704"/>
      <c r="L51" s="704"/>
      <c r="M51" s="704"/>
    </row>
    <row r="52" spans="1:13" s="583" customFormat="1">
      <c r="A52" s="327"/>
      <c r="B52" s="704"/>
      <c r="C52" s="704"/>
      <c r="D52" s="704"/>
      <c r="E52" s="704"/>
      <c r="F52" s="704"/>
      <c r="G52" s="704"/>
      <c r="H52" s="704"/>
      <c r="I52" s="704"/>
      <c r="J52" s="704"/>
      <c r="K52" s="704"/>
      <c r="L52" s="704"/>
      <c r="M52" s="704"/>
    </row>
    <row r="53" spans="1:13" s="583" customFormat="1">
      <c r="A53" s="327"/>
      <c r="B53" s="704"/>
      <c r="C53" s="704"/>
      <c r="D53" s="704"/>
      <c r="E53" s="704"/>
      <c r="F53" s="704"/>
      <c r="G53" s="704"/>
      <c r="H53" s="704"/>
      <c r="I53" s="704"/>
      <c r="J53" s="704"/>
      <c r="K53" s="704"/>
      <c r="L53" s="704"/>
      <c r="M53" s="704"/>
    </row>
    <row r="54" spans="1:13" s="583" customFormat="1">
      <c r="A54" s="327"/>
      <c r="B54" s="704"/>
      <c r="C54" s="704"/>
      <c r="D54" s="704"/>
      <c r="E54" s="704"/>
      <c r="F54" s="704"/>
      <c r="G54" s="704"/>
      <c r="H54" s="704"/>
      <c r="I54" s="704"/>
      <c r="J54" s="704"/>
      <c r="K54" s="704"/>
      <c r="L54" s="704"/>
      <c r="M54" s="704"/>
    </row>
  </sheetData>
  <customSheetViews>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1"/>
    </customSheetView>
    <customSheetView guid="{F04A2B9A-C6FE-4FEB-AD1E-2CF9AC309BE4}" fitToPage="1">
      <selection activeCell="G20" sqref="G20"/>
      <pageMargins left="0.7" right="0.7"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8" orientation="landscape" r:id="rId3"/>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zoomScale="80" zoomScaleNormal="80" zoomScaleSheetLayoutView="80" workbookViewId="0">
      <selection sqref="A1:K1"/>
    </sheetView>
  </sheetViews>
  <sheetFormatPr defaultColWidth="8.88671875" defaultRowHeight="15"/>
  <cols>
    <col min="1" max="1" width="21.77734375" style="661" customWidth="1"/>
    <col min="2" max="2" width="26.33203125" style="661" customWidth="1"/>
    <col min="3" max="3" width="2.33203125" style="661" customWidth="1"/>
    <col min="4" max="4" width="18.77734375" style="661" customWidth="1"/>
    <col min="5" max="5" width="1.77734375" style="661" customWidth="1"/>
    <col min="6" max="6" width="18.6640625" style="661" customWidth="1"/>
    <col min="7" max="7" width="12.77734375" style="661" customWidth="1"/>
    <col min="8" max="8" width="15" style="661" customWidth="1"/>
    <col min="9" max="9" width="15.77734375" style="661" customWidth="1"/>
    <col min="10" max="10" width="1.44140625" style="661" customWidth="1"/>
    <col min="11" max="11" width="22.109375" style="661" bestFit="1" customWidth="1"/>
    <col min="12" max="12" width="8.88671875" style="661"/>
    <col min="13" max="13" width="8.44140625" style="661" bestFit="1" customWidth="1"/>
    <col min="14" max="16384" width="8.88671875" style="661"/>
  </cols>
  <sheetData>
    <row r="1" spans="1:11" s="659" customFormat="1">
      <c r="A1" s="926" t="s">
        <v>191</v>
      </c>
      <c r="B1" s="926"/>
      <c r="C1" s="926"/>
      <c r="D1" s="926"/>
      <c r="E1" s="926"/>
      <c r="F1" s="926"/>
      <c r="G1" s="926"/>
      <c r="H1" s="926"/>
      <c r="I1" s="926"/>
      <c r="J1" s="926"/>
      <c r="K1" s="926"/>
    </row>
    <row r="2" spans="1:11" s="659" customFormat="1">
      <c r="A2" s="927" t="s">
        <v>706</v>
      </c>
      <c r="B2" s="927"/>
      <c r="C2" s="927"/>
      <c r="D2" s="927"/>
      <c r="E2" s="927"/>
      <c r="F2" s="927"/>
      <c r="G2" s="927"/>
      <c r="H2" s="927"/>
      <c r="I2" s="927"/>
      <c r="J2" s="927"/>
      <c r="K2" s="927"/>
    </row>
    <row r="3" spans="1:11" s="659" customFormat="1" ht="18" customHeight="1">
      <c r="A3" s="928" t="str">
        <f>+'Attachment H-26'!D5</f>
        <v>Transource West Virginia, LLC</v>
      </c>
      <c r="B3" s="928"/>
      <c r="C3" s="928"/>
      <c r="D3" s="928"/>
      <c r="E3" s="928"/>
      <c r="F3" s="928"/>
      <c r="G3" s="928"/>
      <c r="H3" s="928"/>
      <c r="I3" s="928"/>
      <c r="J3" s="928"/>
      <c r="K3" s="928"/>
    </row>
    <row r="4" spans="1:11">
      <c r="A4" s="660"/>
      <c r="B4" s="660"/>
      <c r="C4" s="660"/>
      <c r="D4" s="660"/>
      <c r="E4" s="660"/>
      <c r="F4" s="660"/>
      <c r="G4" s="660"/>
      <c r="H4" s="660"/>
      <c r="I4" s="660"/>
      <c r="J4" s="660"/>
      <c r="K4" s="660"/>
    </row>
    <row r="5" spans="1:11">
      <c r="A5" s="660"/>
      <c r="B5" s="660"/>
      <c r="C5" s="660"/>
      <c r="D5" s="660"/>
      <c r="E5" s="660"/>
      <c r="F5" s="660"/>
      <c r="G5" s="660"/>
      <c r="H5" s="660"/>
      <c r="I5" s="660"/>
      <c r="J5" s="660"/>
      <c r="K5" s="660"/>
    </row>
    <row r="6" spans="1:11" s="582" customFormat="1" ht="13.5" thickBot="1">
      <c r="A6" s="670">
        <v>2019</v>
      </c>
      <c r="B6" s="671"/>
      <c r="C6" s="671"/>
      <c r="D6" s="839">
        <f>+A6</f>
        <v>2019</v>
      </c>
      <c r="E6" s="672"/>
      <c r="F6" s="672"/>
      <c r="G6" s="672"/>
      <c r="H6" s="672"/>
      <c r="J6" s="672"/>
      <c r="K6" s="672"/>
    </row>
    <row r="7" spans="1:11" s="582" customFormat="1" ht="25.5">
      <c r="A7" s="673" t="s">
        <v>793</v>
      </c>
      <c r="B7" s="672"/>
      <c r="C7" s="672"/>
      <c r="D7" s="673" t="s">
        <v>792</v>
      </c>
      <c r="E7" s="672"/>
      <c r="F7" s="672"/>
      <c r="G7" s="673" t="s">
        <v>689</v>
      </c>
      <c r="J7" s="672"/>
      <c r="K7" s="672"/>
    </row>
    <row r="8" spans="1:11" s="582" customFormat="1" ht="12.75">
      <c r="A8" s="674"/>
      <c r="B8" s="672"/>
      <c r="C8" s="672"/>
      <c r="D8" s="674"/>
      <c r="E8" s="672"/>
      <c r="F8" s="672"/>
      <c r="G8" s="675"/>
      <c r="J8" s="672"/>
      <c r="K8" s="672"/>
    </row>
    <row r="9" spans="1:11" s="582" customFormat="1" ht="13.5" thickBot="1">
      <c r="A9" s="836">
        <f>'3-Project True-up'!E19</f>
        <v>7352030.4386688862</v>
      </c>
      <c r="B9" s="677" t="s">
        <v>690</v>
      </c>
      <c r="C9" s="678"/>
      <c r="D9" s="676">
        <f>'3-Project True-up'!H29</f>
        <v>7713043.9086678838</v>
      </c>
      <c r="E9" s="679"/>
      <c r="F9" s="677" t="s">
        <v>691</v>
      </c>
      <c r="G9" s="680">
        <f>IF(D9=0,0,A9-D9)</f>
        <v>-361013.46999899764</v>
      </c>
      <c r="J9" s="672"/>
      <c r="K9" s="672"/>
    </row>
    <row r="10" spans="1:11" s="582" customFormat="1" ht="12.75">
      <c r="A10" s="679"/>
      <c r="B10" s="678"/>
      <c r="C10" s="678"/>
      <c r="D10" s="679"/>
      <c r="E10" s="679"/>
      <c r="F10" s="678"/>
      <c r="G10" s="679"/>
      <c r="H10" s="672"/>
      <c r="I10" s="672"/>
      <c r="J10" s="672"/>
      <c r="K10" s="672"/>
    </row>
    <row r="11" spans="1:11" s="582" customFormat="1" ht="12.75">
      <c r="A11" s="679" t="s">
        <v>835</v>
      </c>
      <c r="B11" s="678"/>
      <c r="C11" s="678"/>
      <c r="D11" s="679"/>
      <c r="E11" s="679"/>
      <c r="F11" s="678"/>
      <c r="G11" s="679"/>
      <c r="H11" s="672"/>
      <c r="I11" s="672"/>
      <c r="J11" s="672"/>
      <c r="K11" s="672"/>
    </row>
    <row r="12" spans="1:11" s="582" customFormat="1" ht="12.75">
      <c r="A12" s="679" t="s">
        <v>836</v>
      </c>
      <c r="B12" s="678"/>
      <c r="C12" s="678"/>
      <c r="D12" s="679"/>
      <c r="E12" s="679"/>
      <c r="F12" s="678"/>
      <c r="G12" s="679"/>
      <c r="H12" s="672"/>
      <c r="I12" s="672"/>
      <c r="J12" s="672"/>
      <c r="K12" s="672"/>
    </row>
    <row r="13" spans="1:11" s="582" customFormat="1" ht="12.75">
      <c r="A13" s="679"/>
      <c r="B13" s="678"/>
      <c r="C13" s="678"/>
      <c r="D13" s="679"/>
      <c r="E13" s="679"/>
      <c r="F13" s="678"/>
      <c r="G13" s="679"/>
      <c r="H13" s="672"/>
      <c r="I13" s="672"/>
      <c r="J13" s="672"/>
      <c r="K13" s="672"/>
    </row>
    <row r="14" spans="1:11" s="582" customFormat="1" ht="13.5" thickBot="1">
      <c r="A14" s="681"/>
      <c r="B14" s="682"/>
      <c r="C14" s="682"/>
      <c r="D14" s="681"/>
      <c r="E14" s="681"/>
      <c r="F14" s="682"/>
      <c r="G14" s="681"/>
      <c r="H14" s="683"/>
      <c r="I14" s="683"/>
      <c r="J14" s="683"/>
      <c r="K14" s="683"/>
    </row>
    <row r="15" spans="1:11" s="582" customFormat="1" ht="8.25" customHeight="1">
      <c r="A15" s="684"/>
      <c r="B15" s="678"/>
      <c r="C15" s="678"/>
      <c r="D15" s="679"/>
      <c r="E15" s="679"/>
      <c r="F15" s="678"/>
      <c r="G15" s="679"/>
      <c r="H15" s="672"/>
      <c r="I15" s="672"/>
      <c r="J15" s="672"/>
      <c r="K15" s="672"/>
    </row>
    <row r="16" spans="1:11" s="582" customFormat="1" ht="53.25" customHeight="1">
      <c r="A16" s="685" t="s">
        <v>692</v>
      </c>
      <c r="B16" s="678"/>
      <c r="C16" s="678"/>
      <c r="D16" s="686" t="s">
        <v>693</v>
      </c>
      <c r="E16" s="679"/>
      <c r="F16" s="686" t="s">
        <v>767</v>
      </c>
      <c r="G16" s="677" t="s">
        <v>694</v>
      </c>
      <c r="H16" s="687" t="s">
        <v>695</v>
      </c>
      <c r="I16" s="686" t="s">
        <v>696</v>
      </c>
      <c r="J16" s="688"/>
      <c r="K16" s="686" t="s">
        <v>697</v>
      </c>
    </row>
    <row r="17" spans="1:11" s="582" customFormat="1" ht="12.75">
      <c r="A17" s="685"/>
      <c r="B17" s="678"/>
      <c r="C17" s="678"/>
      <c r="D17" s="672"/>
      <c r="E17" s="689"/>
      <c r="F17" s="690">
        <f>+'6a - True-up Interest Rate'!E30</f>
        <v>4.3642156862745097E-3</v>
      </c>
      <c r="G17" s="679"/>
      <c r="H17" s="672"/>
      <c r="I17" s="672"/>
      <c r="J17" s="672"/>
      <c r="K17" s="672"/>
    </row>
    <row r="18" spans="1:11" s="582" customFormat="1" ht="12.75">
      <c r="A18" s="685"/>
      <c r="B18" s="678"/>
      <c r="C18" s="678"/>
      <c r="D18" s="672"/>
      <c r="E18" s="689"/>
      <c r="F18" s="689"/>
      <c r="G18" s="679"/>
      <c r="H18" s="672"/>
      <c r="I18" s="672"/>
      <c r="J18" s="672"/>
      <c r="K18" s="672"/>
    </row>
    <row r="19" spans="1:11" s="582" customFormat="1" ht="12.75">
      <c r="A19" s="685" t="s">
        <v>698</v>
      </c>
      <c r="B19" s="678"/>
      <c r="C19" s="678"/>
      <c r="D19" s="672"/>
      <c r="E19" s="689"/>
      <c r="F19" s="689"/>
      <c r="G19" s="679"/>
      <c r="H19" s="672"/>
      <c r="I19" s="672"/>
      <c r="J19" s="672"/>
      <c r="K19" s="672"/>
    </row>
    <row r="20" spans="1:11" s="582" customFormat="1" ht="12.75">
      <c r="A20" s="691" t="s">
        <v>2</v>
      </c>
      <c r="B20" s="678"/>
      <c r="C20" s="678"/>
      <c r="D20" s="678"/>
      <c r="E20" s="678"/>
      <c r="F20" s="678" t="s">
        <v>2</v>
      </c>
      <c r="G20" s="672"/>
      <c r="H20" s="672"/>
      <c r="I20" s="672"/>
      <c r="J20" s="672"/>
      <c r="K20" s="672"/>
    </row>
    <row r="21" spans="1:11" s="582" customFormat="1" ht="12.75">
      <c r="A21" s="692"/>
      <c r="B21" s="678"/>
      <c r="C21" s="678"/>
      <c r="D21" s="678"/>
      <c r="E21" s="678"/>
      <c r="F21" s="672"/>
      <c r="G21" s="672"/>
      <c r="H21" s="677"/>
      <c r="I21" s="678"/>
      <c r="J21" s="678"/>
      <c r="K21" s="678"/>
    </row>
    <row r="22" spans="1:11" s="582" customFormat="1" ht="12.75">
      <c r="A22" s="692" t="s">
        <v>699</v>
      </c>
      <c r="B22" s="678"/>
      <c r="C22" s="678"/>
      <c r="D22" s="678"/>
      <c r="E22" s="678"/>
      <c r="F22" s="672"/>
      <c r="G22" s="672"/>
      <c r="H22" s="677" t="s">
        <v>700</v>
      </c>
      <c r="I22" s="678"/>
      <c r="J22" s="678"/>
      <c r="K22" s="678"/>
    </row>
    <row r="23" spans="1:11" s="582" customFormat="1" ht="12.75">
      <c r="A23" s="672" t="s">
        <v>85</v>
      </c>
      <c r="B23" s="693" t="str">
        <f>"Year "&amp;A6</f>
        <v>Year 2019</v>
      </c>
      <c r="C23" s="672"/>
      <c r="D23" s="866">
        <f>+G9/12</f>
        <v>-30084.455833249802</v>
      </c>
      <c r="E23" s="694"/>
      <c r="F23" s="695">
        <f>+F17</f>
        <v>4.3642156862745097E-3</v>
      </c>
      <c r="G23" s="694">
        <v>12</v>
      </c>
      <c r="H23" s="866">
        <f>F23*D23*G23*-1</f>
        <v>1575.5406487260175</v>
      </c>
      <c r="I23" s="866"/>
      <c r="J23" s="866"/>
      <c r="K23" s="866">
        <f>(-H23+D23)*-1</f>
        <v>31659.996481975821</v>
      </c>
    </row>
    <row r="24" spans="1:11" s="582" customFormat="1" ht="12.75">
      <c r="A24" s="672" t="s">
        <v>84</v>
      </c>
      <c r="B24" s="693" t="str">
        <f>+B23</f>
        <v>Year 2019</v>
      </c>
      <c r="C24" s="672"/>
      <c r="D24" s="866">
        <f>+D23</f>
        <v>-30084.455833249802</v>
      </c>
      <c r="E24" s="694"/>
      <c r="F24" s="695">
        <f>+F23</f>
        <v>4.3642156862745097E-3</v>
      </c>
      <c r="G24" s="367">
        <f t="shared" ref="G24:G34" si="0">+G23-1</f>
        <v>11</v>
      </c>
      <c r="H24" s="866">
        <f t="shared" ref="H24:H34" si="1">F24*D24*G24*-1</f>
        <v>1444.2455946655159</v>
      </c>
      <c r="I24" s="866"/>
      <c r="J24" s="866"/>
      <c r="K24" s="866">
        <f t="shared" ref="K24:K34" si="2">(-H24+D24)*-1</f>
        <v>31528.701427915319</v>
      </c>
    </row>
    <row r="25" spans="1:11" s="582" customFormat="1" ht="12.75">
      <c r="A25" s="672" t="s">
        <v>83</v>
      </c>
      <c r="B25" s="693" t="str">
        <f t="shared" ref="B25:B34" si="3">+B24</f>
        <v>Year 2019</v>
      </c>
      <c r="C25" s="672"/>
      <c r="D25" s="866">
        <f t="shared" ref="D25:D34" si="4">+D24</f>
        <v>-30084.455833249802</v>
      </c>
      <c r="E25" s="694"/>
      <c r="F25" s="695">
        <f t="shared" ref="F25:F34" si="5">+F24</f>
        <v>4.3642156862745097E-3</v>
      </c>
      <c r="G25" s="367">
        <f t="shared" si="0"/>
        <v>10</v>
      </c>
      <c r="H25" s="866">
        <f t="shared" si="1"/>
        <v>1312.9505406050146</v>
      </c>
      <c r="I25" s="866"/>
      <c r="J25" s="866"/>
      <c r="K25" s="866">
        <f t="shared" si="2"/>
        <v>31397.406373854818</v>
      </c>
    </row>
    <row r="26" spans="1:11" s="582" customFormat="1" ht="12.75">
      <c r="A26" s="672" t="s">
        <v>76</v>
      </c>
      <c r="B26" s="693" t="str">
        <f t="shared" si="3"/>
        <v>Year 2019</v>
      </c>
      <c r="C26" s="672"/>
      <c r="D26" s="866">
        <f t="shared" si="4"/>
        <v>-30084.455833249802</v>
      </c>
      <c r="E26" s="694"/>
      <c r="F26" s="695">
        <f t="shared" si="5"/>
        <v>4.3642156862745097E-3</v>
      </c>
      <c r="G26" s="367">
        <f t="shared" si="0"/>
        <v>9</v>
      </c>
      <c r="H26" s="866">
        <f t="shared" si="1"/>
        <v>1181.6554865445132</v>
      </c>
      <c r="I26" s="866"/>
      <c r="J26" s="866"/>
      <c r="K26" s="866">
        <f t="shared" si="2"/>
        <v>31266.111319794316</v>
      </c>
    </row>
    <row r="27" spans="1:11" s="582" customFormat="1" ht="12.75">
      <c r="A27" s="672" t="s">
        <v>75</v>
      </c>
      <c r="B27" s="693" t="str">
        <f t="shared" si="3"/>
        <v>Year 2019</v>
      </c>
      <c r="C27" s="672"/>
      <c r="D27" s="866">
        <f t="shared" si="4"/>
        <v>-30084.455833249802</v>
      </c>
      <c r="E27" s="694"/>
      <c r="F27" s="695">
        <f t="shared" si="5"/>
        <v>4.3642156862745097E-3</v>
      </c>
      <c r="G27" s="367">
        <f t="shared" si="0"/>
        <v>8</v>
      </c>
      <c r="H27" s="866">
        <f t="shared" si="1"/>
        <v>1050.3604324840117</v>
      </c>
      <c r="I27" s="866"/>
      <c r="J27" s="866"/>
      <c r="K27" s="866">
        <f t="shared" si="2"/>
        <v>31134.816265733814</v>
      </c>
    </row>
    <row r="28" spans="1:11" s="582" customFormat="1" ht="12.75">
      <c r="A28" s="672" t="s">
        <v>95</v>
      </c>
      <c r="B28" s="693" t="str">
        <f t="shared" si="3"/>
        <v>Year 2019</v>
      </c>
      <c r="C28" s="672"/>
      <c r="D28" s="866">
        <f t="shared" si="4"/>
        <v>-30084.455833249802</v>
      </c>
      <c r="E28" s="694"/>
      <c r="F28" s="695">
        <f t="shared" si="5"/>
        <v>4.3642156862745097E-3</v>
      </c>
      <c r="G28" s="367">
        <f t="shared" si="0"/>
        <v>7</v>
      </c>
      <c r="H28" s="866">
        <f t="shared" si="1"/>
        <v>919.0653784235102</v>
      </c>
      <c r="I28" s="866"/>
      <c r="J28" s="866"/>
      <c r="K28" s="866">
        <f t="shared" si="2"/>
        <v>31003.521211673313</v>
      </c>
    </row>
    <row r="29" spans="1:11" s="582" customFormat="1" ht="12.75">
      <c r="A29" s="672" t="s">
        <v>82</v>
      </c>
      <c r="B29" s="693" t="str">
        <f t="shared" si="3"/>
        <v>Year 2019</v>
      </c>
      <c r="C29" s="672"/>
      <c r="D29" s="866">
        <f t="shared" si="4"/>
        <v>-30084.455833249802</v>
      </c>
      <c r="E29" s="694"/>
      <c r="F29" s="695">
        <f t="shared" si="5"/>
        <v>4.3642156862745097E-3</v>
      </c>
      <c r="G29" s="367">
        <f t="shared" si="0"/>
        <v>6</v>
      </c>
      <c r="H29" s="866">
        <f t="shared" si="1"/>
        <v>787.77032436300874</v>
      </c>
      <c r="I29" s="866"/>
      <c r="J29" s="866"/>
      <c r="K29" s="866">
        <f t="shared" si="2"/>
        <v>30872.226157612811</v>
      </c>
    </row>
    <row r="30" spans="1:11" s="582" customFormat="1" ht="12.75">
      <c r="A30" s="672" t="s">
        <v>81</v>
      </c>
      <c r="B30" s="693" t="str">
        <f t="shared" si="3"/>
        <v>Year 2019</v>
      </c>
      <c r="C30" s="672"/>
      <c r="D30" s="866">
        <f t="shared" si="4"/>
        <v>-30084.455833249802</v>
      </c>
      <c r="E30" s="694"/>
      <c r="F30" s="695">
        <f t="shared" si="5"/>
        <v>4.3642156862745097E-3</v>
      </c>
      <c r="G30" s="367">
        <f t="shared" si="0"/>
        <v>5</v>
      </c>
      <c r="H30" s="866">
        <f t="shared" si="1"/>
        <v>656.47527030250728</v>
      </c>
      <c r="I30" s="866"/>
      <c r="J30" s="866"/>
      <c r="K30" s="866">
        <f t="shared" si="2"/>
        <v>30740.93110355231</v>
      </c>
    </row>
    <row r="31" spans="1:11" s="582" customFormat="1" ht="12.75">
      <c r="A31" s="672" t="s">
        <v>80</v>
      </c>
      <c r="B31" s="693" t="str">
        <f t="shared" si="3"/>
        <v>Year 2019</v>
      </c>
      <c r="C31" s="672"/>
      <c r="D31" s="866">
        <f t="shared" si="4"/>
        <v>-30084.455833249802</v>
      </c>
      <c r="E31" s="694"/>
      <c r="F31" s="695">
        <f t="shared" si="5"/>
        <v>4.3642156862745097E-3</v>
      </c>
      <c r="G31" s="367">
        <f t="shared" si="0"/>
        <v>4</v>
      </c>
      <c r="H31" s="866">
        <f t="shared" si="1"/>
        <v>525.18021624200583</v>
      </c>
      <c r="I31" s="866"/>
      <c r="J31" s="866"/>
      <c r="K31" s="866">
        <f t="shared" si="2"/>
        <v>30609.636049491808</v>
      </c>
    </row>
    <row r="32" spans="1:11" s="582" customFormat="1" ht="12.75">
      <c r="A32" s="672" t="s">
        <v>86</v>
      </c>
      <c r="B32" s="693" t="str">
        <f t="shared" si="3"/>
        <v>Year 2019</v>
      </c>
      <c r="C32" s="672"/>
      <c r="D32" s="866">
        <f t="shared" si="4"/>
        <v>-30084.455833249802</v>
      </c>
      <c r="E32" s="694"/>
      <c r="F32" s="695">
        <f t="shared" si="5"/>
        <v>4.3642156862745097E-3</v>
      </c>
      <c r="G32" s="367">
        <f t="shared" si="0"/>
        <v>3</v>
      </c>
      <c r="H32" s="866">
        <f t="shared" si="1"/>
        <v>393.88516218150437</v>
      </c>
      <c r="I32" s="866"/>
      <c r="J32" s="866"/>
      <c r="K32" s="866">
        <f t="shared" si="2"/>
        <v>30478.340995431307</v>
      </c>
    </row>
    <row r="33" spans="1:13" s="582" customFormat="1" ht="12.75">
      <c r="A33" s="672" t="s">
        <v>79</v>
      </c>
      <c r="B33" s="693" t="str">
        <f t="shared" si="3"/>
        <v>Year 2019</v>
      </c>
      <c r="C33" s="672"/>
      <c r="D33" s="866">
        <f>+D32</f>
        <v>-30084.455833249802</v>
      </c>
      <c r="E33" s="694"/>
      <c r="F33" s="695">
        <f>+F32</f>
        <v>4.3642156862745097E-3</v>
      </c>
      <c r="G33" s="367">
        <f t="shared" si="0"/>
        <v>2</v>
      </c>
      <c r="H33" s="866">
        <f t="shared" si="1"/>
        <v>262.59010812100291</v>
      </c>
      <c r="I33" s="866"/>
      <c r="J33" s="866"/>
      <c r="K33" s="866">
        <f t="shared" si="2"/>
        <v>30347.045941370805</v>
      </c>
    </row>
    <row r="34" spans="1:13" s="582" customFormat="1" ht="12.75">
      <c r="A34" s="672" t="s">
        <v>78</v>
      </c>
      <c r="B34" s="693" t="str">
        <f t="shared" si="3"/>
        <v>Year 2019</v>
      </c>
      <c r="C34" s="672"/>
      <c r="D34" s="866">
        <f t="shared" si="4"/>
        <v>-30084.455833249802</v>
      </c>
      <c r="E34" s="694"/>
      <c r="F34" s="695">
        <f t="shared" si="5"/>
        <v>4.3642156862745097E-3</v>
      </c>
      <c r="G34" s="367">
        <f t="shared" si="0"/>
        <v>1</v>
      </c>
      <c r="H34" s="868">
        <f t="shared" si="1"/>
        <v>131.29505406050146</v>
      </c>
      <c r="I34" s="866"/>
      <c r="J34" s="866"/>
      <c r="K34" s="866">
        <f t="shared" si="2"/>
        <v>30215.750887310303</v>
      </c>
    </row>
    <row r="35" spans="1:13" s="582" customFormat="1" ht="12.75">
      <c r="A35" s="672"/>
      <c r="B35" s="672"/>
      <c r="C35" s="672"/>
      <c r="D35" s="866"/>
      <c r="E35" s="694"/>
      <c r="F35" s="695"/>
      <c r="G35" s="367"/>
      <c r="H35" s="866">
        <f>SUM(H23:H34)</f>
        <v>10241.014216719115</v>
      </c>
      <c r="I35" s="866"/>
      <c r="J35" s="866"/>
      <c r="K35" s="867">
        <f>SUM(K23:K34)</f>
        <v>371254.48421571677</v>
      </c>
    </row>
    <row r="36" spans="1:13" s="582" customFormat="1" ht="12.75">
      <c r="A36" s="672"/>
      <c r="B36" s="672"/>
      <c r="C36" s="672"/>
      <c r="D36" s="866"/>
      <c r="E36" s="694"/>
      <c r="F36" s="695"/>
      <c r="G36" s="694"/>
      <c r="H36" s="694"/>
      <c r="I36" s="694" t="s">
        <v>2</v>
      </c>
      <c r="J36" s="694"/>
      <c r="K36" s="584"/>
    </row>
    <row r="37" spans="1:13" s="582" customFormat="1" ht="12.75">
      <c r="A37" s="672"/>
      <c r="B37" s="672"/>
      <c r="C37" s="672"/>
      <c r="D37" s="866"/>
      <c r="E37" s="679"/>
      <c r="F37" s="695"/>
      <c r="G37" s="694"/>
      <c r="H37" s="697" t="s">
        <v>701</v>
      </c>
      <c r="I37" s="694"/>
      <c r="J37" s="694"/>
      <c r="K37" s="694"/>
    </row>
    <row r="38" spans="1:13" s="582" customFormat="1" ht="12.75">
      <c r="A38" s="672" t="s">
        <v>853</v>
      </c>
      <c r="B38" s="693" t="str">
        <f>"Year "&amp;$A$6+1</f>
        <v>Year 2020</v>
      </c>
      <c r="C38" s="672"/>
      <c r="D38" s="866">
        <f>K35</f>
        <v>371254.48421571677</v>
      </c>
      <c r="E38" s="679"/>
      <c r="F38" s="695">
        <f>+F34</f>
        <v>4.3642156862745097E-3</v>
      </c>
      <c r="G38" s="694">
        <v>12</v>
      </c>
      <c r="H38" s="694">
        <f>+G38*F38*D38</f>
        <v>19442.815723367799</v>
      </c>
      <c r="I38" s="694"/>
      <c r="J38" s="694"/>
      <c r="K38" s="696">
        <f>+D38+H38</f>
        <v>390697.29993908457</v>
      </c>
    </row>
    <row r="39" spans="1:13" s="582" customFormat="1" ht="12.75">
      <c r="A39" s="672"/>
      <c r="B39" s="672"/>
      <c r="C39" s="672"/>
      <c r="D39" s="866"/>
      <c r="E39" s="679"/>
      <c r="F39" s="695"/>
      <c r="G39" s="672"/>
      <c r="H39" s="694"/>
      <c r="I39" s="694"/>
      <c r="J39" s="694"/>
      <c r="K39" s="694"/>
    </row>
    <row r="40" spans="1:13" s="582" customFormat="1" ht="12.75">
      <c r="A40" s="698" t="s">
        <v>702</v>
      </c>
      <c r="B40" s="672"/>
      <c r="C40" s="672"/>
      <c r="D40" s="866"/>
      <c r="E40" s="694"/>
      <c r="F40" s="695"/>
      <c r="G40" s="672"/>
      <c r="H40" s="697" t="s">
        <v>700</v>
      </c>
      <c r="I40" s="694"/>
      <c r="J40" s="694"/>
      <c r="K40" s="694"/>
    </row>
    <row r="41" spans="1:13" s="582" customFormat="1" ht="12.75">
      <c r="A41" s="672" t="s">
        <v>85</v>
      </c>
      <c r="B41" s="693" t="str">
        <f>"Year "&amp;$A$6+2</f>
        <v>Year 2021</v>
      </c>
      <c r="C41" s="672"/>
      <c r="D41" s="867">
        <f>-K38</f>
        <v>-390697.29993908457</v>
      </c>
      <c r="E41" s="679"/>
      <c r="F41" s="695">
        <f>+F34</f>
        <v>4.3642156862745097E-3</v>
      </c>
      <c r="G41" s="672"/>
      <c r="H41" s="866">
        <f xml:space="preserve"> -F41*D41</f>
        <v>1705.0872849792499</v>
      </c>
      <c r="I41" s="866">
        <f>PMT(F41,12,K$38)</f>
        <v>-33489.07055054736</v>
      </c>
      <c r="J41" s="866"/>
      <c r="K41" s="866">
        <f>(+D41+D41*F41-I41)*-1</f>
        <v>358913.31667351641</v>
      </c>
      <c r="L41" s="699"/>
      <c r="M41" s="700"/>
    </row>
    <row r="42" spans="1:13" s="582" customFormat="1" ht="12.75">
      <c r="A42" s="672" t="s">
        <v>84</v>
      </c>
      <c r="B42" s="693" t="str">
        <f>+B41</f>
        <v>Year 2021</v>
      </c>
      <c r="C42" s="672"/>
      <c r="D42" s="866">
        <f>-K41</f>
        <v>-358913.31667351641</v>
      </c>
      <c r="E42" s="679"/>
      <c r="F42" s="695">
        <f>+F41</f>
        <v>4.3642156862745097E-3</v>
      </c>
      <c r="G42" s="672"/>
      <c r="H42" s="866">
        <f t="shared" ref="H42:H52" si="6" xml:space="preserve"> -F42*D42</f>
        <v>1566.3751266393708</v>
      </c>
      <c r="I42" s="866">
        <f>I41</f>
        <v>-33489.07055054736</v>
      </c>
      <c r="J42" s="866"/>
      <c r="K42" s="866">
        <f t="shared" ref="K42:K52" si="7">(+D42+D42*F42-I42)*-1</f>
        <v>326990.62124960846</v>
      </c>
      <c r="L42" s="699"/>
      <c r="M42" s="700"/>
    </row>
    <row r="43" spans="1:13" s="582" customFormat="1" ht="12.75">
      <c r="A43" s="672" t="s">
        <v>83</v>
      </c>
      <c r="B43" s="693" t="str">
        <f>+B42</f>
        <v>Year 2021</v>
      </c>
      <c r="C43" s="672"/>
      <c r="D43" s="866">
        <f t="shared" ref="D43:D52" si="8">-K42</f>
        <v>-326990.62124960846</v>
      </c>
      <c r="E43" s="679"/>
      <c r="F43" s="695">
        <f t="shared" ref="F43:F52" si="9">+F42</f>
        <v>4.3642156862745097E-3</v>
      </c>
      <c r="G43" s="672"/>
      <c r="H43" s="866">
        <f t="shared" si="6"/>
        <v>1427.0575985221883</v>
      </c>
      <c r="I43" s="866">
        <f t="shared" ref="I43:I52" si="10">I42</f>
        <v>-33489.07055054736</v>
      </c>
      <c r="J43" s="866"/>
      <c r="K43" s="866">
        <f t="shared" si="7"/>
        <v>294928.6082975833</v>
      </c>
      <c r="L43" s="699"/>
      <c r="M43" s="700"/>
    </row>
    <row r="44" spans="1:13" s="582" customFormat="1" ht="12.75">
      <c r="A44" s="672" t="s">
        <v>76</v>
      </c>
      <c r="B44" s="693" t="str">
        <f>+B43</f>
        <v>Year 2021</v>
      </c>
      <c r="C44" s="672"/>
      <c r="D44" s="866">
        <f t="shared" si="8"/>
        <v>-294928.6082975833</v>
      </c>
      <c r="E44" s="679"/>
      <c r="F44" s="695">
        <f t="shared" si="9"/>
        <v>4.3642156862745097E-3</v>
      </c>
      <c r="G44" s="672"/>
      <c r="H44" s="866">
        <f t="shared" si="6"/>
        <v>1287.1320586634235</v>
      </c>
      <c r="I44" s="866">
        <f t="shared" si="10"/>
        <v>-33489.07055054736</v>
      </c>
      <c r="J44" s="866"/>
      <c r="K44" s="866">
        <f t="shared" si="7"/>
        <v>262726.66980569938</v>
      </c>
      <c r="L44" s="699"/>
      <c r="M44" s="700"/>
    </row>
    <row r="45" spans="1:13" s="582" customFormat="1" ht="12.75">
      <c r="A45" s="672" t="s">
        <v>75</v>
      </c>
      <c r="B45" s="693" t="str">
        <f>+B44</f>
        <v>Year 2021</v>
      </c>
      <c r="C45" s="672"/>
      <c r="D45" s="866">
        <f t="shared" si="8"/>
        <v>-262726.66980569938</v>
      </c>
      <c r="E45" s="679"/>
      <c r="F45" s="695">
        <f t="shared" si="9"/>
        <v>4.3642156862745097E-3</v>
      </c>
      <c r="G45" s="672"/>
      <c r="H45" s="866">
        <f t="shared" si="6"/>
        <v>1146.5958535686968</v>
      </c>
      <c r="I45" s="866">
        <f t="shared" si="10"/>
        <v>-33489.07055054736</v>
      </c>
      <c r="J45" s="866"/>
      <c r="K45" s="866">
        <f t="shared" si="7"/>
        <v>230384.19510872071</v>
      </c>
      <c r="L45" s="699"/>
      <c r="M45" s="700"/>
    </row>
    <row r="46" spans="1:13" s="582" customFormat="1" ht="12.75">
      <c r="A46" s="672" t="s">
        <v>95</v>
      </c>
      <c r="B46" s="693" t="str">
        <f>B45</f>
        <v>Year 2021</v>
      </c>
      <c r="C46" s="672"/>
      <c r="D46" s="866">
        <f t="shared" si="8"/>
        <v>-230384.19510872071</v>
      </c>
      <c r="E46" s="679"/>
      <c r="F46" s="695">
        <f t="shared" si="9"/>
        <v>4.3642156862745097E-3</v>
      </c>
      <c r="G46" s="672"/>
      <c r="H46" s="866">
        <f t="shared" si="6"/>
        <v>1005.4463181632061</v>
      </c>
      <c r="I46" s="866">
        <f t="shared" si="10"/>
        <v>-33489.07055054736</v>
      </c>
      <c r="J46" s="866"/>
      <c r="K46" s="866">
        <f t="shared" si="7"/>
        <v>197900.57087633657</v>
      </c>
      <c r="L46" s="699"/>
      <c r="M46" s="700"/>
    </row>
    <row r="47" spans="1:13" s="582" customFormat="1" ht="12.75">
      <c r="A47" s="672" t="s">
        <v>82</v>
      </c>
      <c r="B47" s="693" t="str">
        <f t="shared" ref="B47:B52" si="11">+B46</f>
        <v>Year 2021</v>
      </c>
      <c r="C47" s="672"/>
      <c r="D47" s="866">
        <f t="shared" si="8"/>
        <v>-197900.57087633657</v>
      </c>
      <c r="E47" s="679"/>
      <c r="F47" s="695">
        <f t="shared" si="9"/>
        <v>4.3642156862745097E-3</v>
      </c>
      <c r="G47" s="672"/>
      <c r="H47" s="866">
        <f t="shared" si="6"/>
        <v>863.68077574118843</v>
      </c>
      <c r="I47" s="866">
        <f t="shared" si="10"/>
        <v>-33489.07055054736</v>
      </c>
      <c r="J47" s="866"/>
      <c r="K47" s="866">
        <f t="shared" si="7"/>
        <v>165275.18110153041</v>
      </c>
      <c r="L47" s="699"/>
      <c r="M47" s="700"/>
    </row>
    <row r="48" spans="1:13" s="582" customFormat="1" ht="12.75">
      <c r="A48" s="672" t="s">
        <v>81</v>
      </c>
      <c r="B48" s="693" t="str">
        <f t="shared" si="11"/>
        <v>Year 2021</v>
      </c>
      <c r="C48" s="672"/>
      <c r="D48" s="866">
        <f t="shared" si="8"/>
        <v>-165275.18110153041</v>
      </c>
      <c r="E48" s="679"/>
      <c r="F48" s="695">
        <f t="shared" si="9"/>
        <v>4.3642156862745097E-3</v>
      </c>
      <c r="G48" s="672"/>
      <c r="H48" s="866">
        <f t="shared" si="6"/>
        <v>721.29653791515943</v>
      </c>
      <c r="I48" s="866">
        <f t="shared" si="10"/>
        <v>-33489.07055054736</v>
      </c>
      <c r="J48" s="866"/>
      <c r="K48" s="866">
        <f t="shared" si="7"/>
        <v>132507.40708889821</v>
      </c>
      <c r="L48" s="699"/>
      <c r="M48" s="700"/>
    </row>
    <row r="49" spans="1:13" s="582" customFormat="1" ht="12.75">
      <c r="A49" s="672" t="s">
        <v>80</v>
      </c>
      <c r="B49" s="693" t="str">
        <f t="shared" si="11"/>
        <v>Year 2021</v>
      </c>
      <c r="C49" s="672"/>
      <c r="D49" s="866">
        <f t="shared" si="8"/>
        <v>-132507.40708889821</v>
      </c>
      <c r="E49" s="679"/>
      <c r="F49" s="695">
        <f t="shared" si="9"/>
        <v>4.3642156862745097E-3</v>
      </c>
      <c r="G49" s="672"/>
      <c r="H49" s="866">
        <f t="shared" si="6"/>
        <v>578.29090456493168</v>
      </c>
      <c r="I49" s="866">
        <f t="shared" si="10"/>
        <v>-33489.07055054736</v>
      </c>
      <c r="J49" s="866"/>
      <c r="K49" s="866">
        <f t="shared" si="7"/>
        <v>99596.627442915778</v>
      </c>
      <c r="L49" s="699"/>
      <c r="M49" s="700"/>
    </row>
    <row r="50" spans="1:13" s="582" customFormat="1" ht="12.75">
      <c r="A50" s="672" t="s">
        <v>86</v>
      </c>
      <c r="B50" s="693" t="str">
        <f t="shared" si="11"/>
        <v>Year 2021</v>
      </c>
      <c r="C50" s="672"/>
      <c r="D50" s="866">
        <f t="shared" si="8"/>
        <v>-99596.627442915778</v>
      </c>
      <c r="E50" s="679"/>
      <c r="F50" s="695">
        <f t="shared" si="9"/>
        <v>4.3642156862745097E-3</v>
      </c>
      <c r="G50" s="672"/>
      <c r="H50" s="866">
        <f t="shared" si="6"/>
        <v>434.66116378641135</v>
      </c>
      <c r="I50" s="866">
        <f t="shared" si="10"/>
        <v>-33489.07055054736</v>
      </c>
      <c r="J50" s="866"/>
      <c r="K50" s="866">
        <f t="shared" si="7"/>
        <v>66542.21805615483</v>
      </c>
      <c r="L50" s="699"/>
      <c r="M50" s="700"/>
    </row>
    <row r="51" spans="1:13" s="582" customFormat="1" ht="12.75">
      <c r="A51" s="672" t="s">
        <v>79</v>
      </c>
      <c r="B51" s="693" t="str">
        <f t="shared" si="11"/>
        <v>Year 2021</v>
      </c>
      <c r="C51" s="672"/>
      <c r="D51" s="866">
        <f t="shared" si="8"/>
        <v>-66542.21805615483</v>
      </c>
      <c r="E51" s="679"/>
      <c r="F51" s="695">
        <f t="shared" si="9"/>
        <v>4.3642156862745097E-3</v>
      </c>
      <c r="G51" s="672"/>
      <c r="H51" s="866">
        <f t="shared" si="6"/>
        <v>290.40459184016981</v>
      </c>
      <c r="I51" s="866">
        <f t="shared" si="10"/>
        <v>-33489.07055054736</v>
      </c>
      <c r="J51" s="866"/>
      <c r="K51" s="866">
        <f t="shared" si="7"/>
        <v>33343.552097447639</v>
      </c>
      <c r="L51" s="699"/>
      <c r="M51" s="700"/>
    </row>
    <row r="52" spans="1:13" s="582" customFormat="1" ht="12.75">
      <c r="A52" s="672" t="s">
        <v>78</v>
      </c>
      <c r="B52" s="693" t="str">
        <f t="shared" si="11"/>
        <v>Year 2021</v>
      </c>
      <c r="C52" s="672"/>
      <c r="D52" s="866">
        <f t="shared" si="8"/>
        <v>-33343.552097447639</v>
      </c>
      <c r="E52" s="679"/>
      <c r="F52" s="695">
        <f t="shared" si="9"/>
        <v>4.3642156862745097E-3</v>
      </c>
      <c r="G52" s="672"/>
      <c r="H52" s="868">
        <f t="shared" si="6"/>
        <v>145.51845309979231</v>
      </c>
      <c r="I52" s="866">
        <f t="shared" si="10"/>
        <v>-33489.07055054736</v>
      </c>
      <c r="J52" s="866"/>
      <c r="K52" s="866">
        <f t="shared" si="7"/>
        <v>7.2759576141834259E-11</v>
      </c>
      <c r="L52" s="699"/>
      <c r="M52" s="700"/>
    </row>
    <row r="53" spans="1:13" s="582" customFormat="1" ht="12.75">
      <c r="A53" s="672"/>
      <c r="B53" s="672"/>
      <c r="C53" s="672"/>
      <c r="D53" s="679"/>
      <c r="E53" s="679"/>
      <c r="F53" s="701"/>
      <c r="G53" s="672"/>
      <c r="H53" s="866">
        <f>SUM(H41:H52)</f>
        <v>11171.54666748379</v>
      </c>
      <c r="I53" s="866"/>
      <c r="J53" s="866"/>
      <c r="K53" s="866"/>
      <c r="L53" s="699"/>
      <c r="M53" s="700"/>
    </row>
    <row r="54" spans="1:13" s="582" customFormat="1" ht="12.75">
      <c r="A54" s="584"/>
      <c r="B54" s="584"/>
      <c r="C54" s="584"/>
      <c r="D54" s="584"/>
      <c r="E54" s="584"/>
      <c r="F54" s="584"/>
      <c r="G54" s="584"/>
      <c r="H54" s="584"/>
      <c r="I54" s="584"/>
      <c r="J54" s="584"/>
      <c r="K54" s="584"/>
    </row>
    <row r="55" spans="1:13" s="582" customFormat="1" ht="12.75">
      <c r="A55" s="672" t="s">
        <v>703</v>
      </c>
      <c r="B55" s="584"/>
      <c r="C55" s="584"/>
      <c r="D55" s="584"/>
      <c r="E55" s="584"/>
      <c r="F55" s="584"/>
      <c r="G55" s="584"/>
      <c r="H55" s="584"/>
      <c r="I55" s="702">
        <f>SUM(I41:I52)*-1</f>
        <v>401868.8466065682</v>
      </c>
      <c r="J55" s="584"/>
      <c r="K55" s="584"/>
    </row>
    <row r="56" spans="1:13" s="582" customFormat="1" ht="12.75">
      <c r="A56" s="672" t="s">
        <v>704</v>
      </c>
      <c r="B56" s="584"/>
      <c r="C56" s="584"/>
      <c r="D56" s="584"/>
      <c r="E56" s="584"/>
      <c r="F56" s="584"/>
      <c r="G56" s="584"/>
      <c r="H56" s="584"/>
      <c r="I56" s="702">
        <f>+G9</f>
        <v>-361013.46999899764</v>
      </c>
      <c r="J56" s="584"/>
      <c r="K56" s="584"/>
    </row>
    <row r="57" spans="1:13" s="582" customFormat="1" ht="12.75">
      <c r="A57" s="672" t="s">
        <v>705</v>
      </c>
      <c r="B57" s="584"/>
      <c r="C57" s="584"/>
      <c r="D57" s="584"/>
      <c r="E57" s="584"/>
      <c r="F57" s="584"/>
      <c r="G57" s="584"/>
      <c r="H57" s="584"/>
      <c r="I57" s="702">
        <f>(I55+I56)</f>
        <v>40855.376607570564</v>
      </c>
      <c r="J57" s="584"/>
      <c r="K57" s="584"/>
    </row>
    <row r="59" spans="1:13" ht="16.5">
      <c r="A59" s="663"/>
      <c r="B59" s="630"/>
      <c r="C59" s="630"/>
      <c r="D59" s="630"/>
      <c r="E59" s="630"/>
      <c r="F59" s="664"/>
      <c r="G59" s="630"/>
      <c r="H59" s="630"/>
      <c r="I59" s="665"/>
      <c r="J59" s="630"/>
      <c r="K59" s="630"/>
    </row>
    <row r="60" spans="1:13" ht="15.75">
      <c r="A60" s="662"/>
      <c r="B60" s="630"/>
      <c r="C60" s="630"/>
      <c r="D60" s="630"/>
      <c r="E60" s="630"/>
      <c r="F60" s="630"/>
      <c r="G60" s="630"/>
      <c r="H60" s="630"/>
      <c r="I60" s="630"/>
      <c r="J60" s="630"/>
      <c r="K60" s="630"/>
    </row>
    <row r="61" spans="1:13" ht="15.75">
      <c r="A61" s="666"/>
      <c r="F61" s="667"/>
      <c r="I61" s="668"/>
    </row>
    <row r="62" spans="1:13">
      <c r="D62" s="669"/>
      <c r="F62" s="667"/>
      <c r="I62" s="668"/>
    </row>
    <row r="63" spans="1:13">
      <c r="I63" s="669"/>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60"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view="pageBreakPreview" zoomScaleNormal="75" zoomScaleSheetLayoutView="100" workbookViewId="0"/>
  </sheetViews>
  <sheetFormatPr defaultColWidth="8.88671875" defaultRowHeight="12.75"/>
  <cols>
    <col min="1" max="1" width="8.77734375" style="596" customWidth="1"/>
    <col min="2" max="2" width="9.109375" style="596" bestFit="1" customWidth="1"/>
    <col min="3" max="3" width="8.88671875" style="596"/>
    <col min="4" max="4" width="16.33203125" style="596" customWidth="1"/>
    <col min="5" max="5" width="8.88671875" style="596"/>
    <col min="6" max="6" width="9.33203125" style="596" bestFit="1" customWidth="1"/>
    <col min="7" max="7" width="14.21875" style="596" bestFit="1" customWidth="1"/>
    <col min="8" max="8" width="9.88671875" style="596" customWidth="1"/>
    <col min="9" max="9" width="20.44140625" style="596" bestFit="1" customWidth="1"/>
    <col min="10" max="16384" width="8.88671875" style="596"/>
  </cols>
  <sheetData>
    <row r="1" spans="1:8">
      <c r="D1" s="752" t="s">
        <v>707</v>
      </c>
    </row>
    <row r="2" spans="1:8">
      <c r="D2" s="752" t="s">
        <v>455</v>
      </c>
    </row>
    <row r="3" spans="1:8">
      <c r="D3" s="752" t="str">
        <f>+'Attachment H-26'!D5</f>
        <v>Transource West Virginia, LLC</v>
      </c>
    </row>
    <row r="4" spans="1:8">
      <c r="A4" s="768"/>
    </row>
    <row r="6" spans="1:8" ht="32.25" customHeight="1">
      <c r="A6" s="932" t="s">
        <v>509</v>
      </c>
      <c r="B6" s="932"/>
      <c r="C6" s="932"/>
      <c r="D6" s="932"/>
      <c r="E6" s="932"/>
      <c r="F6" s="932"/>
      <c r="G6" s="932"/>
      <c r="H6" s="769"/>
    </row>
    <row r="7" spans="1:8">
      <c r="A7" s="770"/>
      <c r="B7" s="769"/>
      <c r="C7" s="769"/>
      <c r="D7" s="769"/>
      <c r="E7" s="769"/>
      <c r="F7" s="769"/>
      <c r="G7" s="771"/>
      <c r="H7" s="769"/>
    </row>
    <row r="8" spans="1:8">
      <c r="A8" s="770"/>
      <c r="B8" s="769"/>
      <c r="C8" s="769"/>
      <c r="D8" s="769"/>
      <c r="E8" s="769"/>
      <c r="F8" s="769"/>
      <c r="G8" s="771"/>
      <c r="H8" s="769"/>
    </row>
    <row r="9" spans="1:8">
      <c r="G9" s="772"/>
    </row>
    <row r="10" spans="1:8">
      <c r="A10" s="773"/>
      <c r="B10" s="774" t="s">
        <v>508</v>
      </c>
    </row>
    <row r="11" spans="1:8">
      <c r="A11" s="810">
        <v>1</v>
      </c>
      <c r="C11" s="774" t="s">
        <v>456</v>
      </c>
      <c r="D11" s="324"/>
      <c r="E11" s="883">
        <v>5.1799999999999999E-2</v>
      </c>
      <c r="F11" s="415"/>
      <c r="G11" s="415"/>
      <c r="H11" s="415"/>
    </row>
    <row r="12" spans="1:8">
      <c r="A12" s="810">
        <v>2</v>
      </c>
      <c r="C12" s="774" t="s">
        <v>457</v>
      </c>
      <c r="D12" s="324"/>
      <c r="E12" s="898">
        <v>5.1799999999999999E-2</v>
      </c>
      <c r="F12" s="415"/>
      <c r="G12" s="415"/>
      <c r="H12" s="415"/>
    </row>
    <row r="13" spans="1:8">
      <c r="A13" s="810">
        <v>3</v>
      </c>
      <c r="C13" s="774" t="s">
        <v>458</v>
      </c>
      <c r="D13" s="324"/>
      <c r="E13" s="898">
        <v>5.1799999999999999E-2</v>
      </c>
      <c r="F13" s="415"/>
      <c r="G13" s="415"/>
      <c r="H13" s="415"/>
    </row>
    <row r="14" spans="1:8">
      <c r="A14" s="810">
        <v>4</v>
      </c>
      <c r="C14" s="774" t="s">
        <v>459</v>
      </c>
      <c r="D14" s="324"/>
      <c r="E14" s="898">
        <v>5.45E-2</v>
      </c>
      <c r="F14" s="415"/>
      <c r="G14" s="415"/>
      <c r="H14" s="415"/>
    </row>
    <row r="15" spans="1:8">
      <c r="A15" s="810">
        <v>5</v>
      </c>
      <c r="C15" s="774" t="s">
        <v>460</v>
      </c>
      <c r="D15" s="324"/>
      <c r="E15" s="898">
        <v>5.45E-2</v>
      </c>
      <c r="F15" s="415"/>
      <c r="G15" s="415"/>
      <c r="H15" s="415"/>
    </row>
    <row r="16" spans="1:8">
      <c r="A16" s="810">
        <v>6</v>
      </c>
      <c r="C16" s="774" t="s">
        <v>461</v>
      </c>
      <c r="D16" s="324"/>
      <c r="E16" s="898">
        <v>5.45E-2</v>
      </c>
      <c r="F16" s="415"/>
      <c r="G16" s="415"/>
      <c r="H16" s="415"/>
    </row>
    <row r="17" spans="1:8">
      <c r="A17" s="810">
        <v>7</v>
      </c>
      <c r="C17" s="774" t="s">
        <v>462</v>
      </c>
      <c r="D17" s="324"/>
      <c r="E17" s="898">
        <v>5.5E-2</v>
      </c>
      <c r="F17" s="415"/>
      <c r="G17" s="415"/>
      <c r="H17" s="415"/>
    </row>
    <row r="18" spans="1:8">
      <c r="A18" s="810">
        <v>8</v>
      </c>
      <c r="C18" s="774" t="s">
        <v>463</v>
      </c>
      <c r="D18" s="324"/>
      <c r="E18" s="898">
        <v>5.5E-2</v>
      </c>
      <c r="F18" s="415"/>
      <c r="G18" s="415"/>
      <c r="H18" s="415"/>
    </row>
    <row r="19" spans="1:8">
      <c r="A19" s="810">
        <v>9</v>
      </c>
      <c r="C19" s="774" t="s">
        <v>464</v>
      </c>
      <c r="D19" s="324"/>
      <c r="E19" s="898">
        <v>5.5E-2</v>
      </c>
      <c r="F19" s="415"/>
      <c r="G19" s="415"/>
      <c r="H19" s="415"/>
    </row>
    <row r="20" spans="1:8">
      <c r="A20" s="810">
        <v>10</v>
      </c>
      <c r="C20" s="774" t="s">
        <v>465</v>
      </c>
      <c r="D20" s="324"/>
      <c r="E20" s="898">
        <v>5.4199999999999998E-2</v>
      </c>
      <c r="F20" s="415"/>
      <c r="G20" s="415"/>
      <c r="H20" s="415"/>
    </row>
    <row r="21" spans="1:8">
      <c r="A21" s="810">
        <v>11</v>
      </c>
      <c r="C21" s="774" t="s">
        <v>466</v>
      </c>
      <c r="D21" s="324"/>
      <c r="E21" s="898">
        <v>5.4199999999999998E-2</v>
      </c>
      <c r="F21" s="415"/>
      <c r="G21" s="415"/>
      <c r="H21" s="415"/>
    </row>
    <row r="22" spans="1:8">
      <c r="A22" s="810">
        <v>12</v>
      </c>
      <c r="C22" s="774" t="s">
        <v>467</v>
      </c>
      <c r="D22" s="324"/>
      <c r="E22" s="898">
        <v>5.4199999999999998E-2</v>
      </c>
      <c r="F22" s="415"/>
      <c r="G22" s="415"/>
      <c r="H22" s="415"/>
    </row>
    <row r="23" spans="1:8">
      <c r="A23" s="810">
        <f>+A22+1</f>
        <v>13</v>
      </c>
      <c r="C23" s="774" t="s">
        <v>638</v>
      </c>
      <c r="D23" s="324"/>
      <c r="E23" s="898">
        <v>4.9599999999999998E-2</v>
      </c>
      <c r="F23" s="415"/>
      <c r="G23" s="415"/>
      <c r="H23" s="415"/>
    </row>
    <row r="24" spans="1:8">
      <c r="A24" s="810">
        <f t="shared" ref="A24:A27" si="0">+A23+1</f>
        <v>14</v>
      </c>
      <c r="C24" s="774" t="s">
        <v>639</v>
      </c>
      <c r="D24" s="324"/>
      <c r="E24" s="898">
        <v>4.9599999999999998E-2</v>
      </c>
      <c r="F24" s="415"/>
      <c r="G24" s="415"/>
      <c r="H24" s="415"/>
    </row>
    <row r="25" spans="1:8">
      <c r="A25" s="810">
        <f t="shared" si="0"/>
        <v>15</v>
      </c>
      <c r="C25" s="774" t="s">
        <v>640</v>
      </c>
      <c r="D25" s="324"/>
      <c r="E25" s="898">
        <v>4.9599999999999998E-2</v>
      </c>
      <c r="F25" s="415"/>
      <c r="G25" s="415"/>
      <c r="H25" s="415"/>
    </row>
    <row r="26" spans="1:8">
      <c r="A26" s="810">
        <f t="shared" si="0"/>
        <v>16</v>
      </c>
      <c r="C26" s="774" t="s">
        <v>641</v>
      </c>
      <c r="D26" s="324"/>
      <c r="E26" s="898">
        <v>4.7500000000000001E-2</v>
      </c>
      <c r="F26" s="415"/>
      <c r="G26" s="415"/>
      <c r="H26" s="415"/>
    </row>
    <row r="27" spans="1:8">
      <c r="A27" s="810">
        <f t="shared" si="0"/>
        <v>17</v>
      </c>
      <c r="C27" s="774" t="s">
        <v>642</v>
      </c>
      <c r="D27" s="324"/>
      <c r="E27" s="898">
        <v>4.7500000000000001E-2</v>
      </c>
      <c r="F27" s="415"/>
      <c r="G27" s="415"/>
      <c r="H27" s="415"/>
    </row>
    <row r="28" spans="1:8">
      <c r="A28" s="810"/>
      <c r="C28" s="770"/>
      <c r="D28" s="775"/>
      <c r="E28" s="775"/>
      <c r="F28" s="415"/>
      <c r="G28" s="415"/>
      <c r="H28" s="324"/>
    </row>
    <row r="29" spans="1:8">
      <c r="A29" s="810">
        <f>+A27+1</f>
        <v>18</v>
      </c>
      <c r="B29" s="776" t="s">
        <v>637</v>
      </c>
      <c r="C29" s="769"/>
      <c r="D29" s="775"/>
      <c r="E29" s="777">
        <f>+AVERAGE(E11:E27)</f>
        <v>5.2370588235294113E-2</v>
      </c>
      <c r="F29" s="415"/>
      <c r="G29" s="415"/>
      <c r="H29" s="324"/>
    </row>
    <row r="30" spans="1:8">
      <c r="A30" s="810">
        <f>+A29+1</f>
        <v>19</v>
      </c>
      <c r="B30" s="596" t="s">
        <v>513</v>
      </c>
      <c r="E30" s="215">
        <f>+E29/12</f>
        <v>4.3642156862745097E-3</v>
      </c>
    </row>
    <row r="31" spans="1:8">
      <c r="E31" s="778"/>
    </row>
    <row r="32" spans="1:8" ht="36" customHeight="1">
      <c r="A32" s="933" t="s">
        <v>795</v>
      </c>
      <c r="B32" s="933"/>
      <c r="C32" s="933"/>
      <c r="D32" s="933"/>
      <c r="E32" s="933"/>
      <c r="F32" s="933"/>
      <c r="G32" s="933"/>
      <c r="H32" s="857"/>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view="pageBreakPreview" zoomScale="75" zoomScaleNormal="100" zoomScaleSheetLayoutView="75" workbookViewId="0">
      <selection sqref="A1:F1"/>
    </sheetView>
  </sheetViews>
  <sheetFormatPr defaultColWidth="8.88671875" defaultRowHeight="15.75"/>
  <cols>
    <col min="1" max="1" width="8.88671875" style="227"/>
    <col min="2" max="2" width="43.77734375" style="227" customWidth="1"/>
    <col min="3" max="3" width="20.6640625" style="227" bestFit="1" customWidth="1"/>
    <col min="4" max="5" width="13.6640625" style="227" customWidth="1"/>
    <col min="6" max="6" width="12.109375" style="227" customWidth="1"/>
    <col min="7" max="8" width="11.88671875" style="227" bestFit="1" customWidth="1"/>
    <col min="9" max="16384" width="8.88671875" style="227"/>
  </cols>
  <sheetData>
    <row r="1" spans="1:9">
      <c r="A1" s="931" t="s">
        <v>192</v>
      </c>
      <c r="B1" s="931"/>
      <c r="C1" s="931"/>
      <c r="D1" s="931"/>
      <c r="E1" s="931"/>
      <c r="F1" s="931"/>
    </row>
    <row r="2" spans="1:9">
      <c r="A2" s="934" t="s">
        <v>416</v>
      </c>
      <c r="B2" s="934"/>
      <c r="C2" s="934"/>
      <c r="D2" s="934"/>
      <c r="E2" s="934"/>
      <c r="F2" s="934"/>
    </row>
    <row r="3" spans="1:9">
      <c r="A3" s="931" t="str">
        <f>+'Attachment H-26'!D5</f>
        <v>Transource West Virginia, LLC</v>
      </c>
      <c r="B3" s="931"/>
      <c r="C3" s="931"/>
      <c r="D3" s="931"/>
      <c r="E3" s="931"/>
      <c r="F3" s="931"/>
      <c r="G3" s="745"/>
      <c r="H3" s="745"/>
    </row>
    <row r="4" spans="1:9">
      <c r="A4" s="746"/>
      <c r="C4" s="747"/>
      <c r="G4" s="745"/>
      <c r="H4" s="745"/>
    </row>
    <row r="5" spans="1:9">
      <c r="A5" s="305"/>
      <c r="B5" s="311" t="s">
        <v>279</v>
      </c>
      <c r="C5" s="312"/>
      <c r="D5" s="305"/>
      <c r="E5" s="313"/>
      <c r="F5" s="324"/>
      <c r="G5" s="748"/>
      <c r="H5" s="748"/>
    </row>
    <row r="6" spans="1:9" s="743" customFormat="1">
      <c r="A6" s="305"/>
      <c r="B6" s="311"/>
      <c r="C6" s="312"/>
      <c r="D6" s="314" t="s">
        <v>340</v>
      </c>
      <c r="E6" s="843" t="s">
        <v>341</v>
      </c>
      <c r="F6" s="315" t="s">
        <v>13</v>
      </c>
      <c r="G6" s="749"/>
      <c r="H6" s="749"/>
      <c r="I6" s="749"/>
    </row>
    <row r="7" spans="1:9">
      <c r="A7" s="501" t="s">
        <v>154</v>
      </c>
      <c r="B7" s="316"/>
      <c r="C7" s="316"/>
      <c r="D7" s="315" t="s">
        <v>196</v>
      </c>
      <c r="E7" s="844" t="s">
        <v>197</v>
      </c>
      <c r="F7" s="315" t="s">
        <v>725</v>
      </c>
      <c r="G7" s="750"/>
      <c r="H7" s="750"/>
      <c r="I7" s="744"/>
    </row>
    <row r="8" spans="1:9" ht="44.25" customHeight="1">
      <c r="A8" s="305">
        <v>1</v>
      </c>
      <c r="B8" s="324"/>
      <c r="C8" s="306"/>
      <c r="D8" s="307" t="s">
        <v>787</v>
      </c>
      <c r="E8" s="845" t="s">
        <v>787</v>
      </c>
      <c r="F8" s="753"/>
      <c r="G8" s="322"/>
      <c r="H8" s="322"/>
      <c r="I8" s="322"/>
    </row>
    <row r="9" spans="1:9">
      <c r="A9" s="305">
        <v>2</v>
      </c>
      <c r="B9" s="308" t="s">
        <v>577</v>
      </c>
      <c r="C9" s="308" t="s">
        <v>316</v>
      </c>
      <c r="D9" s="508">
        <v>-76811513</v>
      </c>
      <c r="E9" s="507">
        <v>9446530</v>
      </c>
      <c r="F9" s="324"/>
      <c r="G9" s="298"/>
      <c r="H9" s="298"/>
      <c r="I9" s="280"/>
    </row>
    <row r="10" spans="1:9">
      <c r="A10" s="305">
        <v>3</v>
      </c>
      <c r="B10" s="308" t="s">
        <v>342</v>
      </c>
      <c r="C10" s="308" t="s">
        <v>316</v>
      </c>
      <c r="D10" s="508">
        <v>-44124792</v>
      </c>
      <c r="E10" s="508">
        <v>3889136</v>
      </c>
      <c r="F10" s="324"/>
      <c r="G10" s="298"/>
      <c r="H10" s="298"/>
      <c r="I10" s="280"/>
    </row>
    <row r="11" spans="1:9">
      <c r="A11" s="305">
        <v>4</v>
      </c>
      <c r="B11" s="308" t="s">
        <v>343</v>
      </c>
      <c r="C11" s="308" t="s">
        <v>344</v>
      </c>
      <c r="D11" s="317">
        <f>D9-D10</f>
        <v>-32686721</v>
      </c>
      <c r="E11" s="317">
        <f>E9-E10</f>
        <v>5557394</v>
      </c>
      <c r="F11" s="324"/>
      <c r="G11" s="309"/>
      <c r="H11" s="309"/>
      <c r="I11" s="280"/>
    </row>
    <row r="12" spans="1:9">
      <c r="A12" s="305">
        <v>5</v>
      </c>
      <c r="B12" s="308" t="s">
        <v>345</v>
      </c>
      <c r="C12" s="308" t="s">
        <v>317</v>
      </c>
      <c r="D12" s="508">
        <v>1300120728.74</v>
      </c>
      <c r="E12" s="507">
        <v>182771659</v>
      </c>
      <c r="F12" s="324"/>
      <c r="G12" s="321"/>
      <c r="H12" s="321"/>
      <c r="I12" s="557"/>
    </row>
    <row r="13" spans="1:9">
      <c r="A13" s="305">
        <v>6</v>
      </c>
      <c r="B13" s="308" t="s">
        <v>346</v>
      </c>
      <c r="C13" s="308" t="s">
        <v>347</v>
      </c>
      <c r="D13" s="318">
        <f>IFERROR(D11/D12,0)</f>
        <v>-2.5141296709943264E-2</v>
      </c>
      <c r="E13" s="318">
        <f>IFERROR(E11/E12,0)</f>
        <v>3.0406213033279957E-2</v>
      </c>
      <c r="F13" s="319"/>
      <c r="G13" s="46"/>
      <c r="H13" s="46"/>
      <c r="I13" s="557"/>
    </row>
    <row r="14" spans="1:9">
      <c r="A14" s="305">
        <v>7</v>
      </c>
      <c r="B14" s="308" t="s">
        <v>578</v>
      </c>
      <c r="C14" s="308" t="s">
        <v>405</v>
      </c>
      <c r="D14" s="508">
        <v>222966.73999999967</v>
      </c>
      <c r="E14" s="508">
        <v>0</v>
      </c>
      <c r="F14" s="319"/>
      <c r="G14" s="551"/>
      <c r="H14" s="551"/>
      <c r="I14" s="280"/>
    </row>
    <row r="15" spans="1:9">
      <c r="A15" s="305">
        <v>8</v>
      </c>
      <c r="B15" s="308" t="s">
        <v>413</v>
      </c>
      <c r="C15" s="308" t="s">
        <v>348</v>
      </c>
      <c r="D15" s="754">
        <f>D13*D14</f>
        <v>-5605.6729667887666</v>
      </c>
      <c r="E15" s="754">
        <f>E13*E14</f>
        <v>0</v>
      </c>
      <c r="F15" s="548">
        <f>SUM(D15:E15)</f>
        <v>-5605.6729667887666</v>
      </c>
      <c r="G15" s="280"/>
      <c r="H15" s="280"/>
      <c r="I15" s="280"/>
    </row>
    <row r="16" spans="1:9">
      <c r="A16" s="305">
        <v>9</v>
      </c>
      <c r="B16" s="320"/>
      <c r="C16" s="308"/>
      <c r="D16" s="308"/>
      <c r="E16" s="596"/>
      <c r="F16" s="319"/>
      <c r="G16" s="280"/>
      <c r="H16" s="280"/>
      <c r="I16" s="557"/>
    </row>
    <row r="17" spans="1:17">
      <c r="A17" s="357"/>
      <c r="B17" s="324"/>
      <c r="C17" s="324"/>
      <c r="D17" s="324"/>
      <c r="E17" s="324"/>
      <c r="F17" s="319"/>
      <c r="G17" s="744"/>
      <c r="H17" s="744"/>
      <c r="I17" s="744"/>
    </row>
    <row r="18" spans="1:17">
      <c r="A18" s="216">
        <v>10</v>
      </c>
      <c r="B18" s="320" t="s">
        <v>797</v>
      </c>
      <c r="C18" s="324"/>
      <c r="D18" s="840"/>
      <c r="E18" s="840"/>
      <c r="F18" s="841">
        <v>0</v>
      </c>
      <c r="G18" s="551"/>
      <c r="H18" s="551"/>
      <c r="I18" s="551"/>
      <c r="J18" s="551"/>
      <c r="K18" s="551"/>
      <c r="L18" s="551"/>
      <c r="M18" s="551"/>
      <c r="N18" s="551"/>
      <c r="O18" s="551"/>
      <c r="P18" s="551"/>
      <c r="Q18" s="551"/>
    </row>
    <row r="19" spans="1:17">
      <c r="A19" s="502"/>
      <c r="B19" s="324"/>
      <c r="C19" s="324"/>
      <c r="D19" s="324"/>
      <c r="E19" s="324"/>
      <c r="F19" s="324"/>
      <c r="G19" s="551"/>
      <c r="H19" s="551"/>
      <c r="I19" s="551"/>
      <c r="J19" s="551"/>
      <c r="K19" s="551"/>
      <c r="L19" s="551"/>
      <c r="M19" s="551"/>
      <c r="N19" s="551"/>
      <c r="O19" s="551"/>
      <c r="P19" s="551"/>
      <c r="Q19" s="551"/>
    </row>
    <row r="20" spans="1:17">
      <c r="B20" s="551"/>
      <c r="C20" s="324"/>
      <c r="D20" s="324"/>
      <c r="E20" s="324"/>
      <c r="F20" s="324"/>
      <c r="G20" s="310"/>
      <c r="H20" s="310"/>
      <c r="I20" s="310"/>
      <c r="J20" s="310"/>
      <c r="K20" s="310"/>
      <c r="L20" s="310"/>
      <c r="M20" s="310"/>
      <c r="N20" s="310"/>
      <c r="O20" s="310"/>
      <c r="P20" s="310"/>
      <c r="Q20" s="310"/>
    </row>
    <row r="21" spans="1:17">
      <c r="A21" s="503" t="s">
        <v>579</v>
      </c>
      <c r="B21" s="551"/>
      <c r="C21" s="324"/>
      <c r="D21" s="324"/>
      <c r="E21" s="324"/>
      <c r="F21" s="324"/>
      <c r="G21" s="744"/>
      <c r="H21" s="744"/>
      <c r="I21" s="744"/>
    </row>
    <row r="22" spans="1:17" ht="26.25" customHeight="1">
      <c r="A22" s="573" t="s">
        <v>62</v>
      </c>
      <c r="B22" s="909" t="s">
        <v>796</v>
      </c>
      <c r="C22" s="909"/>
      <c r="D22" s="909"/>
      <c r="E22" s="909"/>
      <c r="F22" s="849"/>
      <c r="G22" s="744"/>
      <c r="H22" s="744"/>
      <c r="I22" s="744"/>
    </row>
    <row r="23" spans="1:17">
      <c r="A23" s="759"/>
      <c r="B23" s="759"/>
      <c r="C23" s="849"/>
      <c r="D23" s="849"/>
      <c r="E23" s="849"/>
      <c r="F23" s="849"/>
      <c r="G23" s="744"/>
      <c r="H23" s="744"/>
      <c r="I23" s="744"/>
    </row>
    <row r="24" spans="1:17" ht="27.75" customHeight="1">
      <c r="A24" s="869" t="s">
        <v>63</v>
      </c>
      <c r="B24" s="922" t="s">
        <v>808</v>
      </c>
      <c r="C24" s="922"/>
      <c r="D24" s="922"/>
      <c r="E24" s="922"/>
      <c r="F24" s="922"/>
      <c r="G24" s="744"/>
      <c r="H24" s="744"/>
      <c r="I24" s="744"/>
    </row>
    <row r="25" spans="1:17">
      <c r="A25" s="759"/>
      <c r="B25" s="759"/>
      <c r="C25" s="759"/>
      <c r="D25" s="759"/>
      <c r="E25" s="759"/>
      <c r="F25" s="759"/>
      <c r="G25" s="744"/>
      <c r="H25" s="744"/>
      <c r="I25" s="744"/>
    </row>
    <row r="26" spans="1:17">
      <c r="A26" s="869" t="s">
        <v>64</v>
      </c>
      <c r="B26" s="850" t="s">
        <v>814</v>
      </c>
      <c r="C26" s="870"/>
      <c r="D26" s="870"/>
      <c r="E26" s="759"/>
      <c r="F26" s="759"/>
      <c r="G26" s="744"/>
      <c r="H26" s="744"/>
      <c r="I26" s="744"/>
    </row>
    <row r="27" spans="1:17">
      <c r="G27" s="744"/>
      <c r="H27" s="744"/>
      <c r="I27" s="744"/>
    </row>
    <row r="28" spans="1:17">
      <c r="G28" s="744"/>
      <c r="H28" s="744"/>
      <c r="I28" s="744"/>
    </row>
    <row r="29" spans="1:17" s="743" customFormat="1">
      <c r="B29" s="751"/>
      <c r="C29" s="751"/>
      <c r="D29" s="751"/>
      <c r="G29" s="744"/>
      <c r="H29" s="744"/>
      <c r="I29" s="744"/>
    </row>
    <row r="30" spans="1:17" s="743" customFormat="1">
      <c r="B30" s="751"/>
      <c r="C30" s="751"/>
      <c r="D30" s="751"/>
      <c r="G30" s="744"/>
      <c r="H30" s="744"/>
      <c r="I30" s="744"/>
    </row>
    <row r="31" spans="1:17" s="743" customFormat="1">
      <c r="B31" s="751"/>
      <c r="C31" s="751"/>
      <c r="D31" s="751"/>
    </row>
    <row r="32" spans="1:17" s="743" customFormat="1">
      <c r="B32" s="751"/>
      <c r="C32" s="751"/>
      <c r="D32" s="751"/>
    </row>
    <row r="33" spans="2:4" s="743" customFormat="1">
      <c r="B33" s="751"/>
      <c r="C33" s="751"/>
      <c r="D33" s="751"/>
    </row>
    <row r="34" spans="2:4" s="743"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1"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988DBC8E-E135-4F5E-ADEE-BD14D77AAFE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23F33BAB-7A0A-488B-91D2-7021E7AE64A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Attachment H-26</vt:lpstr>
      <vt:lpstr>1-Project Rev Req</vt:lpstr>
      <vt:lpstr>2-Incentive ROE</vt:lpstr>
      <vt:lpstr>3-Project True-up</vt:lpstr>
      <vt:lpstr>4- Rate Base</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'11-Corrections'!Print_Area</vt:lpstr>
      <vt:lpstr>'12 - Revenue Credits'!Print_Area</vt:lpstr>
      <vt:lpstr>'1-Project Rev Req'!Print_Area</vt:lpstr>
      <vt:lpstr>'3-Project True-up'!Print_Area</vt:lpstr>
      <vt:lpstr>'4- Rate Base'!Print_Area</vt:lpstr>
      <vt:lpstr>'5-Return'!Print_Area</vt:lpstr>
      <vt:lpstr>'6a - True-up Interest Rate'!Print_Area</vt:lpstr>
      <vt:lpstr>'8-Construction Debt'!Print_Area</vt:lpstr>
      <vt:lpstr>'9- Cost of Debt True-up'!Print_Area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s199989</cp:lastModifiedBy>
  <cp:lastPrinted>2018-04-24T16:23:47Z</cp:lastPrinted>
  <dcterms:created xsi:type="dcterms:W3CDTF">1970-01-01T04:00:00Z</dcterms:created>
  <dcterms:modified xsi:type="dcterms:W3CDTF">2020-06-29T20:55:40Z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b0a0f1de-011e-4008-b266-4893070f73c3</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0" name="bjDocumentLabelXML-0">
    <vt:lpwstr>ww.boldonjames.com/2008/01/sie/internal/label"&gt;&lt;element uid="50c31824-0780-4910-87d1-eaaffd182d42" value="" /&gt;&lt;element uid="c64218ab-b8d1-40b6-a478-cb8be1e10ecc" value="" /&gt;&lt;/sisl&gt;</vt:lpwstr>
  </property>
  <property fmtid="{D5CDD505-2E9C-101B-9397-08002B2CF9AE}" pid="11" name="Visual Markings Removed">
    <vt:lpwstr>No</vt:lpwstr>
  </property>
</Properties>
</file>